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2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4.xml" ContentType="application/vnd.openxmlformats-officedocument.drawing+xml"/>
  <Override PartName="/xl/comments11.xml" ContentType="application/vnd.openxmlformats-officedocument.spreadsheetml.comments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5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6.xml" ContentType="application/vnd.openxmlformats-officedocument.drawing+xml"/>
  <Override PartName="/xl/charts/chart73.xml" ContentType="application/vnd.openxmlformats-officedocument.drawingml.chart+xml"/>
  <Override PartName="/xl/drawings/drawing7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hidePivotFieldList="1" autoCompressPictures="0"/>
  <bookViews>
    <workbookView xWindow="-210" yWindow="345" windowWidth="19080" windowHeight="9870" tabRatio="911" activeTab="13"/>
  </bookViews>
  <sheets>
    <sheet name="Summary" sheetId="54" r:id="rId1"/>
    <sheet name="Summary-years" sheetId="75" r:id="rId2"/>
    <sheet name="Summary zone" sheetId="76" r:id="rId3"/>
    <sheet name="Total (2003-2011)" sheetId="71" r:id="rId4"/>
    <sheet name="2011" sheetId="61" r:id="rId5"/>
    <sheet name="2010" sheetId="62" r:id="rId6"/>
    <sheet name="2009" sheetId="63" r:id="rId7"/>
    <sheet name="2008" sheetId="64" r:id="rId8"/>
    <sheet name="2007" sheetId="65" r:id="rId9"/>
    <sheet name="2006" sheetId="66" r:id="rId10"/>
    <sheet name="2005" sheetId="67" r:id="rId11"/>
    <sheet name="2004" sheetId="68" r:id="rId12"/>
    <sheet name="2003-2000" sheetId="53" r:id="rId13"/>
    <sheet name="Analysis-General" sheetId="48" r:id="rId14"/>
    <sheet name="Analysis- Scale" sheetId="45" r:id="rId15"/>
    <sheet name="Analysis-WatSan" sheetId="46" r:id="rId16"/>
    <sheet name="Analysis - health " sheetId="69" r:id="rId17"/>
    <sheet name="Analysis- ECV, volunteers " sheetId="70" r:id="rId18"/>
    <sheet name="Analysis-Affected countries" sheetId="58" r:id="rId19"/>
    <sheet name="Major disasters figures EM-DAT" sheetId="35" r:id="rId20"/>
  </sheets>
  <definedNames>
    <definedName name="_xlnm._FilterDatabase" localSheetId="12" hidden="1">'2003-2000'!$A$2:$LO$2</definedName>
    <definedName name="_xlnm._FilterDatabase" localSheetId="11" hidden="1">'2004'!$A$2:$GP$59</definedName>
    <definedName name="_xlnm._FilterDatabase" localSheetId="10" hidden="1">'2005'!$A$2:$KO$96</definedName>
    <definedName name="_xlnm._FilterDatabase" localSheetId="9" hidden="1">'2006'!$A$2:$HK$96</definedName>
    <definedName name="_xlnm._FilterDatabase" localSheetId="8" hidden="1">'2007'!$A$2:$HK$98</definedName>
    <definedName name="_xlnm._FilterDatabase" localSheetId="7" hidden="1">'2008'!$A$2:$BN$103</definedName>
    <definedName name="_xlnm._FilterDatabase" localSheetId="6" hidden="1">'2009'!$A$2:$AV$95</definedName>
    <definedName name="_xlnm._FilterDatabase" localSheetId="5" hidden="1">'2010'!$A$2:$BV$130</definedName>
    <definedName name="_xlnm._FilterDatabase" localSheetId="4" hidden="1">'2011'!$A$2:$AU$113</definedName>
    <definedName name="_xlnm._FilterDatabase" localSheetId="16" hidden="1">'Analysis - health '!$R$3:$T$8</definedName>
    <definedName name="_xlnm._FilterDatabase" localSheetId="17" hidden="1">'Analysis- ECV, volunteers '!$K$32:$O$41</definedName>
    <definedName name="_xlnm._FilterDatabase" localSheetId="18" hidden="1">'Analysis-Affected countries'!$B$3:$S$3</definedName>
    <definedName name="_xlnm._FilterDatabase" localSheetId="3" hidden="1">'Total (2003-2011)'!$A$2:$AU$782</definedName>
  </definedNames>
  <calcPr calcId="145621" concurrentCalc="0"/>
  <pivotCaches>
    <pivotCache cacheId="0" r:id="rId21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7" i="75" l="1"/>
  <c r="C17" i="75"/>
  <c r="F17" i="75"/>
  <c r="G17" i="75"/>
  <c r="H17" i="75"/>
  <c r="I17" i="75"/>
  <c r="J17" i="75"/>
  <c r="K17" i="75"/>
  <c r="M17" i="75"/>
  <c r="N17" i="75"/>
  <c r="O17" i="75"/>
  <c r="P17" i="75"/>
  <c r="Q17" i="75"/>
  <c r="AW24" i="48"/>
  <c r="AX24" i="48"/>
  <c r="AY24" i="48"/>
  <c r="AZ24" i="48"/>
  <c r="AV24" i="48"/>
  <c r="AN21" i="48"/>
  <c r="AN14" i="48"/>
  <c r="AM14" i="48"/>
  <c r="K61" i="68"/>
  <c r="E4" i="54"/>
  <c r="K98" i="67"/>
  <c r="E5" i="54"/>
  <c r="K98" i="66"/>
  <c r="E6" i="54"/>
  <c r="K100" i="65"/>
  <c r="E7" i="54"/>
  <c r="K105" i="64"/>
  <c r="E8" i="54"/>
  <c r="K97" i="63"/>
  <c r="E9" i="54"/>
  <c r="K132" i="62"/>
  <c r="E10" i="54"/>
  <c r="K115" i="61"/>
  <c r="E11" i="54"/>
  <c r="E12" i="54"/>
  <c r="AJ721" i="71"/>
  <c r="AJ669" i="71"/>
  <c r="AJ606" i="71"/>
  <c r="AJ439" i="71"/>
  <c r="AJ356" i="71"/>
  <c r="AJ221" i="71"/>
  <c r="AJ334" i="71"/>
  <c r="AJ552" i="71"/>
  <c r="AJ496" i="71"/>
  <c r="AJ493" i="71"/>
  <c r="AJ724" i="71"/>
  <c r="AJ8" i="71"/>
  <c r="AJ11" i="71"/>
  <c r="AJ19" i="71"/>
  <c r="AJ44" i="71"/>
  <c r="AJ67" i="71"/>
  <c r="AJ114" i="71"/>
  <c r="AJ118" i="71"/>
  <c r="AJ125" i="71"/>
  <c r="AJ131" i="71"/>
  <c r="AJ135" i="71"/>
  <c r="AJ171" i="71"/>
  <c r="AJ176" i="71"/>
  <c r="AJ182" i="71"/>
  <c r="AJ195" i="71"/>
  <c r="AJ250" i="71"/>
  <c r="AJ259" i="71"/>
  <c r="AJ262" i="71"/>
  <c r="AJ269" i="71"/>
  <c r="AJ271" i="71"/>
  <c r="AJ273" i="71"/>
  <c r="AJ281" i="71"/>
  <c r="AJ283" i="71"/>
  <c r="AJ286" i="71"/>
  <c r="AJ294" i="71"/>
  <c r="AJ309" i="71"/>
  <c r="AJ338" i="71"/>
  <c r="AJ340" i="71"/>
  <c r="AJ348" i="71"/>
  <c r="AJ349" i="71"/>
  <c r="AJ351" i="71"/>
  <c r="AJ355" i="71"/>
  <c r="AJ368" i="71"/>
  <c r="AJ371" i="71"/>
  <c r="AJ376" i="71"/>
  <c r="AJ377" i="71"/>
  <c r="AJ385" i="71"/>
  <c r="AJ449" i="71"/>
  <c r="AJ471" i="71"/>
  <c r="AJ482" i="71"/>
  <c r="AJ507" i="71"/>
  <c r="AJ508" i="71"/>
  <c r="AJ583" i="71"/>
  <c r="AJ608" i="71"/>
  <c r="AJ622" i="71"/>
  <c r="AJ629" i="71"/>
  <c r="AJ677" i="71"/>
  <c r="AJ725" i="71"/>
  <c r="AJ730" i="71"/>
  <c r="AJ731" i="71"/>
  <c r="AJ748" i="71"/>
  <c r="AJ3" i="71"/>
  <c r="AJ4" i="71"/>
  <c r="AJ5" i="71"/>
  <c r="AJ6" i="71"/>
  <c r="AJ7" i="71"/>
  <c r="AJ9" i="71"/>
  <c r="AJ10" i="71"/>
  <c r="AJ12" i="71"/>
  <c r="AJ13" i="71"/>
  <c r="AJ14" i="71"/>
  <c r="AJ15" i="71"/>
  <c r="AJ16" i="71"/>
  <c r="AJ17" i="71"/>
  <c r="AJ18" i="71"/>
  <c r="AJ20" i="71"/>
  <c r="AJ21" i="71"/>
  <c r="AJ22" i="71"/>
  <c r="AJ23" i="71"/>
  <c r="AJ24" i="71"/>
  <c r="AJ25" i="71"/>
  <c r="AJ26" i="71"/>
  <c r="AJ27" i="71"/>
  <c r="AJ28" i="71"/>
  <c r="AJ29" i="71"/>
  <c r="AJ30" i="71"/>
  <c r="AJ31" i="71"/>
  <c r="AJ32" i="71"/>
  <c r="AJ33" i="71"/>
  <c r="AJ34" i="71"/>
  <c r="AJ35" i="71"/>
  <c r="AJ36" i="71"/>
  <c r="AJ37" i="71"/>
  <c r="AJ38" i="71"/>
  <c r="AJ39" i="71"/>
  <c r="AJ40" i="71"/>
  <c r="AJ41" i="71"/>
  <c r="AJ42" i="71"/>
  <c r="AJ43" i="71"/>
  <c r="AJ45" i="71"/>
  <c r="AJ46" i="71"/>
  <c r="AJ47" i="71"/>
  <c r="AJ48" i="71"/>
  <c r="AJ49" i="71"/>
  <c r="AJ50" i="71"/>
  <c r="AJ51" i="71"/>
  <c r="AJ52" i="71"/>
  <c r="AJ53" i="71"/>
  <c r="AJ54" i="71"/>
  <c r="AJ56" i="71"/>
  <c r="AJ57" i="71"/>
  <c r="AJ58" i="71"/>
  <c r="AJ59" i="71"/>
  <c r="AJ60" i="71"/>
  <c r="AJ61" i="71"/>
  <c r="AJ62" i="71"/>
  <c r="AJ63" i="71"/>
  <c r="AJ64" i="71"/>
  <c r="AJ65" i="71"/>
  <c r="AJ66" i="71"/>
  <c r="AJ68" i="71"/>
  <c r="AJ69" i="71"/>
  <c r="AJ70" i="71"/>
  <c r="AJ71" i="71"/>
  <c r="AJ72" i="71"/>
  <c r="AJ73" i="71"/>
  <c r="AJ74" i="71"/>
  <c r="AJ75" i="71"/>
  <c r="AJ76" i="71"/>
  <c r="AJ77" i="71"/>
  <c r="AJ78" i="71"/>
  <c r="AJ79" i="71"/>
  <c r="AJ80" i="71"/>
  <c r="AJ81" i="71"/>
  <c r="AJ82" i="71"/>
  <c r="AJ83" i="71"/>
  <c r="AJ84" i="71"/>
  <c r="AJ85" i="71"/>
  <c r="AJ86" i="71"/>
  <c r="AJ87" i="71"/>
  <c r="AJ88" i="71"/>
  <c r="AJ89" i="71"/>
  <c r="AJ90" i="71"/>
  <c r="AJ91" i="71"/>
  <c r="AJ92" i="71"/>
  <c r="AJ93" i="71"/>
  <c r="AJ94" i="71"/>
  <c r="AJ95" i="71"/>
  <c r="AJ96" i="71"/>
  <c r="AJ97" i="71"/>
  <c r="AJ98" i="71"/>
  <c r="AJ99" i="71"/>
  <c r="AJ100" i="71"/>
  <c r="AJ101" i="71"/>
  <c r="AJ102" i="71"/>
  <c r="AJ103" i="71"/>
  <c r="AJ104" i="71"/>
  <c r="AJ105" i="71"/>
  <c r="AJ106" i="71"/>
  <c r="AJ107" i="71"/>
  <c r="AJ108" i="71"/>
  <c r="AJ109" i="71"/>
  <c r="AJ110" i="71"/>
  <c r="AJ111" i="71"/>
  <c r="AJ112" i="71"/>
  <c r="AJ113" i="71"/>
  <c r="AJ115" i="71"/>
  <c r="AJ116" i="71"/>
  <c r="AJ117" i="71"/>
  <c r="AJ119" i="71"/>
  <c r="AJ120" i="71"/>
  <c r="AJ121" i="71"/>
  <c r="AJ122" i="71"/>
  <c r="AJ123" i="71"/>
  <c r="AJ124" i="71"/>
  <c r="AJ126" i="71"/>
  <c r="AJ127" i="71"/>
  <c r="AJ128" i="71"/>
  <c r="AJ129" i="71"/>
  <c r="AJ130" i="71"/>
  <c r="AJ132" i="71"/>
  <c r="AJ133" i="71"/>
  <c r="AJ134" i="71"/>
  <c r="AJ136" i="71"/>
  <c r="AJ137" i="71"/>
  <c r="AJ138" i="71"/>
  <c r="AJ139" i="71"/>
  <c r="AJ140" i="71"/>
  <c r="AJ141" i="71"/>
  <c r="AJ142" i="71"/>
  <c r="AJ146" i="71"/>
  <c r="AJ147" i="71"/>
  <c r="AJ148" i="71"/>
  <c r="AJ149" i="71"/>
  <c r="AJ150" i="71"/>
  <c r="AJ151" i="71"/>
  <c r="AJ152" i="71"/>
  <c r="AJ153" i="71"/>
  <c r="AJ154" i="71"/>
  <c r="AJ155" i="71"/>
  <c r="AJ156" i="71"/>
  <c r="AJ157" i="71"/>
  <c r="AJ158" i="71"/>
  <c r="AJ159" i="71"/>
  <c r="AJ160" i="71"/>
  <c r="AJ161" i="71"/>
  <c r="AJ162" i="71"/>
  <c r="AJ163" i="71"/>
  <c r="AJ164" i="71"/>
  <c r="AJ165" i="71"/>
  <c r="AJ166" i="71"/>
  <c r="AJ167" i="71"/>
  <c r="AJ168" i="71"/>
  <c r="AJ169" i="71"/>
  <c r="AJ170" i="71"/>
  <c r="AJ172" i="71"/>
  <c r="AJ173" i="71"/>
  <c r="AJ174" i="71"/>
  <c r="AJ175" i="71"/>
  <c r="AJ177" i="71"/>
  <c r="AJ178" i="71"/>
  <c r="AJ179" i="71"/>
  <c r="AJ180" i="71"/>
  <c r="AJ181" i="71"/>
  <c r="AJ183" i="71"/>
  <c r="AJ184" i="71"/>
  <c r="AJ185" i="71"/>
  <c r="AJ186" i="71"/>
  <c r="AJ187" i="71"/>
  <c r="AJ188" i="71"/>
  <c r="AJ189" i="71"/>
  <c r="AJ190" i="71"/>
  <c r="AJ191" i="71"/>
  <c r="AJ192" i="71"/>
  <c r="AJ193" i="71"/>
  <c r="AJ194" i="71"/>
  <c r="AJ196" i="71"/>
  <c r="AJ197" i="71"/>
  <c r="AJ198" i="71"/>
  <c r="AJ199" i="71"/>
  <c r="AJ200" i="71"/>
  <c r="AJ201" i="71"/>
  <c r="AJ202" i="71"/>
  <c r="AJ203" i="71"/>
  <c r="AJ204" i="71"/>
  <c r="AJ205" i="71"/>
  <c r="AJ206" i="71"/>
  <c r="AJ207" i="71"/>
  <c r="AJ208" i="71"/>
  <c r="AJ209" i="71"/>
  <c r="AJ210" i="71"/>
  <c r="AJ211" i="71"/>
  <c r="AJ212" i="71"/>
  <c r="AJ213" i="71"/>
  <c r="AJ214" i="71"/>
  <c r="AJ215" i="71"/>
  <c r="AJ216" i="71"/>
  <c r="AJ217" i="71"/>
  <c r="AJ218" i="71"/>
  <c r="AJ219" i="71"/>
  <c r="AJ220" i="71"/>
  <c r="AJ222" i="71"/>
  <c r="AJ223" i="71"/>
  <c r="AJ224" i="71"/>
  <c r="AJ225" i="71"/>
  <c r="AJ226" i="71"/>
  <c r="AJ227" i="71"/>
  <c r="AJ228" i="71"/>
  <c r="AJ229" i="71"/>
  <c r="AJ230" i="71"/>
  <c r="AJ231" i="71"/>
  <c r="AJ232" i="71"/>
  <c r="AJ233" i="71"/>
  <c r="AJ234" i="71"/>
  <c r="AJ235" i="71"/>
  <c r="AJ236" i="71"/>
  <c r="AJ237" i="71"/>
  <c r="AJ238" i="71"/>
  <c r="AJ239" i="71"/>
  <c r="AJ240" i="71"/>
  <c r="AJ241" i="71"/>
  <c r="AJ242" i="71"/>
  <c r="AJ243" i="71"/>
  <c r="AJ244" i="71"/>
  <c r="AJ245" i="71"/>
  <c r="AJ246" i="71"/>
  <c r="AJ247" i="71"/>
  <c r="AJ248" i="71"/>
  <c r="AJ249" i="71"/>
  <c r="AJ251" i="71"/>
  <c r="AJ252" i="71"/>
  <c r="AJ253" i="71"/>
  <c r="AJ254" i="71"/>
  <c r="AJ255" i="71"/>
  <c r="AJ256" i="71"/>
  <c r="AJ257" i="71"/>
  <c r="AJ258" i="71"/>
  <c r="AJ260" i="71"/>
  <c r="AJ261" i="71"/>
  <c r="AJ263" i="71"/>
  <c r="AJ264" i="71"/>
  <c r="AJ265" i="71"/>
  <c r="AJ266" i="71"/>
  <c r="AJ267" i="71"/>
  <c r="AJ268" i="71"/>
  <c r="AJ270" i="71"/>
  <c r="AJ272" i="71"/>
  <c r="AJ274" i="71"/>
  <c r="AJ275" i="71"/>
  <c r="AJ276" i="71"/>
  <c r="AJ277" i="71"/>
  <c r="AJ278" i="71"/>
  <c r="AJ279" i="71"/>
  <c r="AJ280" i="71"/>
  <c r="AJ282" i="71"/>
  <c r="AJ284" i="71"/>
  <c r="AJ285" i="71"/>
  <c r="AJ287" i="71"/>
  <c r="AJ288" i="71"/>
  <c r="AJ289" i="71"/>
  <c r="AJ290" i="71"/>
  <c r="AJ291" i="71"/>
  <c r="AJ292" i="71"/>
  <c r="AJ293" i="71"/>
  <c r="AJ295" i="71"/>
  <c r="AJ296" i="71"/>
  <c r="AJ297" i="71"/>
  <c r="AJ298" i="71"/>
  <c r="AJ299" i="71"/>
  <c r="AJ300" i="71"/>
  <c r="AJ301" i="71"/>
  <c r="AJ302" i="71"/>
  <c r="AJ303" i="71"/>
  <c r="AJ304" i="71"/>
  <c r="AJ305" i="71"/>
  <c r="AJ306" i="71"/>
  <c r="AJ307" i="71"/>
  <c r="AJ308" i="71"/>
  <c r="AJ310" i="71"/>
  <c r="AJ311" i="71"/>
  <c r="AJ312" i="71"/>
  <c r="AJ313" i="71"/>
  <c r="AJ314" i="71"/>
  <c r="AJ315" i="71"/>
  <c r="AJ316" i="71"/>
  <c r="AJ317" i="71"/>
  <c r="AJ318" i="71"/>
  <c r="AJ319" i="71"/>
  <c r="AJ320" i="71"/>
  <c r="AJ321" i="71"/>
  <c r="AJ322" i="71"/>
  <c r="AJ323" i="71"/>
  <c r="AA324" i="71"/>
  <c r="AJ324" i="71"/>
  <c r="AJ325" i="71"/>
  <c r="AJ326" i="71"/>
  <c r="AJ327" i="71"/>
  <c r="AJ328" i="71"/>
  <c r="AJ329" i="71"/>
  <c r="AJ330" i="71"/>
  <c r="AJ331" i="71"/>
  <c r="AJ332" i="71"/>
  <c r="AJ333" i="71"/>
  <c r="AJ335" i="71"/>
  <c r="AJ336" i="71"/>
  <c r="AJ337" i="71"/>
  <c r="AJ339" i="71"/>
  <c r="AJ341" i="71"/>
  <c r="AJ342" i="71"/>
  <c r="AJ343" i="71"/>
  <c r="AJ344" i="71"/>
  <c r="AJ345" i="71"/>
  <c r="AH346" i="71"/>
  <c r="AJ346" i="71"/>
  <c r="AJ347" i="71"/>
  <c r="AJ350" i="71"/>
  <c r="AJ352" i="71"/>
  <c r="AJ353" i="71"/>
  <c r="AJ354" i="71"/>
  <c r="AJ357" i="71"/>
  <c r="AJ358" i="71"/>
  <c r="AJ359" i="71"/>
  <c r="AJ360" i="71"/>
  <c r="AJ361" i="71"/>
  <c r="AJ362" i="71"/>
  <c r="AJ363" i="71"/>
  <c r="AJ364" i="71"/>
  <c r="AJ365" i="71"/>
  <c r="AJ366" i="71"/>
  <c r="AJ367" i="71"/>
  <c r="AJ369" i="71"/>
  <c r="AJ370" i="71"/>
  <c r="AJ372" i="71"/>
  <c r="AJ373" i="71"/>
  <c r="AJ374" i="71"/>
  <c r="AJ375" i="71"/>
  <c r="AJ378" i="71"/>
  <c r="AJ379" i="71"/>
  <c r="AJ380" i="71"/>
  <c r="AJ381" i="71"/>
  <c r="AJ382" i="71"/>
  <c r="AJ383" i="71"/>
  <c r="AJ384" i="71"/>
  <c r="AJ386" i="71"/>
  <c r="AJ387" i="71"/>
  <c r="AJ388" i="71"/>
  <c r="AJ389" i="71"/>
  <c r="AJ390" i="71"/>
  <c r="AJ391" i="71"/>
  <c r="AJ392" i="71"/>
  <c r="AJ393" i="71"/>
  <c r="AJ394" i="71"/>
  <c r="AJ395" i="71"/>
  <c r="AJ396" i="71"/>
  <c r="AJ397" i="71"/>
  <c r="AJ398" i="71"/>
  <c r="AJ399" i="71"/>
  <c r="AJ400" i="71"/>
  <c r="AJ401" i="71"/>
  <c r="AJ402" i="71"/>
  <c r="AJ403" i="71"/>
  <c r="AJ404" i="71"/>
  <c r="AJ405" i="71"/>
  <c r="AJ406" i="71"/>
  <c r="AJ407" i="71"/>
  <c r="AJ408" i="71"/>
  <c r="AJ409" i="71"/>
  <c r="AJ410" i="71"/>
  <c r="AJ411" i="71"/>
  <c r="AJ412" i="71"/>
  <c r="AJ413" i="71"/>
  <c r="AJ414" i="71"/>
  <c r="AJ415" i="71"/>
  <c r="AJ416" i="71"/>
  <c r="AJ417" i="71"/>
  <c r="AJ418" i="71"/>
  <c r="AJ419" i="71"/>
  <c r="AJ420" i="71"/>
  <c r="AJ421" i="71"/>
  <c r="AJ422" i="71"/>
  <c r="AJ423" i="71"/>
  <c r="AJ424" i="71"/>
  <c r="AJ425" i="71"/>
  <c r="AJ426" i="71"/>
  <c r="AJ427" i="71"/>
  <c r="AJ428" i="71"/>
  <c r="AJ429" i="71"/>
  <c r="AJ430" i="71"/>
  <c r="AJ431" i="71"/>
  <c r="AJ432" i="71"/>
  <c r="AJ433" i="71"/>
  <c r="AJ434" i="71"/>
  <c r="AJ435" i="71"/>
  <c r="AJ436" i="71"/>
  <c r="AA437" i="71"/>
  <c r="AJ437" i="71"/>
  <c r="AJ438" i="71"/>
  <c r="AJ441" i="71"/>
  <c r="AJ444" i="71"/>
  <c r="AJ446" i="71"/>
  <c r="AJ450" i="71"/>
  <c r="AJ452" i="71"/>
  <c r="AJ458" i="71"/>
  <c r="AJ459" i="71"/>
  <c r="AJ460" i="71"/>
  <c r="AJ461" i="71"/>
  <c r="AJ462" i="71"/>
  <c r="AJ463" i="71"/>
  <c r="AJ464" i="71"/>
  <c r="AJ465" i="71"/>
  <c r="AJ466" i="71"/>
  <c r="AJ467" i="71"/>
  <c r="AJ468" i="71"/>
  <c r="AJ469" i="71"/>
  <c r="AJ470" i="71"/>
  <c r="AJ472" i="71"/>
  <c r="AJ473" i="71"/>
  <c r="AJ474" i="71"/>
  <c r="AJ475" i="71"/>
  <c r="AJ476" i="71"/>
  <c r="AJ477" i="71"/>
  <c r="AJ478" i="71"/>
  <c r="AJ479" i="71"/>
  <c r="AJ480" i="71"/>
  <c r="AJ481" i="71"/>
  <c r="AJ483" i="71"/>
  <c r="AJ484" i="71"/>
  <c r="AJ485" i="71"/>
  <c r="AJ486" i="71"/>
  <c r="AJ487" i="71"/>
  <c r="AJ488" i="71"/>
  <c r="AJ489" i="71"/>
  <c r="AJ490" i="71"/>
  <c r="AJ491" i="71"/>
  <c r="AJ492" i="71"/>
  <c r="AJ494" i="71"/>
  <c r="AJ495" i="71"/>
  <c r="AJ497" i="71"/>
  <c r="AJ498" i="71"/>
  <c r="AJ499" i="71"/>
  <c r="AJ500" i="71"/>
  <c r="AJ501" i="71"/>
  <c r="AJ502" i="71"/>
  <c r="AJ503" i="71"/>
  <c r="AJ504" i="71"/>
  <c r="AJ505" i="71"/>
  <c r="AJ506" i="71"/>
  <c r="AJ509" i="71"/>
  <c r="AJ510" i="71"/>
  <c r="AJ511" i="71"/>
  <c r="AJ512" i="71"/>
  <c r="AJ513" i="71"/>
  <c r="AJ514" i="71"/>
  <c r="AJ515" i="71"/>
  <c r="AJ516" i="71"/>
  <c r="AJ517" i="71"/>
  <c r="AJ518" i="71"/>
  <c r="AJ519" i="71"/>
  <c r="AJ520" i="71"/>
  <c r="AJ521" i="71"/>
  <c r="AJ522" i="71"/>
  <c r="AJ523" i="71"/>
  <c r="AJ524" i="71"/>
  <c r="AJ525" i="71"/>
  <c r="AJ526" i="71"/>
  <c r="AJ527" i="71"/>
  <c r="AJ528" i="71"/>
  <c r="AJ529" i="71"/>
  <c r="AJ530" i="71"/>
  <c r="AJ531" i="71"/>
  <c r="AJ532" i="71"/>
  <c r="AJ533" i="71"/>
  <c r="AJ534" i="71"/>
  <c r="AJ535" i="71"/>
  <c r="AJ536" i="71"/>
  <c r="AJ537" i="71"/>
  <c r="AJ538" i="71"/>
  <c r="AJ539" i="71"/>
  <c r="AJ540" i="71"/>
  <c r="AJ541" i="71"/>
  <c r="AJ542" i="71"/>
  <c r="AJ543" i="71"/>
  <c r="AJ544" i="71"/>
  <c r="AJ545" i="71"/>
  <c r="AJ546" i="71"/>
  <c r="AJ547" i="71"/>
  <c r="AJ548" i="71"/>
  <c r="AJ549" i="71"/>
  <c r="AJ550" i="71"/>
  <c r="AJ551" i="71"/>
  <c r="AJ553" i="71"/>
  <c r="AJ554" i="71"/>
  <c r="AJ555" i="71"/>
  <c r="AJ556" i="71"/>
  <c r="AJ557" i="71"/>
  <c r="AJ558" i="71"/>
  <c r="AJ559" i="71"/>
  <c r="AJ560" i="71"/>
  <c r="AJ561" i="71"/>
  <c r="AJ562" i="71"/>
  <c r="AJ563" i="71"/>
  <c r="AJ564" i="71"/>
  <c r="AJ565" i="71"/>
  <c r="AJ566" i="71"/>
  <c r="AJ567" i="71"/>
  <c r="AJ568" i="71"/>
  <c r="AJ569" i="71"/>
  <c r="AJ570" i="71"/>
  <c r="AJ571" i="71"/>
  <c r="AJ572" i="71"/>
  <c r="AJ573" i="71"/>
  <c r="AJ574" i="71"/>
  <c r="AJ575" i="71"/>
  <c r="AJ576" i="71"/>
  <c r="AJ577" i="71"/>
  <c r="AJ578" i="71"/>
  <c r="AJ579" i="71"/>
  <c r="AJ580" i="71"/>
  <c r="AJ581" i="71"/>
  <c r="AJ582" i="71"/>
  <c r="AJ584" i="71"/>
  <c r="AJ585" i="71"/>
  <c r="AJ586" i="71"/>
  <c r="AJ587" i="71"/>
  <c r="AJ588" i="71"/>
  <c r="AJ589" i="71"/>
  <c r="AJ590" i="71"/>
  <c r="AJ591" i="71"/>
  <c r="AJ592" i="71"/>
  <c r="AJ593" i="71"/>
  <c r="AJ594" i="71"/>
  <c r="AJ595" i="71"/>
  <c r="AJ596" i="71"/>
  <c r="AJ597" i="71"/>
  <c r="AJ598" i="71"/>
  <c r="AJ599" i="71"/>
  <c r="AJ600" i="71"/>
  <c r="AJ601" i="71"/>
  <c r="AJ602" i="71"/>
  <c r="AJ603" i="71"/>
  <c r="AJ604" i="71"/>
  <c r="AJ605" i="71"/>
  <c r="AJ607" i="71"/>
  <c r="AJ609" i="71"/>
  <c r="AJ610" i="71"/>
  <c r="AJ611" i="71"/>
  <c r="AJ612" i="71"/>
  <c r="AJ613" i="71"/>
  <c r="AJ614" i="71"/>
  <c r="AJ615" i="71"/>
  <c r="AJ616" i="71"/>
  <c r="AJ617" i="71"/>
  <c r="AJ618" i="71"/>
  <c r="AJ619" i="71"/>
  <c r="AJ620" i="71"/>
  <c r="AJ621" i="71"/>
  <c r="AJ623" i="71"/>
  <c r="AJ624" i="71"/>
  <c r="AJ625" i="71"/>
  <c r="AJ626" i="71"/>
  <c r="AJ627" i="71"/>
  <c r="AJ628" i="71"/>
  <c r="AJ630" i="71"/>
  <c r="AJ631" i="71"/>
  <c r="AJ632" i="71"/>
  <c r="AJ633" i="71"/>
  <c r="AJ634" i="71"/>
  <c r="AJ635" i="71"/>
  <c r="AJ636" i="71"/>
  <c r="AJ637" i="71"/>
  <c r="AJ638" i="71"/>
  <c r="AJ639" i="71"/>
  <c r="AJ640" i="71"/>
  <c r="AJ641" i="71"/>
  <c r="AJ642" i="71"/>
  <c r="AJ643" i="71"/>
  <c r="AJ644" i="71"/>
  <c r="AJ645" i="71"/>
  <c r="AJ646" i="71"/>
  <c r="AJ647" i="71"/>
  <c r="AJ648" i="71"/>
  <c r="AJ649" i="71"/>
  <c r="AJ650" i="71"/>
  <c r="AJ651" i="71"/>
  <c r="AJ652" i="71"/>
  <c r="AJ653" i="71"/>
  <c r="AJ654" i="71"/>
  <c r="AJ655" i="71"/>
  <c r="AJ656" i="71"/>
  <c r="AJ657" i="71"/>
  <c r="AJ658" i="71"/>
  <c r="AJ659" i="71"/>
  <c r="AJ660" i="71"/>
  <c r="AJ661" i="71"/>
  <c r="AJ662" i="71"/>
  <c r="AJ663" i="71"/>
  <c r="AJ664" i="71"/>
  <c r="AJ665" i="71"/>
  <c r="AJ666" i="71"/>
  <c r="AJ667" i="71"/>
  <c r="AJ668" i="71"/>
  <c r="AJ670" i="71"/>
  <c r="AJ671" i="71"/>
  <c r="AJ672" i="71"/>
  <c r="AJ673" i="71"/>
  <c r="AJ674" i="71"/>
  <c r="AJ675" i="71"/>
  <c r="AJ676" i="71"/>
  <c r="AJ678" i="71"/>
  <c r="AJ679" i="71"/>
  <c r="AJ680" i="71"/>
  <c r="AJ681" i="71"/>
  <c r="AJ682" i="71"/>
  <c r="AJ683" i="71"/>
  <c r="AJ684" i="71"/>
  <c r="AJ685" i="71"/>
  <c r="AJ686" i="71"/>
  <c r="AJ687" i="71"/>
  <c r="AJ688" i="71"/>
  <c r="AJ689" i="71"/>
  <c r="AJ690" i="71"/>
  <c r="AJ691" i="71"/>
  <c r="AJ692" i="71"/>
  <c r="AJ693" i="71"/>
  <c r="AJ694" i="71"/>
  <c r="AJ695" i="71"/>
  <c r="AJ696" i="71"/>
  <c r="AJ697" i="71"/>
  <c r="AJ698" i="71"/>
  <c r="AJ699" i="71"/>
  <c r="AJ700" i="71"/>
  <c r="AJ701" i="71"/>
  <c r="AJ702" i="71"/>
  <c r="AJ703" i="71"/>
  <c r="AJ704" i="71"/>
  <c r="AJ705" i="71"/>
  <c r="AJ706" i="71"/>
  <c r="AJ707" i="71"/>
  <c r="AJ708" i="71"/>
  <c r="AJ709" i="71"/>
  <c r="AJ710" i="71"/>
  <c r="AJ711" i="71"/>
  <c r="AJ712" i="71"/>
  <c r="AJ713" i="71"/>
  <c r="AJ714" i="71"/>
  <c r="AJ715" i="71"/>
  <c r="AJ716" i="71"/>
  <c r="AJ717" i="71"/>
  <c r="Z718" i="71"/>
  <c r="AA718" i="71"/>
  <c r="AJ718" i="71"/>
  <c r="AJ719" i="71"/>
  <c r="AJ720" i="71"/>
  <c r="AJ722" i="71"/>
  <c r="AJ723" i="71"/>
  <c r="AJ726" i="71"/>
  <c r="AJ727" i="71"/>
  <c r="AJ728" i="71"/>
  <c r="AJ729" i="71"/>
  <c r="AJ732" i="71"/>
  <c r="AJ733" i="71"/>
  <c r="AA734" i="71"/>
  <c r="AJ734" i="71"/>
  <c r="AJ735" i="71"/>
  <c r="AJ736" i="71"/>
  <c r="AJ737" i="71"/>
  <c r="AJ738" i="71"/>
  <c r="AJ739" i="71"/>
  <c r="AJ740" i="71"/>
  <c r="AJ741" i="71"/>
  <c r="Z742" i="71"/>
  <c r="AH742" i="71"/>
  <c r="AJ742" i="71"/>
  <c r="AJ743" i="71"/>
  <c r="AJ744" i="71"/>
  <c r="AJ745" i="71"/>
  <c r="AJ746" i="71"/>
  <c r="AJ747" i="71"/>
  <c r="AJ749" i="71"/>
  <c r="AJ750" i="71"/>
  <c r="AJ751" i="71"/>
  <c r="AJ752" i="71"/>
  <c r="AJ753" i="71"/>
  <c r="AJ754" i="71"/>
  <c r="AJ755" i="71"/>
  <c r="AJ756" i="71"/>
  <c r="AJ757" i="71"/>
  <c r="AJ758" i="71"/>
  <c r="AJ759" i="71"/>
  <c r="AJ760" i="71"/>
  <c r="AJ761" i="71"/>
  <c r="AJ762" i="71"/>
  <c r="AJ763" i="71"/>
  <c r="AJ764" i="71"/>
  <c r="AJ765" i="71"/>
  <c r="AJ766" i="71"/>
  <c r="AJ767" i="71"/>
  <c r="AJ768" i="71"/>
  <c r="AJ769" i="71"/>
  <c r="AJ770" i="71"/>
  <c r="AJ771" i="71"/>
  <c r="AJ772" i="71"/>
  <c r="AJ773" i="71"/>
  <c r="AJ774" i="71"/>
  <c r="AJ775" i="71"/>
  <c r="AJ776" i="71"/>
  <c r="AJ785" i="71"/>
  <c r="AD132" i="62"/>
  <c r="AC132" i="62"/>
  <c r="AC115" i="61"/>
  <c r="S132" i="62"/>
  <c r="S115" i="61"/>
  <c r="O3" i="71"/>
  <c r="O4" i="71"/>
  <c r="O5" i="71"/>
  <c r="O6" i="71"/>
  <c r="O7" i="71"/>
  <c r="Y7" i="71"/>
  <c r="O8" i="71"/>
  <c r="O9" i="71"/>
  <c r="Y9" i="71"/>
  <c r="O10" i="71"/>
  <c r="Y10" i="71"/>
  <c r="O11" i="71"/>
  <c r="Y11" i="71"/>
  <c r="O12" i="71"/>
  <c r="Y12" i="71"/>
  <c r="O13" i="71"/>
  <c r="Y13" i="71"/>
  <c r="O14" i="71"/>
  <c r="O15" i="71"/>
  <c r="O16" i="71"/>
  <c r="Y16" i="71"/>
  <c r="O17" i="71"/>
  <c r="O18" i="71"/>
  <c r="Y18" i="71"/>
  <c r="O19" i="71"/>
  <c r="Y19" i="71"/>
  <c r="O20" i="71"/>
  <c r="Y20" i="71"/>
  <c r="O21" i="71"/>
  <c r="Y21" i="71"/>
  <c r="O22" i="71"/>
  <c r="Y22" i="71"/>
  <c r="O23" i="71"/>
  <c r="O24" i="71"/>
  <c r="Y24" i="71"/>
  <c r="O25" i="71"/>
  <c r="O26" i="71"/>
  <c r="O27" i="71"/>
  <c r="Y27" i="71"/>
  <c r="O28" i="71"/>
  <c r="Y28" i="71"/>
  <c r="O29" i="71"/>
  <c r="O30" i="71"/>
  <c r="Y30" i="71"/>
  <c r="O31" i="71"/>
  <c r="O32" i="71"/>
  <c r="O33" i="71"/>
  <c r="Y33" i="71"/>
  <c r="O34" i="71"/>
  <c r="O35" i="71"/>
  <c r="Y35" i="71"/>
  <c r="O36" i="71"/>
  <c r="O37" i="71"/>
  <c r="P37" i="71"/>
  <c r="Y37" i="71"/>
  <c r="O38" i="71"/>
  <c r="Y38" i="71"/>
  <c r="O39" i="71"/>
  <c r="Y39" i="71"/>
  <c r="O40" i="71"/>
  <c r="O41" i="71"/>
  <c r="Y41" i="71"/>
  <c r="O42" i="71"/>
  <c r="Y42" i="71"/>
  <c r="O43" i="71"/>
  <c r="O44" i="71"/>
  <c r="O45" i="71"/>
  <c r="Y45" i="71"/>
  <c r="O46" i="71"/>
  <c r="O47" i="71"/>
  <c r="Q47" i="71"/>
  <c r="S47" i="71"/>
  <c r="Y47" i="71"/>
  <c r="O48" i="71"/>
  <c r="Q48" i="71"/>
  <c r="R48" i="71"/>
  <c r="S48" i="71"/>
  <c r="Y48" i="71"/>
  <c r="O49" i="71"/>
  <c r="Y49" i="71"/>
  <c r="O50" i="71"/>
  <c r="Y50" i="71"/>
  <c r="O51" i="71"/>
  <c r="Y51" i="71"/>
  <c r="O52" i="71"/>
  <c r="Y52" i="71"/>
  <c r="O53" i="71"/>
  <c r="O54" i="71"/>
  <c r="O55" i="71"/>
  <c r="Y55" i="71"/>
  <c r="O56" i="71"/>
  <c r="Y56" i="71"/>
  <c r="O57" i="71"/>
  <c r="O58" i="71"/>
  <c r="Y58" i="71"/>
  <c r="O59" i="71"/>
  <c r="O60" i="71"/>
  <c r="Y60" i="71"/>
  <c r="O61" i="71"/>
  <c r="O62" i="71"/>
  <c r="Y62" i="71"/>
  <c r="O63" i="71"/>
  <c r="Y63" i="71"/>
  <c r="O64" i="71"/>
  <c r="O65" i="71"/>
  <c r="Q65" i="71"/>
  <c r="R65" i="71"/>
  <c r="S65" i="71"/>
  <c r="Y65" i="71"/>
  <c r="O66" i="71"/>
  <c r="O67" i="71"/>
  <c r="Y67" i="71"/>
  <c r="O68" i="71"/>
  <c r="Y68" i="71"/>
  <c r="O69" i="71"/>
  <c r="Y69" i="71"/>
  <c r="O70" i="71"/>
  <c r="Y70" i="71"/>
  <c r="O71" i="71"/>
  <c r="Y71" i="71"/>
  <c r="O72" i="71"/>
  <c r="Y72" i="71"/>
  <c r="O73" i="71"/>
  <c r="Y73" i="71"/>
  <c r="O74" i="71"/>
  <c r="Y74" i="71"/>
  <c r="O75" i="71"/>
  <c r="Y75" i="71"/>
  <c r="O76" i="71"/>
  <c r="Y76" i="71"/>
  <c r="O77" i="71"/>
  <c r="Y77" i="71"/>
  <c r="O78" i="71"/>
  <c r="Y78" i="71"/>
  <c r="O79" i="71"/>
  <c r="Y79" i="71"/>
  <c r="M80" i="71"/>
  <c r="O80" i="71"/>
  <c r="Y80" i="71"/>
  <c r="M81" i="71"/>
  <c r="O81" i="71"/>
  <c r="R81" i="71"/>
  <c r="X81" i="71"/>
  <c r="Y81" i="71"/>
  <c r="AL81" i="71"/>
  <c r="O82" i="71"/>
  <c r="O83" i="71"/>
  <c r="O84" i="71"/>
  <c r="Y84" i="71"/>
  <c r="O85" i="71"/>
  <c r="Y85" i="71"/>
  <c r="O86" i="71"/>
  <c r="Y86" i="71"/>
  <c r="O87" i="71"/>
  <c r="O88" i="71"/>
  <c r="Y88" i="71"/>
  <c r="O89" i="71"/>
  <c r="O90" i="71"/>
  <c r="Y90" i="71"/>
  <c r="O91" i="71"/>
  <c r="Y91" i="71"/>
  <c r="M92" i="71"/>
  <c r="N92" i="71"/>
  <c r="O92" i="71"/>
  <c r="Y92" i="71"/>
  <c r="O93" i="71"/>
  <c r="O94" i="71"/>
  <c r="Y94" i="71"/>
  <c r="O95" i="71"/>
  <c r="Y95" i="71"/>
  <c r="O96" i="71"/>
  <c r="O97" i="71"/>
  <c r="O98" i="71"/>
  <c r="O99" i="71"/>
  <c r="O100" i="71"/>
  <c r="O101" i="71"/>
  <c r="O102" i="71"/>
  <c r="O103" i="71"/>
  <c r="Y103" i="71"/>
  <c r="O104" i="71"/>
  <c r="O105" i="71"/>
  <c r="O106" i="71"/>
  <c r="O107" i="71"/>
  <c r="O108" i="71"/>
  <c r="O109" i="71"/>
  <c r="O110" i="71"/>
  <c r="Y110" i="71"/>
  <c r="O114" i="71"/>
  <c r="Y114" i="71"/>
  <c r="O115" i="71"/>
  <c r="O116" i="71"/>
  <c r="Y116" i="71"/>
  <c r="O117" i="71"/>
  <c r="Y117" i="71"/>
  <c r="O118" i="71"/>
  <c r="Y118" i="71"/>
  <c r="O119" i="71"/>
  <c r="Y119" i="71"/>
  <c r="O120" i="71"/>
  <c r="Y120" i="71"/>
  <c r="O121" i="71"/>
  <c r="Y121" i="71"/>
  <c r="O122" i="71"/>
  <c r="Y122" i="71"/>
  <c r="O123" i="71"/>
  <c r="X123" i="71"/>
  <c r="Y123" i="71"/>
  <c r="O124" i="71"/>
  <c r="Y124" i="71"/>
  <c r="O125" i="71"/>
  <c r="Y125" i="71"/>
  <c r="O126" i="71"/>
  <c r="Y126" i="71"/>
  <c r="O127" i="71"/>
  <c r="O128" i="71"/>
  <c r="Y128" i="71"/>
  <c r="O129" i="71"/>
  <c r="Y129" i="71"/>
  <c r="O130" i="71"/>
  <c r="O131" i="71"/>
  <c r="Y131" i="71"/>
  <c r="O132" i="71"/>
  <c r="Y132" i="71"/>
  <c r="O133" i="71"/>
  <c r="Y133" i="71"/>
  <c r="O134" i="71"/>
  <c r="Y134" i="71"/>
  <c r="O135" i="71"/>
  <c r="O136" i="71"/>
  <c r="Y136" i="71"/>
  <c r="O137" i="71"/>
  <c r="Y137" i="71"/>
  <c r="O138" i="71"/>
  <c r="O139" i="71"/>
  <c r="Y139" i="71"/>
  <c r="O140" i="71"/>
  <c r="Y140" i="71"/>
  <c r="O141" i="71"/>
  <c r="Y141" i="71"/>
  <c r="O142" i="71"/>
  <c r="Y142" i="71"/>
  <c r="O143" i="71"/>
  <c r="Y143" i="71"/>
  <c r="O144" i="71"/>
  <c r="O145" i="71"/>
  <c r="Y145" i="71"/>
  <c r="O146" i="71"/>
  <c r="Y146" i="71"/>
  <c r="O147" i="71"/>
  <c r="Y147" i="71"/>
  <c r="O148" i="71"/>
  <c r="O149" i="71"/>
  <c r="Y149" i="71"/>
  <c r="O150" i="71"/>
  <c r="O151" i="71"/>
  <c r="Y151" i="71"/>
  <c r="O152" i="71"/>
  <c r="O153" i="71"/>
  <c r="O154" i="71"/>
  <c r="O155" i="71"/>
  <c r="Y155" i="71"/>
  <c r="O156" i="71"/>
  <c r="O157" i="71"/>
  <c r="O158" i="71"/>
  <c r="O159" i="71"/>
  <c r="Y159" i="71"/>
  <c r="O160" i="71"/>
  <c r="Y160" i="71"/>
  <c r="O161" i="71"/>
  <c r="Y161" i="71"/>
  <c r="O162" i="71"/>
  <c r="P162" i="71"/>
  <c r="Y162" i="71"/>
  <c r="O163" i="71"/>
  <c r="O164" i="71"/>
  <c r="O165" i="71"/>
  <c r="Y165" i="71"/>
  <c r="O166" i="71"/>
  <c r="Y166" i="71"/>
  <c r="O167" i="71"/>
  <c r="O168" i="71"/>
  <c r="Y168" i="71"/>
  <c r="O169" i="71"/>
  <c r="O170" i="71"/>
  <c r="O171" i="71"/>
  <c r="Y171" i="71"/>
  <c r="O172" i="71"/>
  <c r="Y172" i="71"/>
  <c r="O173" i="71"/>
  <c r="Y173" i="71"/>
  <c r="O174" i="71"/>
  <c r="Y174" i="71"/>
  <c r="O175" i="71"/>
  <c r="Y175" i="71"/>
  <c r="O176" i="71"/>
  <c r="O177" i="71"/>
  <c r="Y177" i="71"/>
  <c r="O178" i="71"/>
  <c r="Y178" i="71"/>
  <c r="O179" i="71"/>
  <c r="Y179" i="71"/>
  <c r="O180" i="71"/>
  <c r="Y180" i="71"/>
  <c r="O181" i="71"/>
  <c r="O182" i="71"/>
  <c r="O183" i="71"/>
  <c r="Y183" i="71"/>
  <c r="O184" i="71"/>
  <c r="O185" i="71"/>
  <c r="O186" i="71"/>
  <c r="O187" i="71"/>
  <c r="O188" i="71"/>
  <c r="Y188" i="71"/>
  <c r="O189" i="71"/>
  <c r="Y189" i="71"/>
  <c r="O190" i="71"/>
  <c r="O191" i="71"/>
  <c r="Y191" i="71"/>
  <c r="O192" i="71"/>
  <c r="O193" i="71"/>
  <c r="O194" i="71"/>
  <c r="Y194" i="71"/>
  <c r="O195" i="71"/>
  <c r="O196" i="71"/>
  <c r="O197" i="71"/>
  <c r="O198" i="71"/>
  <c r="O199" i="71"/>
  <c r="O200" i="71"/>
  <c r="O201" i="71"/>
  <c r="O202" i="71"/>
  <c r="Y202" i="71"/>
  <c r="O203" i="71"/>
  <c r="Y203" i="71"/>
  <c r="O204" i="71"/>
  <c r="Y204" i="71"/>
  <c r="O205" i="71"/>
  <c r="Y205" i="71"/>
  <c r="O206" i="71"/>
  <c r="O207" i="71"/>
  <c r="O209" i="71"/>
  <c r="Y209" i="71"/>
  <c r="O210" i="71"/>
  <c r="O211" i="71"/>
  <c r="Y211" i="71"/>
  <c r="O212" i="71"/>
  <c r="O213" i="71"/>
  <c r="O214" i="71"/>
  <c r="Y214" i="71"/>
  <c r="O215" i="71"/>
  <c r="O216" i="71"/>
  <c r="O217" i="71"/>
  <c r="O218" i="71"/>
  <c r="Y218" i="71"/>
  <c r="O219" i="71"/>
  <c r="Y219" i="71"/>
  <c r="O220" i="71"/>
  <c r="U220" i="71"/>
  <c r="Y220" i="71"/>
  <c r="O221" i="71"/>
  <c r="Y221" i="71"/>
  <c r="O222" i="71"/>
  <c r="O223" i="71"/>
  <c r="O224" i="71"/>
  <c r="O225" i="71"/>
  <c r="O226" i="71"/>
  <c r="O227" i="71"/>
  <c r="O228" i="71"/>
  <c r="O229" i="71"/>
  <c r="O230" i="71"/>
  <c r="O231" i="71"/>
  <c r="O232" i="71"/>
  <c r="O233" i="71"/>
  <c r="O234" i="71"/>
  <c r="O235" i="71"/>
  <c r="O236" i="71"/>
  <c r="O237" i="71"/>
  <c r="O238" i="71"/>
  <c r="O239" i="71"/>
  <c r="O240" i="71"/>
  <c r="O241" i="71"/>
  <c r="O242" i="71"/>
  <c r="O243" i="71"/>
  <c r="Y243" i="71"/>
  <c r="O244" i="71"/>
  <c r="O245" i="71"/>
  <c r="Y245" i="71"/>
  <c r="O246" i="71"/>
  <c r="O247" i="71"/>
  <c r="Y247" i="71"/>
  <c r="O248" i="71"/>
  <c r="Y248" i="71"/>
  <c r="O249" i="71"/>
  <c r="O250" i="71"/>
  <c r="O251" i="71"/>
  <c r="Y251" i="71"/>
  <c r="O252" i="71"/>
  <c r="Y252" i="71"/>
  <c r="O253" i="71"/>
  <c r="Y253" i="71"/>
  <c r="O254" i="71"/>
  <c r="Y254" i="71"/>
  <c r="O255" i="71"/>
  <c r="O256" i="71"/>
  <c r="Y256" i="71"/>
  <c r="O257" i="71"/>
  <c r="Y257" i="71"/>
  <c r="O258" i="71"/>
  <c r="O259" i="71"/>
  <c r="O260" i="71"/>
  <c r="O261" i="71"/>
  <c r="Y261" i="71"/>
  <c r="O262" i="71"/>
  <c r="O263" i="71"/>
  <c r="O264" i="71"/>
  <c r="Y264" i="71"/>
  <c r="O265" i="71"/>
  <c r="O266" i="71"/>
  <c r="Y266" i="71"/>
  <c r="O267" i="71"/>
  <c r="Y267" i="71"/>
  <c r="O268" i="71"/>
  <c r="Y268" i="71"/>
  <c r="O269" i="71"/>
  <c r="O270" i="71"/>
  <c r="Y270" i="71"/>
  <c r="O271" i="71"/>
  <c r="Y271" i="71"/>
  <c r="O272" i="71"/>
  <c r="Y272" i="71"/>
  <c r="O273" i="71"/>
  <c r="Y273" i="71"/>
  <c r="O274" i="71"/>
  <c r="O275" i="71"/>
  <c r="O276" i="71"/>
  <c r="Y276" i="71"/>
  <c r="O277" i="71"/>
  <c r="O278" i="71"/>
  <c r="Y278" i="71"/>
  <c r="O279" i="71"/>
  <c r="Y279" i="71"/>
  <c r="O280" i="71"/>
  <c r="Y280" i="71"/>
  <c r="O281" i="71"/>
  <c r="O282" i="71"/>
  <c r="O283" i="71"/>
  <c r="Y283" i="71"/>
  <c r="O284" i="71"/>
  <c r="O285" i="71"/>
  <c r="Y285" i="71"/>
  <c r="O286" i="71"/>
  <c r="Y286" i="71"/>
  <c r="O287" i="71"/>
  <c r="Y287" i="71"/>
  <c r="O288" i="71"/>
  <c r="Y288" i="71"/>
  <c r="O289" i="71"/>
  <c r="Y289" i="71"/>
  <c r="O290" i="71"/>
  <c r="Y290" i="71"/>
  <c r="O291" i="71"/>
  <c r="Y291" i="71"/>
  <c r="O292" i="71"/>
  <c r="O293" i="71"/>
  <c r="O294" i="71"/>
  <c r="O295" i="71"/>
  <c r="O296" i="71"/>
  <c r="Y296" i="71"/>
  <c r="O297" i="71"/>
  <c r="Y297" i="71"/>
  <c r="O298" i="71"/>
  <c r="Y298" i="71"/>
  <c r="O299" i="71"/>
  <c r="O300" i="71"/>
  <c r="O301" i="71"/>
  <c r="M302" i="71"/>
  <c r="O302" i="71"/>
  <c r="P302" i="71"/>
  <c r="O304" i="71"/>
  <c r="Y304" i="71"/>
  <c r="O305" i="71"/>
  <c r="O306" i="71"/>
  <c r="O307" i="71"/>
  <c r="Y307" i="71"/>
  <c r="O308" i="71"/>
  <c r="O309" i="71"/>
  <c r="Y309" i="71"/>
  <c r="O310" i="71"/>
  <c r="O311" i="71"/>
  <c r="O312" i="71"/>
  <c r="O313" i="71"/>
  <c r="O314" i="71"/>
  <c r="O315" i="71"/>
  <c r="O316" i="71"/>
  <c r="O317" i="71"/>
  <c r="Y317" i="71"/>
  <c r="O318" i="71"/>
  <c r="O319" i="71"/>
  <c r="O320" i="71"/>
  <c r="O322" i="71"/>
  <c r="Y322" i="71"/>
  <c r="O323" i="71"/>
  <c r="K324" i="71"/>
  <c r="O324" i="71"/>
  <c r="O325" i="71"/>
  <c r="Y325" i="71"/>
  <c r="O326" i="71"/>
  <c r="O327" i="71"/>
  <c r="O329" i="71"/>
  <c r="O330" i="71"/>
  <c r="O331" i="71"/>
  <c r="O332" i="71"/>
  <c r="O333" i="71"/>
  <c r="O334" i="71"/>
  <c r="X334" i="71"/>
  <c r="AL334" i="71"/>
  <c r="O335" i="71"/>
  <c r="X335" i="71"/>
  <c r="O336" i="71"/>
  <c r="O337" i="71"/>
  <c r="O338" i="71"/>
  <c r="Y338" i="71"/>
  <c r="O339" i="71"/>
  <c r="Y339" i="71"/>
  <c r="O340" i="71"/>
  <c r="R340" i="71"/>
  <c r="Y340" i="71"/>
  <c r="O341" i="71"/>
  <c r="Y341" i="71"/>
  <c r="O342" i="71"/>
  <c r="O343" i="71"/>
  <c r="O344" i="71"/>
  <c r="Y344" i="71"/>
  <c r="O345" i="71"/>
  <c r="Y345" i="71"/>
  <c r="O346" i="71"/>
  <c r="R346" i="71"/>
  <c r="Y346" i="71"/>
  <c r="O347" i="71"/>
  <c r="Y347" i="71"/>
  <c r="O348" i="71"/>
  <c r="O349" i="71"/>
  <c r="P349" i="71"/>
  <c r="O350" i="71"/>
  <c r="O351" i="71"/>
  <c r="Q351" i="71"/>
  <c r="R351" i="71"/>
  <c r="S351" i="71"/>
  <c r="Y351" i="71"/>
  <c r="O352" i="71"/>
  <c r="R352" i="71"/>
  <c r="O353" i="71"/>
  <c r="P353" i="71"/>
  <c r="Y353" i="71"/>
  <c r="O354" i="71"/>
  <c r="Y354" i="71"/>
  <c r="O355" i="71"/>
  <c r="Y355" i="71"/>
  <c r="O356" i="71"/>
  <c r="Y356" i="71"/>
  <c r="O357" i="71"/>
  <c r="O358" i="71"/>
  <c r="O359" i="71"/>
  <c r="O360" i="71"/>
  <c r="Y360" i="71"/>
  <c r="O361" i="71"/>
  <c r="Y361" i="71"/>
  <c r="O362" i="71"/>
  <c r="Q362" i="71"/>
  <c r="R362" i="71"/>
  <c r="S362" i="71"/>
  <c r="Y362" i="71"/>
  <c r="O363" i="71"/>
  <c r="O364" i="71"/>
  <c r="O365" i="71"/>
  <c r="Y365" i="71"/>
  <c r="O366" i="71"/>
  <c r="Y366" i="71"/>
  <c r="O367" i="71"/>
  <c r="Y367" i="71"/>
  <c r="O368" i="71"/>
  <c r="U368" i="71"/>
  <c r="Y368" i="71"/>
  <c r="O369" i="71"/>
  <c r="Y369" i="71"/>
  <c r="O370" i="71"/>
  <c r="O371" i="71"/>
  <c r="Q371" i="71"/>
  <c r="R371" i="71"/>
  <c r="S371" i="71"/>
  <c r="Y371" i="71"/>
  <c r="O372" i="71"/>
  <c r="V372" i="71"/>
  <c r="Y372" i="71"/>
  <c r="O373" i="71"/>
  <c r="Y373" i="71"/>
  <c r="O374" i="71"/>
  <c r="O375" i="71"/>
  <c r="Y375" i="71"/>
  <c r="O376" i="71"/>
  <c r="O377" i="71"/>
  <c r="O380" i="71"/>
  <c r="Y380" i="71"/>
  <c r="O381" i="71"/>
  <c r="Y381" i="71"/>
  <c r="O382" i="71"/>
  <c r="O383" i="71"/>
  <c r="O384" i="71"/>
  <c r="O385" i="71"/>
  <c r="O386" i="71"/>
  <c r="O387" i="71"/>
  <c r="O388" i="71"/>
  <c r="O389" i="71"/>
  <c r="O390" i="71"/>
  <c r="Y390" i="71"/>
  <c r="O391" i="71"/>
  <c r="Y391" i="71"/>
  <c r="O392" i="71"/>
  <c r="O393" i="71"/>
  <c r="O394" i="71"/>
  <c r="O395" i="71"/>
  <c r="Y395" i="71"/>
  <c r="O396" i="71"/>
  <c r="O397" i="71"/>
  <c r="Y397" i="71"/>
  <c r="O398" i="71"/>
  <c r="Y398" i="71"/>
  <c r="O399" i="71"/>
  <c r="Y399" i="71"/>
  <c r="AL399" i="71"/>
  <c r="O400" i="71"/>
  <c r="O401" i="71"/>
  <c r="O402" i="71"/>
  <c r="O403" i="71"/>
  <c r="AL403" i="71"/>
  <c r="O404" i="71"/>
  <c r="O405" i="71"/>
  <c r="O406" i="71"/>
  <c r="O407" i="71"/>
  <c r="O408" i="71"/>
  <c r="Y408" i="71"/>
  <c r="O409" i="71"/>
  <c r="O410" i="71"/>
  <c r="O411" i="71"/>
  <c r="O412" i="71"/>
  <c r="O413" i="71"/>
  <c r="O414" i="71"/>
  <c r="R414" i="71"/>
  <c r="Y414" i="71"/>
  <c r="O415" i="71"/>
  <c r="Q415" i="71"/>
  <c r="R415" i="71"/>
  <c r="Y415" i="71"/>
  <c r="O416" i="71"/>
  <c r="O417" i="71"/>
  <c r="O418" i="71"/>
  <c r="O419" i="71"/>
  <c r="O420" i="71"/>
  <c r="Y420" i="71"/>
  <c r="O421" i="71"/>
  <c r="O422" i="71"/>
  <c r="O423" i="71"/>
  <c r="O424" i="71"/>
  <c r="O425" i="71"/>
  <c r="X425" i="71"/>
  <c r="Y425" i="71"/>
  <c r="AL425" i="71"/>
  <c r="O426" i="71"/>
  <c r="O427" i="71"/>
  <c r="O428" i="71"/>
  <c r="O429" i="71"/>
  <c r="O430" i="71"/>
  <c r="P430" i="71"/>
  <c r="O431" i="71"/>
  <c r="O432" i="71"/>
  <c r="O433" i="71"/>
  <c r="O434" i="71"/>
  <c r="O435" i="71"/>
  <c r="Y435" i="71"/>
  <c r="O436" i="71"/>
  <c r="Y436" i="71"/>
  <c r="O437" i="71"/>
  <c r="O438" i="71"/>
  <c r="Y438" i="71"/>
  <c r="O439" i="71"/>
  <c r="Y439" i="71"/>
  <c r="O440" i="71"/>
  <c r="O441" i="71"/>
  <c r="O442" i="71"/>
  <c r="Y442" i="71"/>
  <c r="O443" i="71"/>
  <c r="O444" i="71"/>
  <c r="O445" i="71"/>
  <c r="O446" i="71"/>
  <c r="O447" i="71"/>
  <c r="Y447" i="71"/>
  <c r="O448" i="71"/>
  <c r="Q448" i="71"/>
  <c r="Y448" i="71"/>
  <c r="O449" i="71"/>
  <c r="O450" i="71"/>
  <c r="Y450" i="71"/>
  <c r="O451" i="71"/>
  <c r="O452" i="71"/>
  <c r="Y452" i="71"/>
  <c r="O453" i="71"/>
  <c r="Y453" i="71"/>
  <c r="AA453" i="71"/>
  <c r="K454" i="71"/>
  <c r="O454" i="71"/>
  <c r="AE454" i="71"/>
  <c r="AL454" i="71"/>
  <c r="O455" i="71"/>
  <c r="R455" i="71"/>
  <c r="S455" i="71"/>
  <c r="Y455" i="71"/>
  <c r="AL455" i="71"/>
  <c r="O456" i="71"/>
  <c r="O457" i="71"/>
  <c r="X457" i="71"/>
  <c r="O458" i="71"/>
  <c r="O459" i="71"/>
  <c r="R459" i="71"/>
  <c r="Y459" i="71"/>
  <c r="O460" i="71"/>
  <c r="O461" i="71"/>
  <c r="Q461" i="71"/>
  <c r="R461" i="71"/>
  <c r="S461" i="71"/>
  <c r="Y461" i="71"/>
  <c r="AL461" i="71"/>
  <c r="O462" i="71"/>
  <c r="K463" i="71"/>
  <c r="O463" i="71"/>
  <c r="O464" i="71"/>
  <c r="O465" i="71"/>
  <c r="Y465" i="71"/>
  <c r="O466" i="71"/>
  <c r="R466" i="71"/>
  <c r="S466" i="71"/>
  <c r="X466" i="71"/>
  <c r="Y466" i="71"/>
  <c r="O467" i="71"/>
  <c r="Y467" i="71"/>
  <c r="O468" i="71"/>
  <c r="O469" i="71"/>
  <c r="Q469" i="71"/>
  <c r="S469" i="71"/>
  <c r="Y469" i="71"/>
  <c r="Y470" i="71"/>
  <c r="O471" i="71"/>
  <c r="Y471" i="71"/>
  <c r="O472" i="71"/>
  <c r="Y473" i="71"/>
  <c r="O474" i="71"/>
  <c r="O475" i="71"/>
  <c r="Y475" i="71"/>
  <c r="O476" i="71"/>
  <c r="V476" i="71"/>
  <c r="Y476" i="71"/>
  <c r="K477" i="71"/>
  <c r="O477" i="71"/>
  <c r="O478" i="71"/>
  <c r="X478" i="71"/>
  <c r="K479" i="71"/>
  <c r="O479" i="71"/>
  <c r="O480" i="71"/>
  <c r="O481" i="71"/>
  <c r="Q481" i="71"/>
  <c r="Y481" i="71"/>
  <c r="AE481" i="71"/>
  <c r="O482" i="71"/>
  <c r="O483" i="71"/>
  <c r="Y483" i="71"/>
  <c r="O484" i="71"/>
  <c r="Y484" i="71"/>
  <c r="O485" i="71"/>
  <c r="Y485" i="71"/>
  <c r="O486" i="71"/>
  <c r="O487" i="71"/>
  <c r="O488" i="71"/>
  <c r="X488" i="71"/>
  <c r="O489" i="71"/>
  <c r="Y489" i="71"/>
  <c r="O490" i="71"/>
  <c r="O491" i="71"/>
  <c r="O492" i="71"/>
  <c r="Y492" i="71"/>
  <c r="O493" i="71"/>
  <c r="K494" i="71"/>
  <c r="O494" i="71"/>
  <c r="O495" i="71"/>
  <c r="Y495" i="71"/>
  <c r="O496" i="71"/>
  <c r="O497" i="71"/>
  <c r="O498" i="71"/>
  <c r="O499" i="71"/>
  <c r="V499" i="71"/>
  <c r="AL499" i="71"/>
  <c r="O500" i="71"/>
  <c r="P500" i="71"/>
  <c r="Y500" i="71"/>
  <c r="O501" i="71"/>
  <c r="O502" i="71"/>
  <c r="Y502" i="71"/>
  <c r="O503" i="71"/>
  <c r="Y503" i="71"/>
  <c r="O504" i="71"/>
  <c r="Q504" i="71"/>
  <c r="S504" i="71"/>
  <c r="Y504" i="71"/>
  <c r="O505" i="71"/>
  <c r="O506" i="71"/>
  <c r="Y506" i="71"/>
  <c r="O507" i="71"/>
  <c r="Y507" i="71"/>
  <c r="O508" i="71"/>
  <c r="Y508" i="71"/>
  <c r="O509" i="71"/>
  <c r="O510" i="71"/>
  <c r="O511" i="71"/>
  <c r="O512" i="71"/>
  <c r="P512" i="71"/>
  <c r="O513" i="71"/>
  <c r="O514" i="71"/>
  <c r="O515" i="71"/>
  <c r="O516" i="71"/>
  <c r="K517" i="71"/>
  <c r="O517" i="71"/>
  <c r="O518" i="71"/>
  <c r="Q518" i="71"/>
  <c r="R518" i="71"/>
  <c r="Y518" i="71"/>
  <c r="O519" i="71"/>
  <c r="O521" i="71"/>
  <c r="O522" i="71"/>
  <c r="O523" i="71"/>
  <c r="O524" i="71"/>
  <c r="O525" i="71"/>
  <c r="O526" i="71"/>
  <c r="Q526" i="71"/>
  <c r="R526" i="71"/>
  <c r="Y526" i="71"/>
  <c r="O527" i="71"/>
  <c r="O528" i="71"/>
  <c r="Y528" i="71"/>
  <c r="O529" i="71"/>
  <c r="O530" i="71"/>
  <c r="Q530" i="71"/>
  <c r="R530" i="71"/>
  <c r="S530" i="71"/>
  <c r="Y530" i="71"/>
  <c r="O531" i="71"/>
  <c r="Y531" i="71"/>
  <c r="O532" i="71"/>
  <c r="O533" i="71"/>
  <c r="O534" i="71"/>
  <c r="O535" i="71"/>
  <c r="Q535" i="71"/>
  <c r="Y535" i="71"/>
  <c r="O536" i="71"/>
  <c r="O537" i="71"/>
  <c r="Y537" i="71"/>
  <c r="O538" i="71"/>
  <c r="Q538" i="71"/>
  <c r="Y538" i="71"/>
  <c r="O539" i="71"/>
  <c r="Y539" i="71"/>
  <c r="O540" i="71"/>
  <c r="O541" i="71"/>
  <c r="O542" i="71"/>
  <c r="O543" i="71"/>
  <c r="O545" i="71"/>
  <c r="O546" i="71"/>
  <c r="O547" i="71"/>
  <c r="O548" i="71"/>
  <c r="O549" i="71"/>
  <c r="Y549" i="71"/>
  <c r="O550" i="71"/>
  <c r="Y550" i="71"/>
  <c r="O551" i="71"/>
  <c r="Y551" i="71"/>
  <c r="O552" i="71"/>
  <c r="Y552" i="71"/>
  <c r="O553" i="71"/>
  <c r="O554" i="71"/>
  <c r="O555" i="71"/>
  <c r="O556" i="71"/>
  <c r="O557" i="71"/>
  <c r="Q557" i="71"/>
  <c r="R557" i="71"/>
  <c r="Y557" i="71"/>
  <c r="O558" i="71"/>
  <c r="O559" i="71"/>
  <c r="R559" i="71"/>
  <c r="Y559" i="71"/>
  <c r="AL559" i="71"/>
  <c r="O560" i="71"/>
  <c r="O561" i="71"/>
  <c r="O562" i="71"/>
  <c r="O563" i="71"/>
  <c r="K564" i="71"/>
  <c r="O564" i="71"/>
  <c r="Y564" i="71"/>
  <c r="O565" i="71"/>
  <c r="Y565" i="71"/>
  <c r="O566" i="71"/>
  <c r="Y566" i="71"/>
  <c r="O567" i="71"/>
  <c r="AL567" i="71"/>
  <c r="O568" i="71"/>
  <c r="Y568" i="71"/>
  <c r="O569" i="71"/>
  <c r="O570" i="71"/>
  <c r="O571" i="71"/>
  <c r="Y571" i="71"/>
  <c r="O572" i="71"/>
  <c r="O573" i="71"/>
  <c r="O574" i="71"/>
  <c r="O575" i="71"/>
  <c r="O576" i="71"/>
  <c r="O577" i="71"/>
  <c r="Y577" i="71"/>
  <c r="O578" i="71"/>
  <c r="O579" i="71"/>
  <c r="O581" i="71"/>
  <c r="O582" i="71"/>
  <c r="Y582" i="71"/>
  <c r="O583" i="71"/>
  <c r="R583" i="71"/>
  <c r="S583" i="71"/>
  <c r="Y583" i="71"/>
  <c r="O584" i="71"/>
  <c r="Q584" i="71"/>
  <c r="R584" i="71"/>
  <c r="S584" i="71"/>
  <c r="O585" i="71"/>
  <c r="O586" i="71"/>
  <c r="Y586" i="71"/>
  <c r="O587" i="71"/>
  <c r="O588" i="71"/>
  <c r="Y588" i="71"/>
  <c r="O589" i="71"/>
  <c r="Y589" i="71"/>
  <c r="O590" i="71"/>
  <c r="O591" i="71"/>
  <c r="O593" i="71"/>
  <c r="O594" i="71"/>
  <c r="Y594" i="71"/>
  <c r="O595" i="71"/>
  <c r="Y595" i="71"/>
  <c r="O596" i="71"/>
  <c r="O597" i="71"/>
  <c r="O598" i="71"/>
  <c r="O599" i="71"/>
  <c r="O600" i="71"/>
  <c r="O601" i="71"/>
  <c r="O602" i="71"/>
  <c r="O603" i="71"/>
  <c r="O604" i="71"/>
  <c r="O605" i="71"/>
  <c r="O606" i="71"/>
  <c r="Y606" i="71"/>
  <c r="O607" i="71"/>
  <c r="O608" i="71"/>
  <c r="Y608" i="71"/>
  <c r="O609" i="71"/>
  <c r="O610" i="71"/>
  <c r="AL610" i="71"/>
  <c r="O612" i="71"/>
  <c r="O615" i="71"/>
  <c r="Y615" i="71"/>
  <c r="O616" i="71"/>
  <c r="O617" i="71"/>
  <c r="O618" i="71"/>
  <c r="O619" i="71"/>
  <c r="O620" i="71"/>
  <c r="O621" i="71"/>
  <c r="O622" i="71"/>
  <c r="O623" i="71"/>
  <c r="O624" i="71"/>
  <c r="Y624" i="71"/>
  <c r="O625" i="71"/>
  <c r="O626" i="71"/>
  <c r="Q626" i="71"/>
  <c r="R626" i="71"/>
  <c r="Y626" i="71"/>
  <c r="O627" i="71"/>
  <c r="O628" i="71"/>
  <c r="N629" i="71"/>
  <c r="O629" i="71"/>
  <c r="P629" i="71"/>
  <c r="Y629" i="71"/>
  <c r="O630" i="71"/>
  <c r="O631" i="71"/>
  <c r="O632" i="71"/>
  <c r="O636" i="71"/>
  <c r="O637" i="71"/>
  <c r="Q637" i="71"/>
  <c r="R637" i="71"/>
  <c r="S637" i="71"/>
  <c r="O638" i="71"/>
  <c r="O639" i="71"/>
  <c r="P639" i="71"/>
  <c r="R639" i="71"/>
  <c r="Y639" i="71"/>
  <c r="O640" i="71"/>
  <c r="O641" i="71"/>
  <c r="P641" i="71"/>
  <c r="Y641" i="71"/>
  <c r="O642" i="71"/>
  <c r="Q642" i="71"/>
  <c r="S642" i="71"/>
  <c r="Y642" i="71"/>
  <c r="O643" i="71"/>
  <c r="P643" i="71"/>
  <c r="Q643" i="71"/>
  <c r="S643" i="71"/>
  <c r="Y643" i="71"/>
  <c r="O644" i="71"/>
  <c r="P644" i="71"/>
  <c r="Y644" i="71"/>
  <c r="O645" i="71"/>
  <c r="P645" i="71"/>
  <c r="Y645" i="71"/>
  <c r="O646" i="71"/>
  <c r="P646" i="71"/>
  <c r="O647" i="71"/>
  <c r="P647" i="71"/>
  <c r="K648" i="71"/>
  <c r="O648" i="71"/>
  <c r="P648" i="71"/>
  <c r="Y648" i="71"/>
  <c r="O649" i="71"/>
  <c r="O650" i="71"/>
  <c r="O651" i="71"/>
  <c r="O652" i="71"/>
  <c r="O654" i="71"/>
  <c r="Y655" i="71"/>
  <c r="Y656" i="71"/>
  <c r="Y659" i="71"/>
  <c r="Y660" i="71"/>
  <c r="O661" i="71"/>
  <c r="O662" i="71"/>
  <c r="O663" i="71"/>
  <c r="O664" i="71"/>
  <c r="O665" i="71"/>
  <c r="P665" i="71"/>
  <c r="Y665" i="71"/>
  <c r="O666" i="71"/>
  <c r="O667" i="71"/>
  <c r="O668" i="71"/>
  <c r="O669" i="71"/>
  <c r="O670" i="71"/>
  <c r="O671" i="71"/>
  <c r="O672" i="71"/>
  <c r="O673" i="71"/>
  <c r="O675" i="71"/>
  <c r="O676" i="71"/>
  <c r="O677" i="71"/>
  <c r="O678" i="71"/>
  <c r="O679" i="71"/>
  <c r="O680" i="71"/>
  <c r="Y680" i="71"/>
  <c r="O681" i="71"/>
  <c r="O682" i="71"/>
  <c r="O683" i="71"/>
  <c r="Y683" i="71"/>
  <c r="K684" i="71"/>
  <c r="O684" i="71"/>
  <c r="O685" i="71"/>
  <c r="O686" i="71"/>
  <c r="K687" i="71"/>
  <c r="O687" i="71"/>
  <c r="O689" i="71"/>
  <c r="O690" i="71"/>
  <c r="O691" i="71"/>
  <c r="R693" i="71"/>
  <c r="Y693" i="71"/>
  <c r="K694" i="71"/>
  <c r="O694" i="71"/>
  <c r="O695" i="71"/>
  <c r="O696" i="71"/>
  <c r="O697" i="71"/>
  <c r="O701" i="71"/>
  <c r="O702" i="71"/>
  <c r="K705" i="71"/>
  <c r="O705" i="71"/>
  <c r="P705" i="71"/>
  <c r="K706" i="71"/>
  <c r="O706" i="71"/>
  <c r="Q706" i="71"/>
  <c r="S706" i="71"/>
  <c r="V706" i="71"/>
  <c r="Y706" i="71"/>
  <c r="K707" i="71"/>
  <c r="O707" i="71"/>
  <c r="Y707" i="71"/>
  <c r="O708" i="71"/>
  <c r="P708" i="71"/>
  <c r="Y708" i="71"/>
  <c r="M711" i="71"/>
  <c r="O711" i="71"/>
  <c r="Q711" i="71"/>
  <c r="V711" i="71"/>
  <c r="Y711" i="71"/>
  <c r="P712" i="71"/>
  <c r="O713" i="71"/>
  <c r="O715" i="71"/>
  <c r="Y715" i="71"/>
  <c r="O716" i="71"/>
  <c r="O717" i="71"/>
  <c r="P717" i="71"/>
  <c r="O718" i="71"/>
  <c r="P718" i="71"/>
  <c r="R718" i="71"/>
  <c r="S718" i="71"/>
  <c r="V718" i="71"/>
  <c r="Y718" i="71"/>
  <c r="P719" i="71"/>
  <c r="R719" i="71"/>
  <c r="S719" i="71"/>
  <c r="Y719" i="71"/>
  <c r="O720" i="71"/>
  <c r="O721" i="71"/>
  <c r="Y721" i="71"/>
  <c r="O722" i="71"/>
  <c r="Y722" i="71"/>
  <c r="O723" i="71"/>
  <c r="Y723" i="71"/>
  <c r="O724" i="71"/>
  <c r="O725" i="71"/>
  <c r="Y725" i="71"/>
  <c r="O726" i="71"/>
  <c r="Y726" i="71"/>
  <c r="O727" i="71"/>
  <c r="O728" i="71"/>
  <c r="P728" i="71"/>
  <c r="O729" i="71"/>
  <c r="AL729" i="71"/>
  <c r="O730" i="71"/>
  <c r="P730" i="71"/>
  <c r="Q730" i="71"/>
  <c r="Y730" i="71"/>
  <c r="O731" i="71"/>
  <c r="P731" i="71"/>
  <c r="Y731" i="71"/>
  <c r="K732" i="71"/>
  <c r="O732" i="71"/>
  <c r="P732" i="71"/>
  <c r="O733" i="71"/>
  <c r="P733" i="71"/>
  <c r="R733" i="71"/>
  <c r="Y733" i="71"/>
  <c r="O734" i="71"/>
  <c r="P734" i="71"/>
  <c r="AB734" i="71"/>
  <c r="AG734" i="71"/>
  <c r="AL734" i="71"/>
  <c r="P735" i="71"/>
  <c r="AB735" i="71"/>
  <c r="O736" i="71"/>
  <c r="Q736" i="71"/>
  <c r="R736" i="71"/>
  <c r="Y736" i="71"/>
  <c r="AB736" i="71"/>
  <c r="O737" i="71"/>
  <c r="O738" i="71"/>
  <c r="Q738" i="71"/>
  <c r="R738" i="71"/>
  <c r="S738" i="71"/>
  <c r="Y738" i="71"/>
  <c r="O739" i="71"/>
  <c r="Q739" i="71"/>
  <c r="S739" i="71"/>
  <c r="Y739" i="71"/>
  <c r="O740" i="71"/>
  <c r="Q740" i="71"/>
  <c r="R740" i="71"/>
  <c r="Y740" i="71"/>
  <c r="AB740" i="71"/>
  <c r="O741" i="71"/>
  <c r="Q741" i="71"/>
  <c r="S741" i="71"/>
  <c r="Y741" i="71"/>
  <c r="K742" i="71"/>
  <c r="O742" i="71"/>
  <c r="P742" i="71"/>
  <c r="X742" i="71"/>
  <c r="AE742" i="71"/>
  <c r="O743" i="71"/>
  <c r="AE743" i="71"/>
  <c r="O744" i="71"/>
  <c r="AB744" i="71"/>
  <c r="O745" i="71"/>
  <c r="P745" i="71"/>
  <c r="O746" i="71"/>
  <c r="Y746" i="71"/>
  <c r="AB746" i="71"/>
  <c r="P747" i="71"/>
  <c r="O748" i="71"/>
  <c r="O749" i="71"/>
  <c r="O751" i="71"/>
  <c r="O752" i="71"/>
  <c r="O753" i="71"/>
  <c r="O754" i="71"/>
  <c r="O755" i="71"/>
  <c r="O756" i="71"/>
  <c r="Q756" i="71"/>
  <c r="Y756" i="71"/>
  <c r="O757" i="71"/>
  <c r="O758" i="71"/>
  <c r="O759" i="71"/>
  <c r="O761" i="71"/>
  <c r="R761" i="71"/>
  <c r="Y761" i="71"/>
  <c r="O763" i="71"/>
  <c r="O764" i="71"/>
  <c r="O765" i="71"/>
  <c r="O766" i="71"/>
  <c r="O767" i="71"/>
  <c r="O769" i="71"/>
  <c r="O770" i="71"/>
  <c r="O771" i="71"/>
  <c r="O772" i="71"/>
  <c r="O773" i="71"/>
  <c r="O774" i="71"/>
  <c r="O775" i="71"/>
  <c r="O776" i="71"/>
  <c r="O777" i="71"/>
  <c r="O778" i="71"/>
  <c r="Y778" i="71"/>
  <c r="O779" i="71"/>
  <c r="O780" i="71"/>
  <c r="Y780" i="71"/>
  <c r="O781" i="71"/>
  <c r="Y781" i="71"/>
  <c r="O782" i="71"/>
  <c r="K785" i="71"/>
  <c r="L785" i="71"/>
  <c r="M785" i="71"/>
  <c r="N785" i="71"/>
  <c r="O785" i="71"/>
  <c r="P785" i="71"/>
  <c r="Q785" i="71"/>
  <c r="R785" i="71"/>
  <c r="S785" i="71"/>
  <c r="U785" i="71"/>
  <c r="V785" i="71"/>
  <c r="W785" i="71"/>
  <c r="X785" i="71"/>
  <c r="Y785" i="71"/>
  <c r="Z785" i="71"/>
  <c r="AA785" i="71"/>
  <c r="AB785" i="71"/>
  <c r="AE785" i="71"/>
  <c r="AG785" i="71"/>
  <c r="AH785" i="71"/>
  <c r="AI785" i="71"/>
  <c r="AK785" i="71"/>
  <c r="AL785" i="71"/>
  <c r="K786" i="71"/>
  <c r="L786" i="71"/>
  <c r="M786" i="71"/>
  <c r="N786" i="71"/>
  <c r="O786" i="71"/>
  <c r="P786" i="71"/>
  <c r="Q786" i="71"/>
  <c r="R786" i="71"/>
  <c r="S786" i="71"/>
  <c r="T786" i="71"/>
  <c r="U786" i="71"/>
  <c r="V786" i="71"/>
  <c r="W786" i="71"/>
  <c r="X786" i="71"/>
  <c r="Y786" i="71"/>
  <c r="Z786" i="71"/>
  <c r="AA786" i="71"/>
  <c r="AB786" i="71"/>
  <c r="AC786" i="71"/>
  <c r="AD786" i="71"/>
  <c r="AE786" i="71"/>
  <c r="AF786" i="71"/>
  <c r="AG786" i="71"/>
  <c r="AH786" i="71"/>
  <c r="AI786" i="71"/>
  <c r="AJ786" i="71"/>
  <c r="AK786" i="71"/>
  <c r="AL786" i="71"/>
  <c r="D62" i="70"/>
  <c r="G34" i="70"/>
  <c r="G35" i="70"/>
  <c r="G36" i="70"/>
  <c r="G37" i="70"/>
  <c r="G38" i="70"/>
  <c r="G39" i="70"/>
  <c r="G40" i="70"/>
  <c r="G41" i="70"/>
  <c r="G42" i="70"/>
  <c r="G43" i="70"/>
  <c r="F42" i="70"/>
  <c r="F43" i="70"/>
  <c r="E42" i="70"/>
  <c r="E43" i="70"/>
  <c r="D42" i="70"/>
  <c r="D43" i="70"/>
  <c r="V33" i="70"/>
  <c r="V34" i="70"/>
  <c r="V35" i="70"/>
  <c r="V36" i="70"/>
  <c r="V37" i="70"/>
  <c r="V38" i="70"/>
  <c r="V39" i="70"/>
  <c r="V40" i="70"/>
  <c r="V41" i="70"/>
  <c r="V42" i="70"/>
  <c r="U41" i="70"/>
  <c r="U42" i="70"/>
  <c r="T41" i="70"/>
  <c r="T42" i="70"/>
  <c r="S41" i="70"/>
  <c r="S42" i="70"/>
  <c r="L35" i="70"/>
  <c r="L36" i="70"/>
  <c r="L37" i="70"/>
  <c r="K37" i="70"/>
  <c r="J37" i="70"/>
  <c r="P19" i="70"/>
  <c r="P20" i="70"/>
  <c r="P21" i="70"/>
  <c r="P22" i="70"/>
  <c r="P23" i="70"/>
  <c r="P24" i="70"/>
  <c r="P25" i="70"/>
  <c r="P26" i="70"/>
  <c r="P27" i="70"/>
  <c r="T19" i="70"/>
  <c r="T20" i="70"/>
  <c r="T21" i="70"/>
  <c r="T22" i="70"/>
  <c r="T23" i="70"/>
  <c r="T24" i="70"/>
  <c r="T25" i="70"/>
  <c r="T26" i="70"/>
  <c r="T27" i="70"/>
  <c r="U27" i="70"/>
  <c r="V27" i="70"/>
  <c r="S27" i="70"/>
  <c r="R27" i="70"/>
  <c r="Q27" i="70"/>
  <c r="O27" i="70"/>
  <c r="N27" i="70"/>
  <c r="M27" i="70"/>
  <c r="L27" i="70"/>
  <c r="K27" i="70"/>
  <c r="J27" i="70"/>
  <c r="I27" i="70"/>
  <c r="H27" i="70"/>
  <c r="G27" i="70"/>
  <c r="F27" i="70"/>
  <c r="E27" i="70"/>
  <c r="D27" i="70"/>
  <c r="V26" i="70"/>
  <c r="V25" i="70"/>
  <c r="V24" i="70"/>
  <c r="V23" i="70"/>
  <c r="V22" i="70"/>
  <c r="V21" i="70"/>
  <c r="V20" i="70"/>
  <c r="V19" i="70"/>
  <c r="F12" i="70"/>
  <c r="F13" i="70"/>
  <c r="G4" i="70"/>
  <c r="G5" i="70"/>
  <c r="G6" i="70"/>
  <c r="G7" i="70"/>
  <c r="G8" i="70"/>
  <c r="G9" i="70"/>
  <c r="G10" i="70"/>
  <c r="G11" i="70"/>
  <c r="G12" i="70"/>
  <c r="G13" i="70"/>
  <c r="G40" i="69"/>
  <c r="F32" i="69"/>
  <c r="F33" i="69"/>
  <c r="F34" i="69"/>
  <c r="F35" i="69"/>
  <c r="F36" i="69"/>
  <c r="F37" i="69"/>
  <c r="F38" i="69"/>
  <c r="F39" i="69"/>
  <c r="F40" i="69"/>
  <c r="E40" i="69"/>
  <c r="D40" i="69"/>
  <c r="C40" i="69"/>
  <c r="K26" i="69"/>
  <c r="L26" i="69"/>
  <c r="M26" i="69"/>
  <c r="N26" i="69"/>
  <c r="O26" i="69"/>
  <c r="P26" i="69"/>
  <c r="Q26" i="69"/>
  <c r="Q27" i="69"/>
  <c r="P27" i="69"/>
  <c r="O27" i="69"/>
  <c r="N27" i="69"/>
  <c r="M27" i="69"/>
  <c r="L27" i="69"/>
  <c r="K27" i="69"/>
  <c r="D26" i="69"/>
  <c r="E18" i="69"/>
  <c r="E19" i="69"/>
  <c r="E20" i="69"/>
  <c r="E21" i="69"/>
  <c r="E22" i="69"/>
  <c r="E23" i="69"/>
  <c r="E24" i="69"/>
  <c r="E25" i="69"/>
  <c r="E26" i="69"/>
  <c r="F26" i="69"/>
  <c r="C26" i="69"/>
  <c r="Q25" i="69"/>
  <c r="I25" i="69"/>
  <c r="D12" i="69"/>
  <c r="F12" i="69"/>
  <c r="H25" i="69"/>
  <c r="F25" i="69"/>
  <c r="Q24" i="69"/>
  <c r="I24" i="69"/>
  <c r="H24" i="69"/>
  <c r="F24" i="69"/>
  <c r="Q23" i="69"/>
  <c r="I23" i="69"/>
  <c r="H23" i="69"/>
  <c r="F23" i="69"/>
  <c r="Q22" i="69"/>
  <c r="I22" i="69"/>
  <c r="H22" i="69"/>
  <c r="F22" i="69"/>
  <c r="Q21" i="69"/>
  <c r="I21" i="69"/>
  <c r="H21" i="69"/>
  <c r="F21" i="69"/>
  <c r="Q20" i="69"/>
  <c r="I20" i="69"/>
  <c r="H20" i="69"/>
  <c r="F20" i="69"/>
  <c r="Q19" i="69"/>
  <c r="I19" i="69"/>
  <c r="H19" i="69"/>
  <c r="F19" i="69"/>
  <c r="Q18" i="69"/>
  <c r="I18" i="69"/>
  <c r="H18" i="69"/>
  <c r="F18" i="69"/>
  <c r="H17" i="69"/>
  <c r="P12" i="69"/>
  <c r="O12" i="69"/>
  <c r="N12" i="69"/>
  <c r="M12" i="69"/>
  <c r="L12" i="69"/>
  <c r="E12" i="69"/>
  <c r="J4" i="69"/>
  <c r="J5" i="69"/>
  <c r="J6" i="69"/>
  <c r="J7" i="69"/>
  <c r="J8" i="69"/>
  <c r="J9" i="69"/>
  <c r="J10" i="69"/>
  <c r="J11" i="69"/>
  <c r="J12" i="69"/>
  <c r="K12" i="69"/>
  <c r="I12" i="69"/>
  <c r="H12" i="69"/>
  <c r="G12" i="69"/>
  <c r="C12" i="69"/>
  <c r="K11" i="69"/>
  <c r="K10" i="69"/>
  <c r="W9" i="69"/>
  <c r="X4" i="69"/>
  <c r="X5" i="69"/>
  <c r="X7" i="69"/>
  <c r="X8" i="69"/>
  <c r="X9" i="69"/>
  <c r="S9" i="69"/>
  <c r="T4" i="69"/>
  <c r="T5" i="69"/>
  <c r="T6" i="69"/>
  <c r="T7" i="69"/>
  <c r="T8" i="69"/>
  <c r="T9" i="69"/>
  <c r="K9" i="69"/>
  <c r="K8" i="69"/>
  <c r="K7" i="69"/>
  <c r="K6" i="69"/>
  <c r="K5" i="69"/>
  <c r="K4" i="69"/>
  <c r="AD115" i="61"/>
  <c r="M11" i="54"/>
  <c r="J15" i="68"/>
  <c r="J25" i="68"/>
  <c r="J61" i="68"/>
  <c r="E5" i="48"/>
  <c r="J25" i="67"/>
  <c r="J61" i="67"/>
  <c r="J64" i="67"/>
  <c r="J71" i="67"/>
  <c r="J82" i="67"/>
  <c r="J83" i="67"/>
  <c r="J84" i="67"/>
  <c r="J98" i="67"/>
  <c r="E6" i="48"/>
  <c r="J98" i="66"/>
  <c r="E7" i="48"/>
  <c r="J100" i="65"/>
  <c r="E8" i="48"/>
  <c r="J105" i="64"/>
  <c r="E9" i="48"/>
  <c r="J85" i="63"/>
  <c r="J97" i="63"/>
  <c r="E10" i="48"/>
  <c r="J132" i="62"/>
  <c r="E11" i="48"/>
  <c r="J115" i="61"/>
  <c r="E12" i="48"/>
  <c r="C17" i="48"/>
  <c r="M61" i="68"/>
  <c r="F5" i="48"/>
  <c r="M6" i="67"/>
  <c r="M98" i="67"/>
  <c r="F6" i="48"/>
  <c r="M98" i="66"/>
  <c r="F7" i="48"/>
  <c r="M100" i="65"/>
  <c r="F8" i="48"/>
  <c r="M105" i="64"/>
  <c r="F9" i="48"/>
  <c r="M97" i="63"/>
  <c r="F10" i="48"/>
  <c r="M132" i="62"/>
  <c r="F11" i="48"/>
  <c r="L92" i="61"/>
  <c r="M92" i="61"/>
  <c r="M115" i="61"/>
  <c r="F12" i="48"/>
  <c r="C18" i="48"/>
  <c r="AJ4" i="61"/>
  <c r="AJ5" i="61"/>
  <c r="AJ8" i="61"/>
  <c r="AJ13" i="61"/>
  <c r="AJ17" i="61"/>
  <c r="AJ19" i="61"/>
  <c r="AJ21" i="61"/>
  <c r="AJ23" i="61"/>
  <c r="AJ29" i="61"/>
  <c r="AJ30" i="61"/>
  <c r="AJ31" i="61"/>
  <c r="AJ34" i="61"/>
  <c r="AJ37" i="61"/>
  <c r="AJ38" i="61"/>
  <c r="AJ39" i="61"/>
  <c r="AJ40" i="61"/>
  <c r="AJ41" i="61"/>
  <c r="AJ45" i="61"/>
  <c r="AJ46" i="61"/>
  <c r="AJ47" i="61"/>
  <c r="AJ48" i="61"/>
  <c r="AJ49" i="61"/>
  <c r="AJ50" i="61"/>
  <c r="AJ57" i="61"/>
  <c r="AJ58" i="61"/>
  <c r="AJ60" i="61"/>
  <c r="AJ61" i="61"/>
  <c r="AJ62" i="61"/>
  <c r="AJ63" i="61"/>
  <c r="AJ65" i="61"/>
  <c r="AJ66" i="61"/>
  <c r="AJ68" i="61"/>
  <c r="AJ69" i="61"/>
  <c r="AJ70" i="61"/>
  <c r="AJ71" i="61"/>
  <c r="AJ73" i="61"/>
  <c r="AJ74" i="61"/>
  <c r="AJ76" i="61"/>
  <c r="AJ79" i="61"/>
  <c r="AJ80" i="61"/>
  <c r="AJ81" i="61"/>
  <c r="AJ84" i="61"/>
  <c r="AJ86" i="61"/>
  <c r="AJ88" i="61"/>
  <c r="AJ89" i="61"/>
  <c r="AJ90" i="61"/>
  <c r="AJ91" i="61"/>
  <c r="AJ92" i="61"/>
  <c r="AJ94" i="61"/>
  <c r="AJ95" i="61"/>
  <c r="AJ97" i="61"/>
  <c r="AJ99" i="61"/>
  <c r="AJ103" i="61"/>
  <c r="AJ108" i="61"/>
  <c r="AJ109" i="61"/>
  <c r="AJ110" i="61"/>
  <c r="AJ111" i="61"/>
  <c r="AJ3" i="61"/>
  <c r="AJ6" i="61"/>
  <c r="AJ7" i="61"/>
  <c r="AJ9" i="61"/>
  <c r="AJ10" i="61"/>
  <c r="AJ11" i="61"/>
  <c r="AJ12" i="61"/>
  <c r="AJ14" i="61"/>
  <c r="AJ15" i="61"/>
  <c r="AJ16" i="61"/>
  <c r="AJ18" i="61"/>
  <c r="AJ20" i="61"/>
  <c r="AJ22" i="61"/>
  <c r="AJ24" i="61"/>
  <c r="AJ25" i="61"/>
  <c r="AJ26" i="61"/>
  <c r="AJ27" i="61"/>
  <c r="AJ28" i="61"/>
  <c r="AJ32" i="61"/>
  <c r="AJ33" i="61"/>
  <c r="AJ35" i="61"/>
  <c r="AJ36" i="61"/>
  <c r="AJ42" i="61"/>
  <c r="AJ43" i="61"/>
  <c r="AJ44" i="61"/>
  <c r="AJ51" i="61"/>
  <c r="AJ52" i="61"/>
  <c r="AJ53" i="61"/>
  <c r="AJ54" i="61"/>
  <c r="AJ55" i="61"/>
  <c r="AJ56" i="61"/>
  <c r="AJ59" i="61"/>
  <c r="AJ64" i="61"/>
  <c r="AJ67" i="61"/>
  <c r="AJ72" i="61"/>
  <c r="AJ75" i="61"/>
  <c r="AJ77" i="61"/>
  <c r="AJ78" i="61"/>
  <c r="AJ82" i="61"/>
  <c r="AJ83" i="61"/>
  <c r="AJ85" i="61"/>
  <c r="AJ87" i="61"/>
  <c r="AJ93" i="61"/>
  <c r="AJ96" i="61"/>
  <c r="AJ98" i="61"/>
  <c r="AJ100" i="61"/>
  <c r="AJ101" i="61"/>
  <c r="AJ102" i="61"/>
  <c r="AJ104" i="61"/>
  <c r="AJ105" i="61"/>
  <c r="AJ106" i="61"/>
  <c r="AJ107" i="61"/>
  <c r="AJ112" i="61"/>
  <c r="AJ113" i="61"/>
  <c r="AJ115" i="61"/>
  <c r="I5" i="46"/>
  <c r="AJ3" i="62"/>
  <c r="AJ4" i="62"/>
  <c r="AJ5" i="62"/>
  <c r="AJ6" i="62"/>
  <c r="AJ7" i="62"/>
  <c r="AJ8" i="62"/>
  <c r="AJ9" i="62"/>
  <c r="AJ10" i="62"/>
  <c r="AJ11" i="62"/>
  <c r="AJ12" i="62"/>
  <c r="AJ13" i="62"/>
  <c r="AJ14" i="62"/>
  <c r="AJ15" i="62"/>
  <c r="AJ16" i="62"/>
  <c r="AJ17" i="62"/>
  <c r="AJ18" i="62"/>
  <c r="AJ19" i="62"/>
  <c r="AJ20" i="62"/>
  <c r="AJ21" i="62"/>
  <c r="AJ22" i="62"/>
  <c r="AJ23" i="62"/>
  <c r="AJ25" i="62"/>
  <c r="AJ26" i="62"/>
  <c r="AJ27" i="62"/>
  <c r="AJ28" i="62"/>
  <c r="AJ29" i="62"/>
  <c r="AJ30" i="62"/>
  <c r="AJ31" i="62"/>
  <c r="AJ35" i="62"/>
  <c r="AJ36" i="62"/>
  <c r="AJ37" i="62"/>
  <c r="AJ38" i="62"/>
  <c r="AJ39" i="62"/>
  <c r="AJ40" i="62"/>
  <c r="AJ41" i="62"/>
  <c r="AJ42" i="62"/>
  <c r="AJ43" i="62"/>
  <c r="AJ44" i="62"/>
  <c r="AJ45" i="62"/>
  <c r="AJ46" i="62"/>
  <c r="AJ47" i="62"/>
  <c r="AJ48" i="62"/>
  <c r="AJ49" i="62"/>
  <c r="AJ50" i="62"/>
  <c r="AJ51" i="62"/>
  <c r="AJ52" i="62"/>
  <c r="AJ53" i="62"/>
  <c r="AJ54" i="62"/>
  <c r="AJ55" i="62"/>
  <c r="AJ56" i="62"/>
  <c r="AJ57" i="62"/>
  <c r="AJ58" i="62"/>
  <c r="AJ59" i="62"/>
  <c r="AJ60" i="62"/>
  <c r="AJ61" i="62"/>
  <c r="AJ62" i="62"/>
  <c r="AJ63" i="62"/>
  <c r="AJ64" i="62"/>
  <c r="AJ65" i="62"/>
  <c r="AJ66" i="62"/>
  <c r="AJ67" i="62"/>
  <c r="AJ68" i="62"/>
  <c r="AJ69" i="62"/>
  <c r="AJ70" i="62"/>
  <c r="AJ71" i="62"/>
  <c r="AJ72" i="62"/>
  <c r="AJ73" i="62"/>
  <c r="AJ74" i="62"/>
  <c r="AJ75" i="62"/>
  <c r="AJ76" i="62"/>
  <c r="AJ77" i="62"/>
  <c r="AJ78" i="62"/>
  <c r="AJ79" i="62"/>
  <c r="AJ80" i="62"/>
  <c r="AJ81" i="62"/>
  <c r="AJ82" i="62"/>
  <c r="AJ83" i="62"/>
  <c r="AJ84" i="62"/>
  <c r="AJ85" i="62"/>
  <c r="AJ86" i="62"/>
  <c r="AJ87" i="62"/>
  <c r="AJ88" i="62"/>
  <c r="AJ89" i="62"/>
  <c r="AJ90" i="62"/>
  <c r="AJ91" i="62"/>
  <c r="AJ92" i="62"/>
  <c r="AJ93" i="62"/>
  <c r="AJ94" i="62"/>
  <c r="AJ95" i="62"/>
  <c r="AJ96" i="62"/>
  <c r="AJ97" i="62"/>
  <c r="AJ98" i="62"/>
  <c r="AJ99" i="62"/>
  <c r="AJ100" i="62"/>
  <c r="AJ101" i="62"/>
  <c r="AJ102" i="62"/>
  <c r="AJ103" i="62"/>
  <c r="AJ104" i="62"/>
  <c r="AJ105" i="62"/>
  <c r="AJ106" i="62"/>
  <c r="AJ107" i="62"/>
  <c r="AJ108" i="62"/>
  <c r="AJ109" i="62"/>
  <c r="AJ110" i="62"/>
  <c r="AJ111" i="62"/>
  <c r="AJ112" i="62"/>
  <c r="AJ113" i="62"/>
  <c r="AJ114" i="62"/>
  <c r="AJ115" i="62"/>
  <c r="AJ116" i="62"/>
  <c r="AJ117" i="62"/>
  <c r="AJ118" i="62"/>
  <c r="AJ119" i="62"/>
  <c r="AJ120" i="62"/>
  <c r="AJ121" i="62"/>
  <c r="AJ122" i="62"/>
  <c r="AJ123" i="62"/>
  <c r="AJ124" i="62"/>
  <c r="AJ125" i="62"/>
  <c r="AJ126" i="62"/>
  <c r="AJ127" i="62"/>
  <c r="AJ128" i="62"/>
  <c r="AJ129" i="62"/>
  <c r="AJ130" i="62"/>
  <c r="AJ132" i="62"/>
  <c r="I6" i="46"/>
  <c r="AJ3" i="63"/>
  <c r="AJ4" i="63"/>
  <c r="AJ5" i="63"/>
  <c r="AJ6" i="63"/>
  <c r="AJ7" i="63"/>
  <c r="AJ8" i="63"/>
  <c r="AJ9" i="63"/>
  <c r="AJ10" i="63"/>
  <c r="AJ11" i="63"/>
  <c r="AJ12" i="63"/>
  <c r="AJ13" i="63"/>
  <c r="AJ14" i="63"/>
  <c r="AJ15" i="63"/>
  <c r="AJ16" i="63"/>
  <c r="AJ17" i="63"/>
  <c r="AJ18" i="63"/>
  <c r="AJ19" i="63"/>
  <c r="AJ20" i="63"/>
  <c r="AJ21" i="63"/>
  <c r="AJ22" i="63"/>
  <c r="AJ23" i="63"/>
  <c r="AJ24" i="63"/>
  <c r="AJ25" i="63"/>
  <c r="AJ26" i="63"/>
  <c r="AJ27" i="63"/>
  <c r="AJ28" i="63"/>
  <c r="AJ29" i="63"/>
  <c r="AJ30" i="63"/>
  <c r="AJ31" i="63"/>
  <c r="AJ32" i="63"/>
  <c r="AJ33" i="63"/>
  <c r="AJ34" i="63"/>
  <c r="AJ35" i="63"/>
  <c r="AJ36" i="63"/>
  <c r="AJ37" i="63"/>
  <c r="AJ38" i="63"/>
  <c r="AJ39" i="63"/>
  <c r="AJ40" i="63"/>
  <c r="AJ41" i="63"/>
  <c r="AJ42" i="63"/>
  <c r="AJ43" i="63"/>
  <c r="AJ44" i="63"/>
  <c r="AJ45" i="63"/>
  <c r="AJ46" i="63"/>
  <c r="AJ47" i="63"/>
  <c r="AJ48" i="63"/>
  <c r="AJ49" i="63"/>
  <c r="AJ50" i="63"/>
  <c r="AJ51" i="63"/>
  <c r="AJ52" i="63"/>
  <c r="AJ53" i="63"/>
  <c r="AJ54" i="63"/>
  <c r="AJ55" i="63"/>
  <c r="AJ56" i="63"/>
  <c r="AJ57" i="63"/>
  <c r="AJ58" i="63"/>
  <c r="AJ59" i="63"/>
  <c r="AJ60" i="63"/>
  <c r="AJ61" i="63"/>
  <c r="AJ62" i="63"/>
  <c r="AJ63" i="63"/>
  <c r="AJ64" i="63"/>
  <c r="AJ65" i="63"/>
  <c r="AJ66" i="63"/>
  <c r="AJ67" i="63"/>
  <c r="AJ68" i="63"/>
  <c r="AJ69" i="63"/>
  <c r="AJ70" i="63"/>
  <c r="AJ71" i="63"/>
  <c r="AJ72" i="63"/>
  <c r="AJ73" i="63"/>
  <c r="AJ74" i="63"/>
  <c r="AJ75" i="63"/>
  <c r="AJ76" i="63"/>
  <c r="AJ77" i="63"/>
  <c r="AJ78" i="63"/>
  <c r="AJ79" i="63"/>
  <c r="AJ80" i="63"/>
  <c r="AJ81" i="63"/>
  <c r="AJ82" i="63"/>
  <c r="AJ83" i="63"/>
  <c r="AJ84" i="63"/>
  <c r="AA85" i="63"/>
  <c r="AJ85" i="63"/>
  <c r="AJ86" i="63"/>
  <c r="AJ87" i="63"/>
  <c r="AJ88" i="63"/>
  <c r="AJ89" i="63"/>
  <c r="AJ90" i="63"/>
  <c r="AJ91" i="63"/>
  <c r="AJ92" i="63"/>
  <c r="AJ93" i="63"/>
  <c r="AJ94" i="63"/>
  <c r="AJ95" i="63"/>
  <c r="AJ97" i="63"/>
  <c r="I7" i="46"/>
  <c r="AJ3" i="64"/>
  <c r="AJ4" i="64"/>
  <c r="AJ5" i="64"/>
  <c r="AJ6" i="64"/>
  <c r="AJ7" i="64"/>
  <c r="AJ8" i="64"/>
  <c r="AJ9" i="64"/>
  <c r="AJ10" i="64"/>
  <c r="AJ11" i="64"/>
  <c r="AJ12" i="64"/>
  <c r="AJ13" i="64"/>
  <c r="AJ14" i="64"/>
  <c r="AJ15" i="64"/>
  <c r="AJ16" i="64"/>
  <c r="AJ17" i="64"/>
  <c r="AJ18" i="64"/>
  <c r="AJ19" i="64"/>
  <c r="AJ20" i="64"/>
  <c r="AJ21" i="64"/>
  <c r="AJ22" i="64"/>
  <c r="AJ23" i="64"/>
  <c r="AJ24" i="64"/>
  <c r="AJ25" i="64"/>
  <c r="AJ26" i="64"/>
  <c r="AJ27" i="64"/>
  <c r="AJ28" i="64"/>
  <c r="AJ29" i="64"/>
  <c r="AJ30" i="64"/>
  <c r="AJ31" i="64"/>
  <c r="AJ32" i="64"/>
  <c r="AJ33" i="64"/>
  <c r="AJ34" i="64"/>
  <c r="AJ35" i="64"/>
  <c r="AJ36" i="64"/>
  <c r="AJ37" i="64"/>
  <c r="AJ38" i="64"/>
  <c r="AJ39" i="64"/>
  <c r="AJ40" i="64"/>
  <c r="AJ41" i="64"/>
  <c r="AJ42" i="64"/>
  <c r="AJ43" i="64"/>
  <c r="AJ44" i="64"/>
  <c r="AJ45" i="64"/>
  <c r="AJ46" i="64"/>
  <c r="AJ47" i="64"/>
  <c r="AJ48" i="64"/>
  <c r="AJ49" i="64"/>
  <c r="AJ50" i="64"/>
  <c r="AJ51" i="64"/>
  <c r="AJ52" i="64"/>
  <c r="AJ53" i="64"/>
  <c r="AJ54" i="64"/>
  <c r="AJ55" i="64"/>
  <c r="AJ56" i="64"/>
  <c r="AJ57" i="64"/>
  <c r="AJ58" i="64"/>
  <c r="AJ59" i="64"/>
  <c r="AJ60" i="64"/>
  <c r="AJ61" i="64"/>
  <c r="AJ62" i="64"/>
  <c r="AJ63" i="64"/>
  <c r="AJ64" i="64"/>
  <c r="AJ65" i="64"/>
  <c r="AJ66" i="64"/>
  <c r="AJ67" i="64"/>
  <c r="AJ68" i="64"/>
  <c r="AJ69" i="64"/>
  <c r="AJ70" i="64"/>
  <c r="AJ71" i="64"/>
  <c r="AJ72" i="64"/>
  <c r="AJ73" i="64"/>
  <c r="AJ74" i="64"/>
  <c r="AJ75" i="64"/>
  <c r="AJ76" i="64"/>
  <c r="AJ77" i="64"/>
  <c r="AJ78" i="64"/>
  <c r="AJ79" i="64"/>
  <c r="AJ80" i="64"/>
  <c r="AJ81" i="64"/>
  <c r="AJ82" i="64"/>
  <c r="AJ83" i="64"/>
  <c r="AJ84" i="64"/>
  <c r="AJ85" i="64"/>
  <c r="AJ86" i="64"/>
  <c r="AJ87" i="64"/>
  <c r="AJ88" i="64"/>
  <c r="AJ89" i="64"/>
  <c r="AJ90" i="64"/>
  <c r="AJ91" i="64"/>
  <c r="AJ92" i="64"/>
  <c r="AJ93" i="64"/>
  <c r="AJ94" i="64"/>
  <c r="AJ95" i="64"/>
  <c r="AJ96" i="64"/>
  <c r="AJ97" i="64"/>
  <c r="AJ98" i="64"/>
  <c r="AJ99" i="64"/>
  <c r="AJ100" i="64"/>
  <c r="AJ101" i="64"/>
  <c r="AJ102" i="64"/>
  <c r="AJ103" i="64"/>
  <c r="AJ105" i="64"/>
  <c r="I8" i="46"/>
  <c r="AJ100" i="65"/>
  <c r="I9" i="46"/>
  <c r="AJ98" i="66"/>
  <c r="I10" i="46"/>
  <c r="AJ3" i="67"/>
  <c r="AJ4" i="67"/>
  <c r="AJ5" i="67"/>
  <c r="AJ6" i="67"/>
  <c r="AJ7" i="67"/>
  <c r="AJ8" i="67"/>
  <c r="AJ9" i="67"/>
  <c r="AJ10" i="67"/>
  <c r="AJ11" i="67"/>
  <c r="AJ12" i="67"/>
  <c r="AJ13" i="67"/>
  <c r="AJ14" i="67"/>
  <c r="AJ15" i="67"/>
  <c r="AJ16" i="67"/>
  <c r="AJ17" i="67"/>
  <c r="AJ18" i="67"/>
  <c r="AJ19" i="67"/>
  <c r="AJ20" i="67"/>
  <c r="AJ21" i="67"/>
  <c r="AJ22" i="67"/>
  <c r="AJ23" i="67"/>
  <c r="AJ24" i="67"/>
  <c r="AJ25" i="67"/>
  <c r="AJ26" i="67"/>
  <c r="AJ27" i="67"/>
  <c r="AJ28" i="67"/>
  <c r="AJ29" i="67"/>
  <c r="AJ30" i="67"/>
  <c r="AJ31" i="67"/>
  <c r="AJ32" i="67"/>
  <c r="AJ33" i="67"/>
  <c r="AJ34" i="67"/>
  <c r="AJ35" i="67"/>
  <c r="AJ36" i="67"/>
  <c r="AJ37" i="67"/>
  <c r="AJ38" i="67"/>
  <c r="AJ39" i="67"/>
  <c r="AJ40" i="67"/>
  <c r="AJ41" i="67"/>
  <c r="AJ42" i="67"/>
  <c r="AJ43" i="67"/>
  <c r="AJ44" i="67"/>
  <c r="AJ45" i="67"/>
  <c r="AJ46" i="67"/>
  <c r="AJ47" i="67"/>
  <c r="AJ48" i="67"/>
  <c r="AJ49" i="67"/>
  <c r="AJ50" i="67"/>
  <c r="AJ51" i="67"/>
  <c r="AJ52" i="67"/>
  <c r="AJ53" i="67"/>
  <c r="AJ54" i="67"/>
  <c r="AJ55" i="67"/>
  <c r="AJ56" i="67"/>
  <c r="AJ57" i="67"/>
  <c r="AJ58" i="67"/>
  <c r="AJ59" i="67"/>
  <c r="AJ60" i="67"/>
  <c r="AJ61" i="67"/>
  <c r="AJ62" i="67"/>
  <c r="AJ63" i="67"/>
  <c r="AJ64" i="67"/>
  <c r="AJ65" i="67"/>
  <c r="AJ66" i="67"/>
  <c r="AJ67" i="67"/>
  <c r="AJ68" i="67"/>
  <c r="AJ69" i="67"/>
  <c r="AJ70" i="67"/>
  <c r="AJ71" i="67"/>
  <c r="AJ72" i="67"/>
  <c r="AJ73" i="67"/>
  <c r="AJ74" i="67"/>
  <c r="AJ75" i="67"/>
  <c r="AJ76" i="67"/>
  <c r="AJ77" i="67"/>
  <c r="AJ78" i="67"/>
  <c r="AJ79" i="67"/>
  <c r="AJ80" i="67"/>
  <c r="AJ81" i="67"/>
  <c r="AJ82" i="67"/>
  <c r="AJ83" i="67"/>
  <c r="AJ84" i="67"/>
  <c r="AJ85" i="67"/>
  <c r="AJ86" i="67"/>
  <c r="AJ87" i="67"/>
  <c r="AJ88" i="67"/>
  <c r="AJ89" i="67"/>
  <c r="AJ90" i="67"/>
  <c r="AJ91" i="67"/>
  <c r="AJ92" i="67"/>
  <c r="AJ93" i="67"/>
  <c r="AJ94" i="67"/>
  <c r="Z95" i="67"/>
  <c r="AA95" i="67"/>
  <c r="AJ95" i="67"/>
  <c r="AJ96" i="67"/>
  <c r="AJ98" i="67"/>
  <c r="I11" i="46"/>
  <c r="AJ3" i="68"/>
  <c r="AJ4" i="68"/>
  <c r="AJ5" i="68"/>
  <c r="AJ6" i="68"/>
  <c r="AJ7" i="68"/>
  <c r="AJ8" i="68"/>
  <c r="AJ9" i="68"/>
  <c r="AJ10" i="68"/>
  <c r="AJ11" i="68"/>
  <c r="AJ12" i="68"/>
  <c r="AJ13" i="68"/>
  <c r="AJ14" i="68"/>
  <c r="AJ15" i="68"/>
  <c r="AJ16" i="68"/>
  <c r="AA17" i="68"/>
  <c r="AJ17" i="68"/>
  <c r="AJ18" i="68"/>
  <c r="AJ19" i="68"/>
  <c r="AJ20" i="68"/>
  <c r="AJ21" i="68"/>
  <c r="AJ22" i="68"/>
  <c r="AJ23" i="68"/>
  <c r="AJ24" i="68"/>
  <c r="Z25" i="68"/>
  <c r="AH25" i="68"/>
  <c r="AJ25" i="68"/>
  <c r="AJ26" i="68"/>
  <c r="AJ27" i="68"/>
  <c r="AJ28" i="68"/>
  <c r="AJ29" i="68"/>
  <c r="AJ30" i="68"/>
  <c r="AJ31" i="68"/>
  <c r="AJ32" i="68"/>
  <c r="AJ33" i="68"/>
  <c r="AJ34" i="68"/>
  <c r="AJ35" i="68"/>
  <c r="AJ36" i="68"/>
  <c r="AJ37" i="68"/>
  <c r="AJ38" i="68"/>
  <c r="AJ39" i="68"/>
  <c r="AJ40" i="68"/>
  <c r="AJ41" i="68"/>
  <c r="AJ42" i="68"/>
  <c r="AJ43" i="68"/>
  <c r="AJ44" i="68"/>
  <c r="AJ45" i="68"/>
  <c r="AJ46" i="68"/>
  <c r="AJ47" i="68"/>
  <c r="AJ48" i="68"/>
  <c r="AJ49" i="68"/>
  <c r="AJ50" i="68"/>
  <c r="AJ51" i="68"/>
  <c r="AJ52" i="68"/>
  <c r="AJ53" i="68"/>
  <c r="AJ54" i="68"/>
  <c r="AJ55" i="68"/>
  <c r="AJ56" i="68"/>
  <c r="AJ57" i="68"/>
  <c r="AJ58" i="68"/>
  <c r="AJ59" i="68"/>
  <c r="AJ61" i="68"/>
  <c r="I12" i="46"/>
  <c r="D17" i="48"/>
  <c r="AL81" i="61"/>
  <c r="AL115" i="61"/>
  <c r="L5" i="46"/>
  <c r="AL132" i="62"/>
  <c r="L6" i="46"/>
  <c r="AL95" i="63"/>
  <c r="AL97" i="63"/>
  <c r="L7" i="46"/>
  <c r="AL67" i="64"/>
  <c r="AL71" i="64"/>
  <c r="AL93" i="64"/>
  <c r="AL105" i="64"/>
  <c r="L8" i="46"/>
  <c r="AL100" i="65"/>
  <c r="L9" i="46"/>
  <c r="AL98" i="66"/>
  <c r="L10" i="46"/>
  <c r="AL98" i="67"/>
  <c r="L11" i="46"/>
  <c r="AL12" i="68"/>
  <c r="AL17" i="68"/>
  <c r="AL61" i="68"/>
  <c r="L12" i="46"/>
  <c r="D18" i="48"/>
  <c r="R47" i="61"/>
  <c r="R48" i="61"/>
  <c r="R65" i="61"/>
  <c r="R115" i="61"/>
  <c r="C5" i="46"/>
  <c r="R132" i="62"/>
  <c r="C6" i="46"/>
  <c r="R97" i="63"/>
  <c r="C7" i="46"/>
  <c r="R19" i="64"/>
  <c r="R30" i="64"/>
  <c r="R39" i="64"/>
  <c r="R105" i="64"/>
  <c r="C8" i="46"/>
  <c r="R100" i="65"/>
  <c r="C9" i="46"/>
  <c r="R98" i="66"/>
  <c r="C10" i="46"/>
  <c r="R14" i="67"/>
  <c r="R19" i="67"/>
  <c r="R20" i="67"/>
  <c r="R83" i="67"/>
  <c r="R95" i="67"/>
  <c r="R96" i="67"/>
  <c r="R98" i="67"/>
  <c r="C11" i="46"/>
  <c r="R21" i="68"/>
  <c r="R22" i="68"/>
  <c r="R24" i="68"/>
  <c r="R61" i="68"/>
  <c r="C12" i="46"/>
  <c r="E17" i="48"/>
  <c r="P47" i="61"/>
  <c r="P48" i="61"/>
  <c r="P65" i="61"/>
  <c r="P115" i="61"/>
  <c r="F5" i="46"/>
  <c r="P132" i="62"/>
  <c r="F6" i="46"/>
  <c r="P97" i="63"/>
  <c r="F7" i="46"/>
  <c r="P19" i="64"/>
  <c r="P30" i="64"/>
  <c r="P39" i="64"/>
  <c r="P83" i="64"/>
  <c r="P105" i="64"/>
  <c r="F8" i="46"/>
  <c r="P100" i="65"/>
  <c r="F9" i="46"/>
  <c r="P98" i="66"/>
  <c r="F10" i="46"/>
  <c r="P3" i="67"/>
  <c r="P14" i="67"/>
  <c r="P19" i="67"/>
  <c r="P20" i="67"/>
  <c r="P83" i="67"/>
  <c r="P88" i="67"/>
  <c r="P98" i="67"/>
  <c r="F11" i="46"/>
  <c r="P13" i="68"/>
  <c r="P19" i="68"/>
  <c r="P21" i="68"/>
  <c r="P22" i="68"/>
  <c r="P23" i="68"/>
  <c r="P24" i="68"/>
  <c r="P39" i="68"/>
  <c r="P61" i="68"/>
  <c r="F12" i="46"/>
  <c r="F17" i="48"/>
  <c r="Q48" i="61"/>
  <c r="Q65" i="61"/>
  <c r="Q81" i="61"/>
  <c r="Q115" i="61"/>
  <c r="G5" i="46"/>
  <c r="Q132" i="62"/>
  <c r="G6" i="46"/>
  <c r="Q97" i="63"/>
  <c r="G7" i="46"/>
  <c r="Q8" i="64"/>
  <c r="Q14" i="64"/>
  <c r="Q19" i="64"/>
  <c r="Q20" i="64"/>
  <c r="Q30" i="64"/>
  <c r="Q39" i="64"/>
  <c r="Q82" i="64"/>
  <c r="Q83" i="64"/>
  <c r="Q105" i="64"/>
  <c r="G8" i="46"/>
  <c r="Q100" i="65"/>
  <c r="G9" i="46"/>
  <c r="Q98" i="66"/>
  <c r="G10" i="46"/>
  <c r="Q3" i="67"/>
  <c r="Q14" i="67"/>
  <c r="Q16" i="67"/>
  <c r="Q70" i="67"/>
  <c r="Q95" i="67"/>
  <c r="Q96" i="67"/>
  <c r="Q98" i="67"/>
  <c r="G11" i="46"/>
  <c r="Q16" i="68"/>
  <c r="Q19" i="68"/>
  <c r="Q21" i="68"/>
  <c r="Q23" i="68"/>
  <c r="Q44" i="68"/>
  <c r="Q61" i="68"/>
  <c r="G12" i="46"/>
  <c r="G17" i="48"/>
  <c r="W81" i="61"/>
  <c r="W115" i="61"/>
  <c r="D5" i="46"/>
  <c r="W12" i="62"/>
  <c r="W132" i="62"/>
  <c r="D6" i="46"/>
  <c r="W95" i="63"/>
  <c r="W97" i="63"/>
  <c r="D7" i="46"/>
  <c r="W3" i="64"/>
  <c r="W93" i="64"/>
  <c r="W105" i="64"/>
  <c r="D8" i="46"/>
  <c r="W100" i="65"/>
  <c r="D9" i="46"/>
  <c r="W98" i="66"/>
  <c r="D10" i="46"/>
  <c r="W98" i="67"/>
  <c r="D11" i="46"/>
  <c r="W25" i="68"/>
  <c r="W61" i="68"/>
  <c r="D12" i="46"/>
  <c r="E18" i="48"/>
  <c r="AV36" i="48"/>
  <c r="AZ36" i="48"/>
  <c r="K14" i="48"/>
  <c r="L14" i="48"/>
  <c r="M14" i="48"/>
  <c r="N14" i="48"/>
  <c r="J14" i="48"/>
  <c r="J17" i="48"/>
  <c r="J16" i="48"/>
  <c r="K13" i="48"/>
  <c r="L13" i="48"/>
  <c r="M13" i="48"/>
  <c r="N13" i="48"/>
  <c r="J13" i="48"/>
  <c r="K4" i="54"/>
  <c r="K5" i="54"/>
  <c r="K6" i="54"/>
  <c r="K7" i="54"/>
  <c r="K8" i="54"/>
  <c r="K9" i="54"/>
  <c r="K10" i="54"/>
  <c r="K11" i="54"/>
  <c r="K12" i="54"/>
  <c r="L4" i="54"/>
  <c r="L5" i="54"/>
  <c r="L6" i="54"/>
  <c r="L7" i="54"/>
  <c r="L8" i="54"/>
  <c r="L9" i="54"/>
  <c r="L10" i="54"/>
  <c r="L11" i="54"/>
  <c r="L12" i="54"/>
  <c r="M10" i="54"/>
  <c r="M12" i="54"/>
  <c r="T61" i="68"/>
  <c r="N4" i="54"/>
  <c r="T98" i="67"/>
  <c r="N5" i="54"/>
  <c r="T98" i="66"/>
  <c r="N6" i="54"/>
  <c r="T100" i="65"/>
  <c r="N7" i="54"/>
  <c r="T36" i="64"/>
  <c r="T105" i="64"/>
  <c r="N8" i="54"/>
  <c r="T97" i="63"/>
  <c r="N9" i="54"/>
  <c r="T109" i="62"/>
  <c r="T132" i="62"/>
  <c r="N10" i="54"/>
  <c r="T115" i="61"/>
  <c r="N11" i="54"/>
  <c r="N12" i="54"/>
  <c r="U61" i="68"/>
  <c r="O4" i="54"/>
  <c r="U83" i="67"/>
  <c r="U88" i="67"/>
  <c r="U95" i="67"/>
  <c r="U98" i="67"/>
  <c r="O5" i="54"/>
  <c r="U98" i="66"/>
  <c r="O6" i="54"/>
  <c r="U100" i="65"/>
  <c r="O7" i="54"/>
  <c r="U40" i="64"/>
  <c r="U105" i="64"/>
  <c r="O8" i="54"/>
  <c r="U97" i="63"/>
  <c r="O9" i="54"/>
  <c r="U132" i="62"/>
  <c r="O10" i="54"/>
  <c r="U115" i="61"/>
  <c r="O11" i="54"/>
  <c r="O12" i="54"/>
  <c r="V61" i="68"/>
  <c r="P4" i="54"/>
  <c r="V98" i="67"/>
  <c r="P5" i="54"/>
  <c r="V98" i="66"/>
  <c r="P6" i="54"/>
  <c r="V100" i="65"/>
  <c r="P7" i="54"/>
  <c r="V105" i="64"/>
  <c r="P8" i="54"/>
  <c r="V97" i="63"/>
  <c r="P9" i="54"/>
  <c r="V132" i="62"/>
  <c r="P10" i="54"/>
  <c r="V115" i="61"/>
  <c r="P11" i="54"/>
  <c r="P12" i="54"/>
  <c r="Q4" i="54"/>
  <c r="Q5" i="54"/>
  <c r="Q6" i="54"/>
  <c r="Q7" i="54"/>
  <c r="Q8" i="54"/>
  <c r="Q9" i="54"/>
  <c r="Q10" i="54"/>
  <c r="Q11" i="54"/>
  <c r="Q12" i="54"/>
  <c r="X4" i="68"/>
  <c r="X5" i="68"/>
  <c r="X6" i="68"/>
  <c r="X8" i="68"/>
  <c r="X9" i="68"/>
  <c r="X13" i="68"/>
  <c r="X14" i="68"/>
  <c r="X16" i="68"/>
  <c r="X19" i="68"/>
  <c r="X21" i="68"/>
  <c r="X22" i="68"/>
  <c r="X23" i="68"/>
  <c r="X24" i="68"/>
  <c r="X29" i="68"/>
  <c r="X39" i="68"/>
  <c r="X44" i="68"/>
  <c r="X61" i="68"/>
  <c r="R4" i="54"/>
  <c r="X3" i="67"/>
  <c r="X6" i="67"/>
  <c r="X16" i="67"/>
  <c r="X18" i="67"/>
  <c r="X19" i="67"/>
  <c r="X20" i="67"/>
  <c r="X21" i="67"/>
  <c r="X22" i="67"/>
  <c r="X25" i="67"/>
  <c r="X32" i="67"/>
  <c r="X33" i="67"/>
  <c r="X36" i="67"/>
  <c r="X37" i="67"/>
  <c r="X42" i="67"/>
  <c r="X57" i="67"/>
  <c r="X60" i="67"/>
  <c r="X70" i="67"/>
  <c r="X83" i="67"/>
  <c r="X84" i="67"/>
  <c r="X85" i="67"/>
  <c r="X88" i="67"/>
  <c r="X92" i="67"/>
  <c r="X95" i="67"/>
  <c r="X96" i="67"/>
  <c r="X98" i="67"/>
  <c r="R5" i="54"/>
  <c r="X98" i="66"/>
  <c r="R6" i="54"/>
  <c r="X100" i="65"/>
  <c r="R7" i="54"/>
  <c r="X6" i="64"/>
  <c r="X7" i="64"/>
  <c r="X8" i="64"/>
  <c r="X9" i="64"/>
  <c r="X12" i="64"/>
  <c r="X13" i="64"/>
  <c r="X14" i="64"/>
  <c r="X15" i="64"/>
  <c r="X19" i="64"/>
  <c r="X21" i="64"/>
  <c r="X22" i="64"/>
  <c r="X23" i="64"/>
  <c r="X24" i="64"/>
  <c r="X28" i="64"/>
  <c r="X29" i="64"/>
  <c r="X30" i="64"/>
  <c r="X33" i="64"/>
  <c r="X34" i="64"/>
  <c r="X35" i="64"/>
  <c r="X36" i="64"/>
  <c r="X37" i="64"/>
  <c r="X39" i="64"/>
  <c r="X40" i="64"/>
  <c r="X41" i="64"/>
  <c r="X43" i="64"/>
  <c r="X48" i="64"/>
  <c r="X49" i="64"/>
  <c r="X58" i="64"/>
  <c r="X59" i="64"/>
  <c r="X63" i="64"/>
  <c r="X65" i="64"/>
  <c r="X66" i="64"/>
  <c r="X67" i="64"/>
  <c r="X76" i="64"/>
  <c r="X82" i="64"/>
  <c r="X83" i="64"/>
  <c r="X88" i="64"/>
  <c r="X93" i="64"/>
  <c r="X103" i="64"/>
  <c r="X105" i="64"/>
  <c r="R8" i="54"/>
  <c r="X4" i="63"/>
  <c r="X6" i="63"/>
  <c r="X8" i="63"/>
  <c r="X9" i="63"/>
  <c r="X12" i="63"/>
  <c r="X13" i="63"/>
  <c r="X14" i="63"/>
  <c r="X15" i="63"/>
  <c r="X17" i="63"/>
  <c r="X18" i="63"/>
  <c r="X22" i="63"/>
  <c r="X25" i="63"/>
  <c r="X27" i="63"/>
  <c r="X28" i="63"/>
  <c r="X29" i="63"/>
  <c r="X31" i="63"/>
  <c r="X32" i="63"/>
  <c r="X33" i="63"/>
  <c r="X34" i="63"/>
  <c r="X37" i="63"/>
  <c r="X39" i="63"/>
  <c r="X40" i="63"/>
  <c r="X41" i="63"/>
  <c r="X44" i="63"/>
  <c r="X46" i="63"/>
  <c r="X47" i="63"/>
  <c r="X48" i="63"/>
  <c r="X49" i="63"/>
  <c r="X50" i="63"/>
  <c r="X51" i="63"/>
  <c r="X52" i="63"/>
  <c r="X57" i="63"/>
  <c r="X58" i="63"/>
  <c r="X59" i="63"/>
  <c r="X65" i="63"/>
  <c r="X68" i="63"/>
  <c r="X70" i="63"/>
  <c r="X78" i="63"/>
  <c r="X83" i="63"/>
  <c r="X86" i="63"/>
  <c r="X97" i="63"/>
  <c r="R9" i="54"/>
  <c r="X3" i="62"/>
  <c r="X5" i="62"/>
  <c r="X6" i="62"/>
  <c r="X7" i="62"/>
  <c r="X8" i="62"/>
  <c r="X9" i="62"/>
  <c r="X10" i="62"/>
  <c r="X11" i="62"/>
  <c r="X12" i="62"/>
  <c r="X13" i="62"/>
  <c r="X14" i="62"/>
  <c r="X15" i="62"/>
  <c r="X17" i="62"/>
  <c r="X18" i="62"/>
  <c r="X20" i="62"/>
  <c r="X21" i="62"/>
  <c r="X22" i="62"/>
  <c r="X23" i="62"/>
  <c r="X25" i="62"/>
  <c r="X26" i="62"/>
  <c r="X28" i="62"/>
  <c r="X29" i="62"/>
  <c r="X30" i="62"/>
  <c r="X31" i="62"/>
  <c r="X32" i="62"/>
  <c r="X34" i="62"/>
  <c r="X35" i="62"/>
  <c r="X36" i="62"/>
  <c r="X38" i="62"/>
  <c r="X40" i="62"/>
  <c r="X44" i="62"/>
  <c r="X48" i="62"/>
  <c r="X49" i="62"/>
  <c r="X50" i="62"/>
  <c r="X51" i="62"/>
  <c r="X54" i="62"/>
  <c r="X55" i="62"/>
  <c r="X57" i="62"/>
  <c r="X60" i="62"/>
  <c r="X61" i="62"/>
  <c r="X62" i="62"/>
  <c r="X63" i="62"/>
  <c r="X64" i="62"/>
  <c r="X66" i="62"/>
  <c r="X67" i="62"/>
  <c r="X68" i="62"/>
  <c r="X69" i="62"/>
  <c r="X72" i="62"/>
  <c r="X77" i="62"/>
  <c r="X78" i="62"/>
  <c r="X80" i="62"/>
  <c r="X83" i="62"/>
  <c r="X91" i="62"/>
  <c r="X92" i="62"/>
  <c r="X93" i="62"/>
  <c r="X94" i="62"/>
  <c r="X98" i="62"/>
  <c r="X100" i="62"/>
  <c r="X103" i="62"/>
  <c r="X107" i="62"/>
  <c r="X108" i="62"/>
  <c r="X109" i="62"/>
  <c r="X110" i="62"/>
  <c r="X132" i="62"/>
  <c r="R10" i="54"/>
  <c r="X13" i="61"/>
  <c r="X19" i="61"/>
  <c r="X21" i="61"/>
  <c r="X30" i="61"/>
  <c r="X37" i="61"/>
  <c r="X38" i="61"/>
  <c r="X39" i="61"/>
  <c r="X41" i="61"/>
  <c r="X45" i="61"/>
  <c r="X47" i="61"/>
  <c r="X48" i="61"/>
  <c r="X49" i="61"/>
  <c r="X50" i="61"/>
  <c r="X58" i="61"/>
  <c r="X60" i="61"/>
  <c r="X62" i="61"/>
  <c r="X63" i="61"/>
  <c r="X65" i="61"/>
  <c r="X68" i="61"/>
  <c r="X69" i="61"/>
  <c r="X70" i="61"/>
  <c r="X71" i="61"/>
  <c r="X73" i="61"/>
  <c r="X74" i="61"/>
  <c r="X76" i="61"/>
  <c r="X79" i="61"/>
  <c r="X80" i="61"/>
  <c r="X81" i="61"/>
  <c r="X84" i="61"/>
  <c r="X86" i="61"/>
  <c r="X88" i="61"/>
  <c r="X90" i="61"/>
  <c r="X91" i="61"/>
  <c r="X92" i="61"/>
  <c r="X94" i="61"/>
  <c r="X95" i="61"/>
  <c r="X103" i="61"/>
  <c r="X110" i="61"/>
  <c r="X7" i="61"/>
  <c r="X9" i="61"/>
  <c r="X10" i="61"/>
  <c r="X11" i="61"/>
  <c r="X12" i="61"/>
  <c r="X16" i="61"/>
  <c r="X18" i="61"/>
  <c r="X20" i="61"/>
  <c r="X22" i="61"/>
  <c r="X24" i="61"/>
  <c r="X27" i="61"/>
  <c r="X28" i="61"/>
  <c r="X33" i="61"/>
  <c r="X35" i="61"/>
  <c r="X42" i="61"/>
  <c r="X51" i="61"/>
  <c r="X52" i="61"/>
  <c r="X55" i="61"/>
  <c r="X56" i="61"/>
  <c r="X67" i="61"/>
  <c r="X72" i="61"/>
  <c r="X75" i="61"/>
  <c r="X77" i="61"/>
  <c r="X78" i="61"/>
  <c r="X85" i="61"/>
  <c r="X115" i="61"/>
  <c r="R11" i="54"/>
  <c r="R12" i="54"/>
  <c r="Y132" i="62"/>
  <c r="Y115" i="61"/>
  <c r="Z61" i="68"/>
  <c r="S4" i="54"/>
  <c r="Z98" i="67"/>
  <c r="S5" i="54"/>
  <c r="Z98" i="66"/>
  <c r="S6" i="54"/>
  <c r="Z100" i="65"/>
  <c r="S7" i="54"/>
  <c r="Z105" i="64"/>
  <c r="S8" i="54"/>
  <c r="Z97" i="63"/>
  <c r="S9" i="54"/>
  <c r="Z132" i="62"/>
  <c r="S10" i="54"/>
  <c r="Z115" i="61"/>
  <c r="S11" i="54"/>
  <c r="S12" i="54"/>
  <c r="AA61" i="68"/>
  <c r="T4" i="54"/>
  <c r="AA98" i="67"/>
  <c r="T5" i="54"/>
  <c r="AA98" i="66"/>
  <c r="T6" i="54"/>
  <c r="AA100" i="65"/>
  <c r="T7" i="54"/>
  <c r="AA105" i="64"/>
  <c r="T8" i="54"/>
  <c r="AA97" i="63"/>
  <c r="T9" i="54"/>
  <c r="AA132" i="62"/>
  <c r="T10" i="54"/>
  <c r="AA115" i="61"/>
  <c r="T11" i="54"/>
  <c r="T12" i="54"/>
  <c r="AB17" i="68"/>
  <c r="AB18" i="68"/>
  <c r="AB19" i="68"/>
  <c r="AB23" i="68"/>
  <c r="AB27" i="68"/>
  <c r="AB29" i="68"/>
  <c r="AB61" i="68"/>
  <c r="U4" i="54"/>
  <c r="AB98" i="67"/>
  <c r="U5" i="54"/>
  <c r="AB98" i="66"/>
  <c r="U6" i="54"/>
  <c r="AB100" i="65"/>
  <c r="U7" i="54"/>
  <c r="AB105" i="64"/>
  <c r="U8" i="54"/>
  <c r="AB97" i="63"/>
  <c r="U9" i="54"/>
  <c r="AB132" i="62"/>
  <c r="U10" i="54"/>
  <c r="AB115" i="61"/>
  <c r="U11" i="54"/>
  <c r="U12" i="54"/>
  <c r="AC61" i="68"/>
  <c r="V4" i="54"/>
  <c r="AC98" i="67"/>
  <c r="V5" i="54"/>
  <c r="AC98" i="66"/>
  <c r="V6" i="54"/>
  <c r="AC100" i="65"/>
  <c r="V7" i="54"/>
  <c r="AC105" i="64"/>
  <c r="V8" i="54"/>
  <c r="AC97" i="63"/>
  <c r="V9" i="54"/>
  <c r="V10" i="54"/>
  <c r="AE25" i="68"/>
  <c r="AE26" i="68"/>
  <c r="AE61" i="68"/>
  <c r="X4" i="54"/>
  <c r="AE98" i="67"/>
  <c r="X5" i="54"/>
  <c r="AE98" i="66"/>
  <c r="X6" i="54"/>
  <c r="AE100" i="65"/>
  <c r="X7" i="54"/>
  <c r="AE105" i="64"/>
  <c r="X8" i="54"/>
  <c r="AE97" i="63"/>
  <c r="X9" i="54"/>
  <c r="AE132" i="62"/>
  <c r="X10" i="54"/>
  <c r="AE115" i="61"/>
  <c r="X11" i="54"/>
  <c r="AF61" i="68"/>
  <c r="Y4" i="54"/>
  <c r="AF98" i="67"/>
  <c r="Y5" i="54"/>
  <c r="AF98" i="66"/>
  <c r="Y6" i="54"/>
  <c r="AF100" i="65"/>
  <c r="Y7" i="54"/>
  <c r="AF105" i="64"/>
  <c r="Y8" i="54"/>
  <c r="AF97" i="63"/>
  <c r="Y9" i="54"/>
  <c r="AF132" i="62"/>
  <c r="Y10" i="54"/>
  <c r="AF115" i="61"/>
  <c r="Y11" i="54"/>
  <c r="Y12" i="54"/>
  <c r="AG17" i="68"/>
  <c r="AG61" i="68"/>
  <c r="Z4" i="54"/>
  <c r="AG98" i="67"/>
  <c r="Z5" i="54"/>
  <c r="AG98" i="66"/>
  <c r="Z6" i="54"/>
  <c r="AG100" i="65"/>
  <c r="Z7" i="54"/>
  <c r="AG105" i="64"/>
  <c r="Z8" i="54"/>
  <c r="AG97" i="63"/>
  <c r="Z9" i="54"/>
  <c r="AG132" i="62"/>
  <c r="Z10" i="54"/>
  <c r="AG115" i="61"/>
  <c r="Z11" i="54"/>
  <c r="Z12" i="54"/>
  <c r="AH61" i="68"/>
  <c r="AA4" i="54"/>
  <c r="AH98" i="67"/>
  <c r="AA5" i="54"/>
  <c r="AH98" i="66"/>
  <c r="AA6" i="54"/>
  <c r="AH100" i="65"/>
  <c r="AA7" i="54"/>
  <c r="AH105" i="64"/>
  <c r="AA8" i="54"/>
  <c r="AH97" i="63"/>
  <c r="AA9" i="54"/>
  <c r="AH132" i="62"/>
  <c r="AA10" i="54"/>
  <c r="AH115" i="61"/>
  <c r="AA11" i="54"/>
  <c r="AA12" i="54"/>
  <c r="AI61" i="68"/>
  <c r="AB4" i="54"/>
  <c r="AI98" i="67"/>
  <c r="AB5" i="54"/>
  <c r="AI98" i="66"/>
  <c r="AB6" i="54"/>
  <c r="AI100" i="65"/>
  <c r="AB7" i="54"/>
  <c r="AI105" i="64"/>
  <c r="AB8" i="54"/>
  <c r="AI97" i="63"/>
  <c r="AB9" i="54"/>
  <c r="AI132" i="62"/>
  <c r="AB10" i="54"/>
  <c r="AI115" i="61"/>
  <c r="AB11" i="54"/>
  <c r="AB12" i="54"/>
  <c r="AC4" i="54"/>
  <c r="AC5" i="54"/>
  <c r="AC6" i="54"/>
  <c r="AC7" i="54"/>
  <c r="AC8" i="54"/>
  <c r="AC9" i="54"/>
  <c r="AC10" i="54"/>
  <c r="AC11" i="54"/>
  <c r="AC12" i="54"/>
  <c r="AK61" i="68"/>
  <c r="AD4" i="54"/>
  <c r="AK98" i="67"/>
  <c r="AD5" i="54"/>
  <c r="AK98" i="66"/>
  <c r="AD6" i="54"/>
  <c r="AK100" i="65"/>
  <c r="AD7" i="54"/>
  <c r="AK105" i="64"/>
  <c r="AD8" i="54"/>
  <c r="AK97" i="63"/>
  <c r="AD9" i="54"/>
  <c r="AK132" i="62"/>
  <c r="AD10" i="54"/>
  <c r="AK115" i="61"/>
  <c r="AD11" i="54"/>
  <c r="AD12" i="54"/>
  <c r="AE4" i="54"/>
  <c r="AE5" i="54"/>
  <c r="AE6" i="54"/>
  <c r="AE7" i="54"/>
  <c r="AE8" i="54"/>
  <c r="AE9" i="54"/>
  <c r="AE10" i="54"/>
  <c r="AE11" i="54"/>
  <c r="AE12" i="54"/>
  <c r="O11" i="68"/>
  <c r="O13" i="68"/>
  <c r="O14" i="68"/>
  <c r="O15" i="68"/>
  <c r="O16" i="68"/>
  <c r="O17" i="68"/>
  <c r="O18" i="68"/>
  <c r="O25" i="68"/>
  <c r="O28" i="68"/>
  <c r="O30" i="68"/>
  <c r="O61" i="68"/>
  <c r="I4" i="54"/>
  <c r="O6" i="67"/>
  <c r="O16" i="67"/>
  <c r="O18" i="67"/>
  <c r="O20" i="67"/>
  <c r="O21" i="67"/>
  <c r="O22" i="67"/>
  <c r="O23" i="67"/>
  <c r="O24" i="67"/>
  <c r="O25" i="67"/>
  <c r="O42" i="67"/>
  <c r="O82" i="67"/>
  <c r="O85" i="67"/>
  <c r="O89" i="67"/>
  <c r="O94" i="67"/>
  <c r="O95" i="67"/>
  <c r="O96" i="67"/>
  <c r="O98" i="67"/>
  <c r="I5" i="54"/>
  <c r="O98" i="66"/>
  <c r="I6" i="54"/>
  <c r="O100" i="65"/>
  <c r="I7" i="54"/>
  <c r="O17" i="64"/>
  <c r="O21" i="64"/>
  <c r="O98" i="64"/>
  <c r="O105" i="64"/>
  <c r="I8" i="54"/>
  <c r="O63" i="63"/>
  <c r="O97" i="63"/>
  <c r="I9" i="54"/>
  <c r="O51" i="62"/>
  <c r="O132" i="62"/>
  <c r="I10" i="54"/>
  <c r="O37" i="61"/>
  <c r="O115" i="61"/>
  <c r="I11" i="54"/>
  <c r="I12" i="54"/>
  <c r="J4" i="54"/>
  <c r="J5" i="54"/>
  <c r="J6" i="54"/>
  <c r="J7" i="54"/>
  <c r="J8" i="54"/>
  <c r="J9" i="54"/>
  <c r="J10" i="54"/>
  <c r="J11" i="54"/>
  <c r="J12" i="54"/>
  <c r="AB10" i="53"/>
  <c r="AC10" i="53"/>
  <c r="AD10" i="53"/>
  <c r="AE10" i="53"/>
  <c r="AF10" i="53"/>
  <c r="AG10" i="53"/>
  <c r="AH10" i="53"/>
  <c r="AI10" i="53"/>
  <c r="AJ10" i="53"/>
  <c r="AK10" i="53"/>
  <c r="S10" i="53"/>
  <c r="T10" i="53"/>
  <c r="U10" i="53"/>
  <c r="V10" i="53"/>
  <c r="O10" i="53"/>
  <c r="K10" i="53"/>
  <c r="L10" i="53"/>
  <c r="AD98" i="67"/>
  <c r="Y98" i="67"/>
  <c r="S98" i="67"/>
  <c r="AD98" i="66"/>
  <c r="Y98" i="66"/>
  <c r="S98" i="66"/>
  <c r="AD100" i="65"/>
  <c r="Y100" i="65"/>
  <c r="S100" i="65"/>
  <c r="AD105" i="64"/>
  <c r="Y105" i="64"/>
  <c r="S105" i="64"/>
  <c r="AD97" i="63"/>
  <c r="Y97" i="63"/>
  <c r="S97" i="63"/>
  <c r="AD61" i="68"/>
  <c r="Y25" i="68"/>
  <c r="Y61" i="68"/>
  <c r="S61" i="68"/>
  <c r="D4" i="54"/>
  <c r="D5" i="54"/>
  <c r="D6" i="54"/>
  <c r="D7" i="54"/>
  <c r="D8" i="54"/>
  <c r="D9" i="54"/>
  <c r="D10" i="54"/>
  <c r="D11" i="54"/>
  <c r="D12" i="54"/>
  <c r="L61" i="68"/>
  <c r="F4" i="54"/>
  <c r="L88" i="67"/>
  <c r="L98" i="67"/>
  <c r="F5" i="54"/>
  <c r="L98" i="66"/>
  <c r="F6" i="54"/>
  <c r="L100" i="65"/>
  <c r="F7" i="54"/>
  <c r="L105" i="64"/>
  <c r="F8" i="54"/>
  <c r="L63" i="63"/>
  <c r="L97" i="63"/>
  <c r="F9" i="54"/>
  <c r="L132" i="62"/>
  <c r="F10" i="54"/>
  <c r="L80" i="61"/>
  <c r="L81" i="61"/>
  <c r="L115" i="61"/>
  <c r="F11" i="54"/>
  <c r="F12" i="54"/>
  <c r="G4" i="54"/>
  <c r="G5" i="54"/>
  <c r="G6" i="54"/>
  <c r="G7" i="54"/>
  <c r="G8" i="54"/>
  <c r="G9" i="54"/>
  <c r="G10" i="54"/>
  <c r="G11" i="54"/>
  <c r="G12" i="54"/>
  <c r="N3" i="68"/>
  <c r="N4" i="68"/>
  <c r="N5" i="68"/>
  <c r="N6" i="68"/>
  <c r="N7" i="68"/>
  <c r="N8" i="68"/>
  <c r="N9" i="68"/>
  <c r="N10" i="68"/>
  <c r="N11" i="68"/>
  <c r="N12" i="68"/>
  <c r="N13" i="68"/>
  <c r="N14" i="68"/>
  <c r="N15" i="68"/>
  <c r="N16" i="68"/>
  <c r="N17" i="68"/>
  <c r="N19" i="68"/>
  <c r="N20" i="68"/>
  <c r="N21" i="68"/>
  <c r="N22" i="68"/>
  <c r="N23" i="68"/>
  <c r="N24" i="68"/>
  <c r="N25" i="68"/>
  <c r="N26" i="68"/>
  <c r="N27" i="68"/>
  <c r="N28" i="68"/>
  <c r="N29" i="68"/>
  <c r="N31" i="68"/>
  <c r="N32" i="68"/>
  <c r="N34" i="68"/>
  <c r="N35" i="68"/>
  <c r="N36" i="68"/>
  <c r="N37" i="68"/>
  <c r="N38" i="68"/>
  <c r="N39" i="68"/>
  <c r="N40" i="68"/>
  <c r="N41" i="68"/>
  <c r="N42" i="68"/>
  <c r="N44" i="68"/>
  <c r="N46" i="68"/>
  <c r="N47" i="68"/>
  <c r="N48" i="68"/>
  <c r="N49" i="68"/>
  <c r="N50" i="68"/>
  <c r="N52" i="68"/>
  <c r="N53" i="68"/>
  <c r="N54" i="68"/>
  <c r="N55" i="68"/>
  <c r="N56" i="68"/>
  <c r="N57" i="68"/>
  <c r="N58" i="68"/>
  <c r="N59" i="68"/>
  <c r="N61" i="68"/>
  <c r="H4" i="54"/>
  <c r="N3" i="67"/>
  <c r="N4" i="67"/>
  <c r="N5" i="67"/>
  <c r="N6" i="67"/>
  <c r="N7" i="67"/>
  <c r="N8" i="67"/>
  <c r="N9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1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6" i="67"/>
  <c r="N67" i="67"/>
  <c r="N68" i="67"/>
  <c r="N71" i="67"/>
  <c r="N72" i="67"/>
  <c r="N73" i="67"/>
  <c r="N74" i="67"/>
  <c r="N78" i="67"/>
  <c r="N79" i="67"/>
  <c r="N82" i="67"/>
  <c r="N83" i="67"/>
  <c r="N84" i="67"/>
  <c r="N85" i="67"/>
  <c r="N88" i="67"/>
  <c r="N90" i="67"/>
  <c r="N92" i="67"/>
  <c r="N93" i="67"/>
  <c r="N94" i="67"/>
  <c r="N95" i="67"/>
  <c r="N98" i="67"/>
  <c r="H5" i="54"/>
  <c r="N98" i="66"/>
  <c r="H6" i="54"/>
  <c r="N100" i="65"/>
  <c r="H7" i="54"/>
  <c r="N3" i="64"/>
  <c r="N4" i="64"/>
  <c r="N5" i="64"/>
  <c r="N6" i="64"/>
  <c r="N7" i="64"/>
  <c r="N8" i="64"/>
  <c r="N9" i="64"/>
  <c r="N10" i="64"/>
  <c r="N11" i="64"/>
  <c r="N12" i="64"/>
  <c r="N13" i="64"/>
  <c r="N14" i="64"/>
  <c r="N15" i="64"/>
  <c r="N16" i="64"/>
  <c r="N17" i="64"/>
  <c r="N18" i="64"/>
  <c r="N19" i="64"/>
  <c r="N20" i="64"/>
  <c r="N21" i="64"/>
  <c r="N22" i="64"/>
  <c r="N23" i="64"/>
  <c r="N24" i="64"/>
  <c r="N25" i="64"/>
  <c r="N26" i="64"/>
  <c r="N27" i="64"/>
  <c r="N28" i="64"/>
  <c r="N29" i="64"/>
  <c r="N30" i="64"/>
  <c r="N31" i="64"/>
  <c r="N32" i="64"/>
  <c r="N33" i="64"/>
  <c r="N34" i="64"/>
  <c r="N35" i="64"/>
  <c r="N36" i="64"/>
  <c r="N37" i="64"/>
  <c r="N38" i="64"/>
  <c r="N39" i="64"/>
  <c r="N40" i="64"/>
  <c r="N41" i="64"/>
  <c r="N42" i="64"/>
  <c r="N43" i="64"/>
  <c r="N44" i="64"/>
  <c r="N45" i="64"/>
  <c r="N48" i="64"/>
  <c r="N49" i="64"/>
  <c r="N50" i="64"/>
  <c r="N51" i="64"/>
  <c r="N52" i="64"/>
  <c r="N53" i="64"/>
  <c r="N54" i="64"/>
  <c r="N55" i="64"/>
  <c r="N56" i="64"/>
  <c r="N57" i="64"/>
  <c r="N58" i="64"/>
  <c r="N59" i="64"/>
  <c r="N60" i="64"/>
  <c r="N61" i="64"/>
  <c r="N62" i="64"/>
  <c r="N63" i="64"/>
  <c r="N64" i="64"/>
  <c r="N65" i="64"/>
  <c r="N66" i="64"/>
  <c r="N67" i="64"/>
  <c r="N68" i="64"/>
  <c r="N69" i="64"/>
  <c r="N70" i="64"/>
  <c r="N71" i="64"/>
  <c r="N72" i="64"/>
  <c r="N73" i="64"/>
  <c r="N74" i="64"/>
  <c r="N75" i="64"/>
  <c r="N76" i="64"/>
  <c r="N77" i="64"/>
  <c r="N78" i="64"/>
  <c r="N79" i="64"/>
  <c r="N80" i="64"/>
  <c r="N81" i="64"/>
  <c r="N82" i="64"/>
  <c r="N83" i="64"/>
  <c r="N84" i="64"/>
  <c r="N85" i="64"/>
  <c r="N86" i="64"/>
  <c r="N87" i="64"/>
  <c r="N88" i="64"/>
  <c r="N89" i="64"/>
  <c r="N90" i="64"/>
  <c r="N91" i="64"/>
  <c r="N92" i="64"/>
  <c r="N93" i="64"/>
  <c r="N94" i="64"/>
  <c r="N95" i="64"/>
  <c r="N96" i="64"/>
  <c r="N97" i="64"/>
  <c r="N98" i="64"/>
  <c r="N99" i="64"/>
  <c r="N100" i="64"/>
  <c r="N101" i="64"/>
  <c r="N102" i="64"/>
  <c r="N103" i="64"/>
  <c r="N105" i="64"/>
  <c r="H8" i="54"/>
  <c r="N3" i="63"/>
  <c r="N4" i="63"/>
  <c r="N5" i="63"/>
  <c r="N6" i="63"/>
  <c r="N7" i="63"/>
  <c r="N8" i="63"/>
  <c r="N9" i="63"/>
  <c r="N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3" i="63"/>
  <c r="N84" i="63"/>
  <c r="N85" i="63"/>
  <c r="N86" i="63"/>
  <c r="N87" i="63"/>
  <c r="N88" i="63"/>
  <c r="N90" i="63"/>
  <c r="N91" i="63"/>
  <c r="N92" i="63"/>
  <c r="N93" i="63"/>
  <c r="N94" i="63"/>
  <c r="N95" i="63"/>
  <c r="N97" i="63"/>
  <c r="H9" i="54"/>
  <c r="N3" i="62"/>
  <c r="N4" i="62"/>
  <c r="N5" i="62"/>
  <c r="N6" i="62"/>
  <c r="N7" i="62"/>
  <c r="N8" i="62"/>
  <c r="N9" i="62"/>
  <c r="N10" i="62"/>
  <c r="N11" i="62"/>
  <c r="N12" i="62"/>
  <c r="N13" i="62"/>
  <c r="N14" i="62"/>
  <c r="N15" i="62"/>
  <c r="N16" i="62"/>
  <c r="N17" i="62"/>
  <c r="N18" i="62"/>
  <c r="N19" i="62"/>
  <c r="N20" i="62"/>
  <c r="N21" i="62"/>
  <c r="N22" i="62"/>
  <c r="N23" i="62"/>
  <c r="N24" i="62"/>
  <c r="N25" i="62"/>
  <c r="N26" i="62"/>
  <c r="N27" i="62"/>
  <c r="N28" i="62"/>
  <c r="N29" i="62"/>
  <c r="N30" i="62"/>
  <c r="N31" i="62"/>
  <c r="N32" i="62"/>
  <c r="N33" i="62"/>
  <c r="N34" i="62"/>
  <c r="N35" i="62"/>
  <c r="N36" i="62"/>
  <c r="N37" i="62"/>
  <c r="N38" i="62"/>
  <c r="N39" i="62"/>
  <c r="N40" i="62"/>
  <c r="N41" i="62"/>
  <c r="N42" i="62"/>
  <c r="N43" i="62"/>
  <c r="N44" i="62"/>
  <c r="N45" i="62"/>
  <c r="N46" i="62"/>
  <c r="N47" i="62"/>
  <c r="N48" i="62"/>
  <c r="N49" i="62"/>
  <c r="N50" i="62"/>
  <c r="N51" i="62"/>
  <c r="N52" i="62"/>
  <c r="N53" i="62"/>
  <c r="N54" i="62"/>
  <c r="N55" i="62"/>
  <c r="N56" i="62"/>
  <c r="N57" i="62"/>
  <c r="N58" i="62"/>
  <c r="N59" i="62"/>
  <c r="N60" i="62"/>
  <c r="N61" i="62"/>
  <c r="N62" i="62"/>
  <c r="N63" i="62"/>
  <c r="N64" i="62"/>
  <c r="N65" i="62"/>
  <c r="N66" i="62"/>
  <c r="N67" i="62"/>
  <c r="N68" i="62"/>
  <c r="N69" i="62"/>
  <c r="N70" i="62"/>
  <c r="N71" i="62"/>
  <c r="N72" i="62"/>
  <c r="N73" i="62"/>
  <c r="N74" i="62"/>
  <c r="N75" i="62"/>
  <c r="N76" i="62"/>
  <c r="N77" i="62"/>
  <c r="N78" i="62"/>
  <c r="N79" i="62"/>
  <c r="N80" i="62"/>
  <c r="N81" i="62"/>
  <c r="N82" i="62"/>
  <c r="N83" i="62"/>
  <c r="N84" i="62"/>
  <c r="N85" i="62"/>
  <c r="N86" i="62"/>
  <c r="N87" i="62"/>
  <c r="N88" i="62"/>
  <c r="N89" i="62"/>
  <c r="N90" i="62"/>
  <c r="N91" i="62"/>
  <c r="N92" i="62"/>
  <c r="N93" i="62"/>
  <c r="N94" i="62"/>
  <c r="N95" i="62"/>
  <c r="N96" i="62"/>
  <c r="N98" i="62"/>
  <c r="N99" i="62"/>
  <c r="N100" i="62"/>
  <c r="N101" i="62"/>
  <c r="N102" i="62"/>
  <c r="N103" i="62"/>
  <c r="N104" i="62"/>
  <c r="N105" i="62"/>
  <c r="N106" i="62"/>
  <c r="N107" i="62"/>
  <c r="N108" i="62"/>
  <c r="N109" i="62"/>
  <c r="N110" i="62"/>
  <c r="N111" i="62"/>
  <c r="N112" i="62"/>
  <c r="N113" i="62"/>
  <c r="N114" i="62"/>
  <c r="N115" i="62"/>
  <c r="N116" i="62"/>
  <c r="N117" i="62"/>
  <c r="N118" i="62"/>
  <c r="N119" i="62"/>
  <c r="N120" i="62"/>
  <c r="N121" i="62"/>
  <c r="N122" i="62"/>
  <c r="N123" i="62"/>
  <c r="N124" i="62"/>
  <c r="N125" i="62"/>
  <c r="N126" i="62"/>
  <c r="N127" i="62"/>
  <c r="N128" i="62"/>
  <c r="N129" i="62"/>
  <c r="N130" i="62"/>
  <c r="N132" i="62"/>
  <c r="H10" i="54"/>
  <c r="N4" i="61"/>
  <c r="N5" i="61"/>
  <c r="N8" i="61"/>
  <c r="N13" i="61"/>
  <c r="N17" i="61"/>
  <c r="N19" i="61"/>
  <c r="N21" i="61"/>
  <c r="N23" i="61"/>
  <c r="N29" i="61"/>
  <c r="N30" i="61"/>
  <c r="N31" i="61"/>
  <c r="N34" i="61"/>
  <c r="N37" i="61"/>
  <c r="N38" i="61"/>
  <c r="N39" i="61"/>
  <c r="N40" i="61"/>
  <c r="N41" i="61"/>
  <c r="N45" i="61"/>
  <c r="N46" i="61"/>
  <c r="N47" i="61"/>
  <c r="N48" i="61"/>
  <c r="N49" i="61"/>
  <c r="N50" i="61"/>
  <c r="N57" i="61"/>
  <c r="N58" i="61"/>
  <c r="N60" i="61"/>
  <c r="N61" i="61"/>
  <c r="N62" i="61"/>
  <c r="N63" i="61"/>
  <c r="N65" i="61"/>
  <c r="N66" i="61"/>
  <c r="N68" i="61"/>
  <c r="N69" i="61"/>
  <c r="N70" i="61"/>
  <c r="N71" i="61"/>
  <c r="N73" i="61"/>
  <c r="N74" i="61"/>
  <c r="N76" i="61"/>
  <c r="N79" i="61"/>
  <c r="N80" i="61"/>
  <c r="N81" i="61"/>
  <c r="N84" i="61"/>
  <c r="N86" i="61"/>
  <c r="N88" i="61"/>
  <c r="N89" i="61"/>
  <c r="N90" i="61"/>
  <c r="N91" i="61"/>
  <c r="N92" i="61"/>
  <c r="N94" i="61"/>
  <c r="N95" i="61"/>
  <c r="N97" i="61"/>
  <c r="N99" i="61"/>
  <c r="N103" i="61"/>
  <c r="N108" i="61"/>
  <c r="N109" i="61"/>
  <c r="N110" i="61"/>
  <c r="N3" i="61"/>
  <c r="N6" i="61"/>
  <c r="N7" i="61"/>
  <c r="N9" i="61"/>
  <c r="N10" i="61"/>
  <c r="N11" i="61"/>
  <c r="N12" i="61"/>
  <c r="N14" i="61"/>
  <c r="N15" i="61"/>
  <c r="N16" i="61"/>
  <c r="N18" i="61"/>
  <c r="N20" i="61"/>
  <c r="N22" i="61"/>
  <c r="N24" i="61"/>
  <c r="N25" i="61"/>
  <c r="N26" i="61"/>
  <c r="N27" i="61"/>
  <c r="N28" i="61"/>
  <c r="N32" i="61"/>
  <c r="N33" i="61"/>
  <c r="N35" i="61"/>
  <c r="N36" i="61"/>
  <c r="N42" i="61"/>
  <c r="N43" i="61"/>
  <c r="N44" i="61"/>
  <c r="N51" i="61"/>
  <c r="N52" i="61"/>
  <c r="N53" i="61"/>
  <c r="N54" i="61"/>
  <c r="N55" i="61"/>
  <c r="N56" i="61"/>
  <c r="N59" i="61"/>
  <c r="N64" i="61"/>
  <c r="N67" i="61"/>
  <c r="N72" i="61"/>
  <c r="N75" i="61"/>
  <c r="N77" i="61"/>
  <c r="N78" i="61"/>
  <c r="N82" i="61"/>
  <c r="N83" i="61"/>
  <c r="N85" i="61"/>
  <c r="N87" i="61"/>
  <c r="N93" i="61"/>
  <c r="N96" i="61"/>
  <c r="N98" i="61"/>
  <c r="N100" i="61"/>
  <c r="N101" i="61"/>
  <c r="N102" i="61"/>
  <c r="N104" i="61"/>
  <c r="N105" i="61"/>
  <c r="N106" i="61"/>
  <c r="N107" i="61"/>
  <c r="N115" i="61"/>
  <c r="H11" i="54"/>
  <c r="H12" i="54"/>
  <c r="C12" i="54"/>
  <c r="O12" i="46"/>
  <c r="O11" i="46"/>
  <c r="O10" i="46"/>
  <c r="O9" i="46"/>
  <c r="O8" i="46"/>
  <c r="O7" i="46"/>
  <c r="O6" i="46"/>
  <c r="O5" i="46"/>
  <c r="M7" i="46"/>
  <c r="N7" i="46"/>
  <c r="M12" i="46"/>
  <c r="N12" i="46"/>
  <c r="M11" i="46"/>
  <c r="N11" i="46"/>
  <c r="M10" i="46"/>
  <c r="N10" i="46"/>
  <c r="M9" i="46"/>
  <c r="N9" i="46"/>
  <c r="M8" i="46"/>
  <c r="N8" i="46"/>
  <c r="M6" i="46"/>
  <c r="N6" i="46"/>
  <c r="M5" i="46"/>
  <c r="N5" i="46"/>
  <c r="K5" i="46"/>
  <c r="J5" i="46"/>
  <c r="H6" i="46"/>
  <c r="H5" i="46"/>
  <c r="H12" i="46"/>
  <c r="H11" i="46"/>
  <c r="H10" i="46"/>
  <c r="H9" i="46"/>
  <c r="H8" i="46"/>
  <c r="H7" i="46"/>
  <c r="E5" i="46"/>
  <c r="AG19" i="48"/>
  <c r="V10" i="48"/>
  <c r="V18" i="48"/>
  <c r="H5" i="48"/>
  <c r="G5" i="48"/>
  <c r="AM4" i="53"/>
  <c r="AM6" i="53"/>
  <c r="AM8" i="53"/>
  <c r="AM10" i="53"/>
  <c r="AL10" i="53"/>
  <c r="AA10" i="53"/>
  <c r="Z10" i="53"/>
  <c r="X4" i="53"/>
  <c r="X6" i="53"/>
  <c r="X7" i="53"/>
  <c r="X10" i="53"/>
  <c r="W10" i="53"/>
  <c r="Q10" i="53"/>
  <c r="R10" i="53"/>
  <c r="P10" i="53"/>
  <c r="N3" i="53"/>
  <c r="N4" i="53"/>
  <c r="N5" i="53"/>
  <c r="N6" i="53"/>
  <c r="N7" i="53"/>
  <c r="N8" i="53"/>
  <c r="N10" i="53"/>
  <c r="M10" i="53"/>
  <c r="J10" i="53"/>
  <c r="AM3" i="68"/>
  <c r="AM9" i="68"/>
  <c r="AM11" i="68"/>
  <c r="AM13" i="68"/>
  <c r="AM17" i="68"/>
  <c r="AM18" i="68"/>
  <c r="AM21" i="68"/>
  <c r="AM23" i="68"/>
  <c r="AM25" i="68"/>
  <c r="AM29" i="68"/>
  <c r="AM61" i="68"/>
  <c r="AM95" i="67"/>
  <c r="AM60" i="67"/>
  <c r="AM42" i="67"/>
  <c r="AM25" i="67"/>
  <c r="AM21" i="67"/>
  <c r="AM19" i="67"/>
  <c r="AM13" i="67"/>
  <c r="AM3" i="67"/>
  <c r="AM98" i="67"/>
  <c r="AM3" i="66"/>
  <c r="AM9" i="66"/>
  <c r="AM10" i="66"/>
  <c r="AM14" i="66"/>
  <c r="AM20" i="66"/>
  <c r="AM24" i="66"/>
  <c r="AM27" i="66"/>
  <c r="AM29" i="66"/>
  <c r="AM31" i="66"/>
  <c r="AM34" i="66"/>
  <c r="AM37" i="66"/>
  <c r="AM40" i="66"/>
  <c r="AM41" i="66"/>
  <c r="AM51" i="66"/>
  <c r="AM54" i="66"/>
  <c r="AM55" i="66"/>
  <c r="AM60" i="66"/>
  <c r="AM65" i="66"/>
  <c r="AM66" i="66"/>
  <c r="AM67" i="66"/>
  <c r="AM80" i="66"/>
  <c r="AM81" i="66"/>
  <c r="AM83" i="66"/>
  <c r="AM98" i="66"/>
  <c r="AM3" i="65"/>
  <c r="AM4" i="65"/>
  <c r="AM5" i="65"/>
  <c r="AM6" i="65"/>
  <c r="AM8" i="65"/>
  <c r="AM11" i="65"/>
  <c r="AM13" i="65"/>
  <c r="AM25" i="65"/>
  <c r="AM27" i="65"/>
  <c r="AM32" i="65"/>
  <c r="AM39" i="65"/>
  <c r="AM48" i="65"/>
  <c r="AM49" i="65"/>
  <c r="AM51" i="65"/>
  <c r="AM59" i="65"/>
  <c r="AM63" i="65"/>
  <c r="AM68" i="65"/>
  <c r="AM74" i="65"/>
  <c r="AM75" i="65"/>
  <c r="AM76" i="65"/>
  <c r="AM80" i="65"/>
  <c r="AM90" i="65"/>
  <c r="AM91" i="65"/>
  <c r="AM93" i="65"/>
  <c r="AM97" i="65"/>
  <c r="AM100" i="65"/>
  <c r="AM9" i="64"/>
  <c r="AM14" i="64"/>
  <c r="AM18" i="64"/>
  <c r="AM24" i="64"/>
  <c r="AM26" i="64"/>
  <c r="AM30" i="64"/>
  <c r="AM32" i="64"/>
  <c r="AM36" i="64"/>
  <c r="AM39" i="64"/>
  <c r="AM40" i="64"/>
  <c r="AM41" i="64"/>
  <c r="AM43" i="64"/>
  <c r="AM53" i="64"/>
  <c r="AM71" i="64"/>
  <c r="AM75" i="64"/>
  <c r="AM78" i="64"/>
  <c r="AM81" i="64"/>
  <c r="AM91" i="64"/>
  <c r="AM93" i="64"/>
  <c r="AM102" i="64"/>
  <c r="AM105" i="64"/>
  <c r="AM14" i="63"/>
  <c r="AM15" i="63"/>
  <c r="AM23" i="63"/>
  <c r="AM25" i="63"/>
  <c r="AM27" i="63"/>
  <c r="AM28" i="63"/>
  <c r="AM30" i="63"/>
  <c r="AM32" i="63"/>
  <c r="AM33" i="63"/>
  <c r="AM37" i="63"/>
  <c r="AM44" i="63"/>
  <c r="AM45" i="63"/>
  <c r="AM49" i="63"/>
  <c r="AM51" i="63"/>
  <c r="AM53" i="63"/>
  <c r="AM54" i="63"/>
  <c r="AM56" i="63"/>
  <c r="AM58" i="63"/>
  <c r="AM59" i="63"/>
  <c r="AM63" i="63"/>
  <c r="AM64" i="63"/>
  <c r="AM70" i="63"/>
  <c r="AM76" i="63"/>
  <c r="AM77" i="63"/>
  <c r="AM84" i="63"/>
  <c r="AM95" i="63"/>
  <c r="AM97" i="63"/>
  <c r="K16" i="48"/>
  <c r="L16" i="48"/>
  <c r="M16" i="48"/>
  <c r="N16" i="48"/>
  <c r="L17" i="48"/>
  <c r="K17" i="48"/>
  <c r="M17" i="48"/>
  <c r="N17" i="48"/>
  <c r="K61" i="45"/>
  <c r="L61" i="45"/>
  <c r="M61" i="45"/>
  <c r="J61" i="45"/>
  <c r="N45" i="46"/>
  <c r="O45" i="46"/>
  <c r="P45" i="46"/>
  <c r="M45" i="46"/>
  <c r="CI38" i="46"/>
  <c r="CJ38" i="46"/>
  <c r="CK38" i="46"/>
  <c r="CL38" i="46"/>
  <c r="CH38" i="46"/>
  <c r="CI24" i="46"/>
  <c r="CJ24" i="46"/>
  <c r="CK24" i="46"/>
  <c r="CL24" i="46"/>
  <c r="CH24" i="46"/>
  <c r="AW36" i="48"/>
  <c r="AX36" i="48"/>
  <c r="AY36" i="48"/>
  <c r="AM21" i="48"/>
  <c r="AS11" i="48"/>
  <c r="AA26" i="48"/>
  <c r="AS6" i="48"/>
  <c r="AA27" i="48"/>
  <c r="Z27" i="48"/>
  <c r="Y27" i="48"/>
  <c r="X27" i="48"/>
  <c r="W27" i="48"/>
  <c r="V27" i="48"/>
  <c r="Z26" i="48"/>
  <c r="Y26" i="48"/>
  <c r="X26" i="48"/>
  <c r="W26" i="48"/>
  <c r="V26" i="48"/>
  <c r="AJ11" i="48"/>
  <c r="AA22" i="48"/>
  <c r="AJ6" i="48"/>
  <c r="AA23" i="48"/>
  <c r="Z23" i="48"/>
  <c r="Y23" i="48"/>
  <c r="X23" i="48"/>
  <c r="W23" i="48"/>
  <c r="V23" i="48"/>
  <c r="Z22" i="48"/>
  <c r="Y22" i="48"/>
  <c r="X22" i="48"/>
  <c r="W22" i="48"/>
  <c r="V22" i="48"/>
  <c r="Y10" i="48"/>
  <c r="Y17" i="48"/>
  <c r="W10" i="48"/>
  <c r="W17" i="48"/>
  <c r="V17" i="48"/>
  <c r="Z10" i="48"/>
  <c r="Z17" i="48"/>
  <c r="CL55" i="46"/>
  <c r="CL57" i="46"/>
  <c r="CL59" i="46"/>
  <c r="CL61" i="46"/>
  <c r="CK55" i="46"/>
  <c r="CK56" i="46"/>
  <c r="CK57" i="46"/>
  <c r="CK58" i="46"/>
  <c r="CK59" i="46"/>
  <c r="CK60" i="46"/>
  <c r="CJ61" i="46"/>
  <c r="CJ55" i="46"/>
  <c r="CJ56" i="46"/>
  <c r="CJ57" i="46"/>
  <c r="CJ58" i="46"/>
  <c r="CJ59" i="46"/>
  <c r="CJ60" i="46"/>
  <c r="CI61" i="46"/>
  <c r="CI55" i="46"/>
  <c r="CI56" i="46"/>
  <c r="CI57" i="46"/>
  <c r="CI58" i="46"/>
  <c r="CI59" i="46"/>
  <c r="CI60" i="46"/>
  <c r="CI54" i="46"/>
  <c r="CJ54" i="46"/>
  <c r="CK54" i="46"/>
  <c r="CL54" i="46"/>
  <c r="CH59" i="46"/>
  <c r="CH55" i="46"/>
  <c r="CH56" i="46"/>
  <c r="CH57" i="46"/>
  <c r="CH58" i="46"/>
  <c r="CH60" i="46"/>
  <c r="CH61" i="46"/>
  <c r="CH54" i="46"/>
  <c r="BF35" i="48"/>
  <c r="BG29" i="48"/>
  <c r="BG30" i="48"/>
  <c r="BG31" i="48"/>
  <c r="BG32" i="48"/>
  <c r="BG33" i="48"/>
  <c r="BG34" i="48"/>
  <c r="BG35" i="48"/>
  <c r="BF29" i="48"/>
  <c r="BF30" i="48"/>
  <c r="BF31" i="48"/>
  <c r="BF32" i="48"/>
  <c r="BF33" i="48"/>
  <c r="BF34" i="48"/>
  <c r="BE29" i="48"/>
  <c r="BE30" i="48"/>
  <c r="BE31" i="48"/>
  <c r="BE32" i="48"/>
  <c r="BE33" i="48"/>
  <c r="BE34" i="48"/>
  <c r="BE35" i="48"/>
  <c r="BD34" i="48"/>
  <c r="BD29" i="48"/>
  <c r="BD30" i="48"/>
  <c r="BD31" i="48"/>
  <c r="BD32" i="48"/>
  <c r="BD33" i="48"/>
  <c r="BD35" i="48"/>
  <c r="BE28" i="48"/>
  <c r="BD28" i="48"/>
  <c r="BF28" i="48"/>
  <c r="BG28" i="48"/>
  <c r="BC35" i="48"/>
  <c r="BC34" i="48"/>
  <c r="BC33" i="48"/>
  <c r="BC32" i="48"/>
  <c r="BC31" i="48"/>
  <c r="BC30" i="48"/>
  <c r="BC29" i="48"/>
  <c r="BC28" i="48"/>
  <c r="AN18" i="48"/>
  <c r="AN17" i="48"/>
  <c r="AN16" i="48"/>
  <c r="AN15" i="48"/>
  <c r="AF19" i="48"/>
  <c r="AE19" i="48"/>
  <c r="AD19" i="48"/>
  <c r="AK19" i="48"/>
  <c r="AJ19" i="48"/>
  <c r="AI19" i="48"/>
  <c r="K26" i="45"/>
  <c r="K25" i="45"/>
  <c r="K24" i="45"/>
  <c r="K23" i="45"/>
  <c r="L26" i="45"/>
  <c r="L25" i="45"/>
  <c r="L24" i="45"/>
  <c r="L23" i="45"/>
  <c r="M26" i="45"/>
  <c r="M25" i="45"/>
  <c r="M24" i="45"/>
  <c r="M23" i="45"/>
  <c r="N26" i="45"/>
  <c r="N25" i="45"/>
  <c r="N24" i="45"/>
  <c r="N23" i="45"/>
  <c r="O26" i="45"/>
  <c r="O25" i="45"/>
  <c r="O24" i="45"/>
  <c r="P23" i="45"/>
  <c r="O23" i="45"/>
  <c r="AW23" i="48"/>
  <c r="AX23" i="48"/>
  <c r="AY23" i="48"/>
  <c r="AZ23" i="48"/>
  <c r="AV23" i="48"/>
  <c r="Q38" i="46"/>
  <c r="Q39" i="46"/>
  <c r="Q40" i="46"/>
  <c r="Q41" i="46"/>
  <c r="Q42" i="46"/>
  <c r="Q43" i="46"/>
  <c r="Q44" i="46"/>
  <c r="Q37" i="46"/>
  <c r="H45" i="46"/>
  <c r="B45" i="46"/>
  <c r="C45" i="46"/>
  <c r="E6" i="46"/>
  <c r="E7" i="46"/>
  <c r="E8" i="46"/>
  <c r="E9" i="46"/>
  <c r="E10" i="46"/>
  <c r="E11" i="46"/>
  <c r="E12" i="46"/>
  <c r="AA7" i="48"/>
  <c r="AA11" i="48"/>
  <c r="AA12" i="48"/>
  <c r="AA9" i="48"/>
  <c r="AN20" i="48"/>
  <c r="AM20" i="48"/>
  <c r="AA8" i="48"/>
  <c r="AA6" i="48"/>
  <c r="AA5" i="48"/>
  <c r="AM18" i="48"/>
  <c r="AM17" i="48"/>
  <c r="AM16" i="48"/>
  <c r="AM15" i="48"/>
  <c r="AH19" i="48"/>
  <c r="J11" i="46"/>
  <c r="J12" i="46"/>
  <c r="AB10" i="46"/>
  <c r="AA11" i="46"/>
  <c r="X10" i="48"/>
  <c r="AA10" i="48"/>
  <c r="G20" i="35"/>
  <c r="G21" i="35"/>
  <c r="G22" i="35"/>
  <c r="AO4" i="46"/>
  <c r="AP4" i="46"/>
  <c r="T5" i="46"/>
  <c r="W5" i="46"/>
  <c r="AJ5" i="46"/>
  <c r="AK5" i="46"/>
  <c r="AO5" i="46"/>
  <c r="AP5" i="46"/>
  <c r="AT5" i="46"/>
  <c r="J6" i="46"/>
  <c r="K6" i="46"/>
  <c r="AO6" i="46"/>
  <c r="AP6" i="46"/>
  <c r="AQ6" i="46"/>
  <c r="AR6" i="46"/>
  <c r="AS6" i="46"/>
  <c r="AT6" i="46"/>
  <c r="J7" i="46"/>
  <c r="K7" i="46"/>
  <c r="AO7" i="46"/>
  <c r="AQ7" i="46"/>
  <c r="AR7" i="46"/>
  <c r="J8" i="46"/>
  <c r="K8" i="46"/>
  <c r="AO8" i="46"/>
  <c r="AP8" i="46"/>
  <c r="J9" i="46"/>
  <c r="K9" i="46"/>
  <c r="T9" i="46"/>
  <c r="W9" i="46"/>
  <c r="AJ9" i="46"/>
  <c r="AK9" i="46"/>
  <c r="AP9" i="46"/>
  <c r="AQ9" i="46"/>
  <c r="J10" i="46"/>
  <c r="K10" i="46"/>
  <c r="T10" i="46"/>
  <c r="U10" i="46"/>
  <c r="V10" i="46"/>
  <c r="W10" i="46"/>
  <c r="X10" i="46"/>
  <c r="Y10" i="46"/>
  <c r="Z10" i="46"/>
  <c r="AA10" i="46"/>
  <c r="AC10" i="46"/>
  <c r="AD10" i="46"/>
  <c r="AE10" i="46"/>
  <c r="AF10" i="46"/>
  <c r="AG10" i="46"/>
  <c r="AH10" i="46"/>
  <c r="AK10" i="46"/>
  <c r="AL10" i="46"/>
  <c r="AM10" i="46"/>
  <c r="AN10" i="46"/>
  <c r="AO10" i="46"/>
  <c r="AP10" i="46"/>
  <c r="AQ10" i="46"/>
  <c r="AR10" i="46"/>
  <c r="AS10" i="46"/>
  <c r="AT10" i="46"/>
  <c r="K11" i="46"/>
  <c r="U11" i="46"/>
  <c r="X11" i="46"/>
  <c r="AD11" i="46"/>
  <c r="AG11" i="46"/>
  <c r="K12" i="46"/>
  <c r="BN5" i="46"/>
  <c r="BN6" i="46"/>
  <c r="BJ8" i="46"/>
  <c r="BK8" i="46"/>
  <c r="BL8" i="46"/>
  <c r="BM8" i="46"/>
  <c r="BN8" i="46"/>
  <c r="BJ9" i="46"/>
  <c r="BK9" i="46"/>
  <c r="BL9" i="46"/>
  <c r="BM9" i="46"/>
  <c r="BN13" i="46"/>
  <c r="BN14" i="46"/>
  <c r="BJ16" i="46"/>
  <c r="BK16" i="46"/>
  <c r="BL16" i="46"/>
  <c r="BM16" i="46"/>
  <c r="BN16" i="46"/>
  <c r="BJ17" i="46"/>
  <c r="BK17" i="46"/>
  <c r="BL17" i="46"/>
  <c r="BM17" i="46"/>
  <c r="BN20" i="46"/>
  <c r="BN21" i="46"/>
  <c r="BJ23" i="46"/>
  <c r="BK23" i="46"/>
  <c r="BL23" i="46"/>
  <c r="BM23" i="46"/>
  <c r="BN23" i="46"/>
  <c r="BJ24" i="46"/>
  <c r="BK24" i="46"/>
  <c r="BL24" i="46"/>
  <c r="BM24" i="46"/>
  <c r="BN24" i="46"/>
  <c r="Q23" i="45"/>
  <c r="R23" i="45"/>
  <c r="P24" i="45"/>
  <c r="Q24" i="45"/>
  <c r="R24" i="45"/>
  <c r="P25" i="45"/>
  <c r="Q25" i="45"/>
  <c r="R25" i="45"/>
  <c r="P26" i="45"/>
  <c r="Q26" i="45"/>
  <c r="R26" i="45"/>
  <c r="G12" i="48"/>
  <c r="H12" i="48"/>
  <c r="G11" i="48"/>
  <c r="H11" i="48"/>
  <c r="G10" i="48"/>
  <c r="H10" i="48"/>
  <c r="G9" i="48"/>
  <c r="H9" i="48"/>
  <c r="G8" i="48"/>
  <c r="H8" i="48"/>
  <c r="AJ10" i="48"/>
  <c r="AS10" i="48"/>
  <c r="G7" i="48"/>
  <c r="H7" i="48"/>
  <c r="G6" i="48"/>
  <c r="H6" i="48"/>
  <c r="X17" i="48"/>
  <c r="AA17" i="48"/>
  <c r="W18" i="48"/>
  <c r="X18" i="48"/>
  <c r="Y18" i="48"/>
  <c r="Z18" i="48"/>
  <c r="AA18" i="48"/>
  <c r="V19" i="48"/>
  <c r="W19" i="48"/>
  <c r="X19" i="48"/>
  <c r="Y19" i="48"/>
  <c r="Z19" i="48"/>
  <c r="V20" i="48"/>
  <c r="W20" i="48"/>
  <c r="X20" i="48"/>
  <c r="Y20" i="48"/>
  <c r="Z20" i="48"/>
  <c r="V11" i="54"/>
  <c r="V12" i="54"/>
</calcChain>
</file>

<file path=xl/comments1.xml><?xml version="1.0" encoding="utf-8"?>
<comments xmlns="http://schemas.openxmlformats.org/spreadsheetml/2006/main">
  <authors>
    <author>Joana Vaz</author>
    <author>joana.vaz</author>
    <author>mitiku.raga</author>
    <author>assisteru</author>
    <author>Windows User</author>
  </authors>
  <commentList>
    <comment ref="Q16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410 water points were desinfected</t>
        </r>
      </text>
    </comment>
    <comment ref="S1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all tentive numbers in the planned activities</t>
        </r>
      </text>
    </comment>
    <comment ref="B2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nor watsan components
</t>
        </r>
      </text>
    </comment>
    <comment ref="I32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it was followed by an emergency appeal
</t>
        </r>
      </text>
    </comment>
    <comment ref="AD3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it was on the planned activities but volunteers were only briefed</t>
        </r>
      </text>
    </comment>
    <comment ref="AB35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based on ECV training modules
</t>
        </r>
      </text>
    </comment>
    <comment ref="U4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15 were PHAST</t>
        </r>
      </text>
    </comment>
    <comment ref="K59" authorId="1">
      <text>
        <r>
          <rPr>
            <b/>
            <sz val="8"/>
            <color indexed="81"/>
            <rFont val="Tahoma"/>
            <family val="2"/>
          </rPr>
          <t xml:space="preserve">joana.vaz:
</t>
        </r>
        <r>
          <rPr>
            <sz val="8"/>
            <color indexed="81"/>
            <rFont val="Tahoma"/>
            <family val="2"/>
          </rPr>
          <t xml:space="preserve">In additon (?) 14849 persons reached by state institutions campaigns.
</t>
        </r>
      </text>
    </comment>
    <comment ref="AA59" authorId="1">
      <text>
        <r>
          <rPr>
            <b/>
            <sz val="8"/>
            <color indexed="81"/>
            <rFont val="Tahoma"/>
            <family val="2"/>
          </rPr>
          <t xml:space="preserve">joana.vaz:
</t>
        </r>
        <r>
          <rPr>
            <sz val="8"/>
            <color indexed="81"/>
            <rFont val="Tahoma"/>
            <family val="2"/>
          </rPr>
          <t xml:space="preserve">In additon (?) 14849 persons reached by state institutions campaigns.
</t>
        </r>
      </text>
    </comment>
    <comment ref="R6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 latrines were built (10*50=500)</t>
        </r>
      </text>
    </comment>
    <comment ref="V6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150 households visited per day</t>
        </r>
      </text>
    </comment>
    <comment ref="AA6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150 households visited on a daily basis</t>
        </r>
      </text>
    </comment>
    <comment ref="T6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 the planned acivities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6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planned activities
</t>
        </r>
      </text>
    </comment>
    <comment ref="V7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emergency appeal and not a final EA, so no final figures
</t>
        </r>
      </text>
    </comment>
    <comment ref="Z7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This amount per day</t>
        </r>
      </text>
    </comment>
    <comment ref="Q82" authorId="1">
      <text>
        <r>
          <rPr>
            <b/>
            <sz val="8"/>
            <color indexed="81"/>
            <rFont val="Tahoma"/>
            <family val="2"/>
          </rPr>
          <t>joana.vaz:
76,858+12,453</t>
        </r>
      </text>
    </comment>
    <comment ref="AB8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32 Peru + 41 Bolivia
+25</t>
        </r>
      </text>
    </comment>
    <comment ref="AD8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planned activities</t>
        </r>
      </text>
    </comment>
    <comment ref="AD8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Information and education material adapted from this</t>
        </r>
      </text>
    </comment>
    <comment ref="AC9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planned activities</t>
        </r>
      </text>
    </comment>
    <comment ref="AD9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planned activities</t>
        </r>
      </text>
    </comment>
    <comment ref="B9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nor watsan components</t>
        </r>
      </text>
    </comment>
    <comment ref="AB10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trainees received a copy of the ECV manual
</t>
        </r>
      </text>
    </comment>
    <comment ref="AD10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trainees received a copy of the ECV manual</t>
        </r>
      </text>
    </comment>
    <comment ref="K102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985335 sensitizes people.
The initial targeted number was 220000</t>
        </r>
      </text>
    </comment>
    <comment ref="AA102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79822 vaccinated children
8957 children received vitamin A
2114000/985335 (?) sensitized people
</t>
        </r>
      </text>
    </comment>
    <comment ref="E10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aimed to be finished by
</t>
        </r>
      </text>
    </comment>
    <comment ref="AA10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3,501,799 polio vaccination + 914904 measles vaccination</t>
        </r>
      </text>
    </comment>
    <comment ref="AD106" authorId="1">
      <text>
        <r>
          <rPr>
            <b/>
            <sz val="10"/>
            <color indexed="81"/>
            <rFont val="Tahoma"/>
            <family val="2"/>
          </rPr>
          <t>joana.vaz:</t>
        </r>
        <r>
          <rPr>
            <sz val="10"/>
            <color indexed="81"/>
            <rFont val="Tahoma"/>
            <family val="2"/>
          </rPr>
          <t xml:space="preserve">
Planned activity, to train 50 volunteers on ECV</t>
        </r>
      </text>
    </comment>
    <comment ref="AT109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Emergency prevention work and immunization for 727255 persons</t>
        </r>
      </text>
    </comment>
    <comment ref="U11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474 sessions conducted</t>
        </r>
      </text>
    </comment>
    <comment ref="K11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190 communities and 348 schools
</t>
        </r>
      </text>
    </comment>
    <comment ref="AC11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community-based health workshops were conducted
</t>
        </r>
      </text>
    </comment>
    <comment ref="AB11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community-based disaster
preparedness and risk reduction</t>
        </r>
      </text>
    </comment>
    <comment ref="Q11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7,126 beneficiaries safe drinking water distribution (ERU)</t>
        </r>
      </text>
    </comment>
    <comment ref="S11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7,126 beneficiaries safe drinking water distribution (ERU)</t>
        </r>
      </text>
    </comment>
    <comment ref="AB11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trained in community-based psychosocial support</t>
        </r>
      </text>
    </comment>
    <comment ref="AU11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final  report link not available
</t>
        </r>
      </text>
    </comment>
    <comment ref="R11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fumigation and spraying
</t>
        </r>
      </text>
    </comment>
    <comment ref="Q12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30%  of  51354</t>
        </r>
      </text>
    </comment>
    <comment ref="R12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spraying of insecticies</t>
        </r>
      </text>
    </comment>
    <comment ref="S12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30%  of  51354</t>
        </r>
      </text>
    </comment>
    <comment ref="AT151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They got both treatment and preventive services</t>
        </r>
      </text>
    </comment>
    <comment ref="AH15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Refferal</t>
        </r>
      </text>
    </comment>
    <comment ref="K16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displaced persons</t>
        </r>
      </text>
    </comment>
    <comment ref="Q17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2,372*5 HH
</t>
        </r>
      </text>
    </comment>
    <comment ref="R17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1,267*20 latrines
</t>
        </r>
      </text>
    </comment>
    <comment ref="AH17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malaria tretament
</t>
        </r>
      </text>
    </comment>
    <comment ref="AB17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First Aid</t>
        </r>
      </text>
    </comment>
    <comment ref="L178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detail</t>
        </r>
      </text>
    </comment>
    <comment ref="Q180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40*5 families. The objective was 21 000
</t>
        </r>
      </text>
    </comment>
    <comment ref="R180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145*5 families, 35 latrines and 27 washrooms . The objective was 21 000
</t>
        </r>
      </text>
    </comment>
    <comment ref="Z180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21 000 was the objective
</t>
        </r>
      </text>
    </comment>
    <comment ref="AC180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45 men and 30 women</t>
        </r>
      </text>
    </comment>
    <comment ref="AH180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curative health services</t>
        </r>
      </text>
    </comment>
    <comment ref="K18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May 2006
</t>
        </r>
      </text>
    </comment>
    <comment ref="Q18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120 000 families *5
</t>
        </r>
      </text>
    </comment>
    <comment ref="V18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Hygienic kit</t>
        </r>
      </text>
    </comment>
    <comment ref="AA184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12,576 children immunized
</t>
        </r>
      </text>
    </comment>
    <comment ref="R19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24 public latrines (*20) and 447 HH latrines (*5)</t>
        </r>
      </text>
    </comment>
    <comment ref="U19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PHASTER
</t>
        </r>
      </text>
    </comment>
    <comment ref="AB19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disaster management</t>
        </r>
      </text>
    </comment>
    <comment ref="AH19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cholera kits and 3 CTC centres</t>
        </r>
      </text>
    </comment>
    <comment ref="AS19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65 volunteers trained as RDRT
</t>
        </r>
      </text>
    </comment>
    <comment ref="S19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3000 beneficiaries resettled</t>
        </r>
      </text>
    </comment>
    <comment ref="AC20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92090 people reached</t>
        </r>
      </text>
    </comment>
    <comment ref="AM20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Sample report
</t>
        </r>
      </text>
    </comment>
    <comment ref="AU20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Sample report</t>
        </r>
      </text>
    </comment>
    <comment ref="K20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2600*5</t>
        </r>
      </text>
    </comment>
    <comment ref="K20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The RITs were deployed to assess the situation</t>
        </r>
      </text>
    </comment>
    <comment ref="A218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from here onwards, all the appeals are revisions that might not have impact nor achieved numbers
</t>
        </r>
      </text>
    </comment>
    <comment ref="S218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planned
</t>
        </r>
      </text>
    </comment>
    <comment ref="Q22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45 boreholes 
</t>
        </r>
      </text>
    </comment>
    <comment ref="R22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Around 1903 latrines constructed or cleaned. Plus 24165 beneficiaries target in 2012
</t>
        </r>
      </text>
    </comment>
    <comment ref="U22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316 PHAST
</t>
        </r>
      </text>
    </comment>
    <comment ref="AH22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consultations</t>
        </r>
      </text>
    </comment>
    <comment ref="A22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
data</t>
        </r>
      </text>
    </comment>
    <comment ref="A22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2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2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2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2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3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3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3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3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3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3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3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3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3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3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24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U25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18 intervened and 20 from other neighboring natinal societies were trainined</t>
        </r>
      </text>
    </comment>
    <comment ref="Z25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800 beneficiaries per session.</t>
        </r>
      </text>
    </comment>
    <comment ref="AB25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psychosocial support</t>
        </r>
      </text>
    </comment>
    <comment ref="Q26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1700*5
</t>
        </r>
      </text>
    </comment>
    <comment ref="R26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(4+72+43+40) *20</t>
        </r>
      </text>
    </comment>
    <comment ref="R26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450*5 house desinfected</t>
        </r>
      </text>
    </comment>
    <comment ref="AR26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relief and logistics</t>
        </r>
      </text>
    </comment>
    <comment ref="Z269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clear figure</t>
        </r>
      </text>
    </comment>
    <comment ref="T27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The volunteers were equipped with PHAST kits while disinfecting the wells</t>
        </r>
      </text>
    </comment>
    <comment ref="R27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373 families provided with sanitation equipment</t>
        </r>
      </text>
    </comment>
    <comment ref="V27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environmental and sanitation management
150 families
</t>
        </r>
      </text>
    </comment>
    <comment ref="AC27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On the planned activities
</t>
        </r>
      </text>
    </comment>
    <comment ref="Q27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objectives...water kit (?)</t>
        </r>
      </text>
    </comment>
    <comment ref="R273" authorId="1">
      <text>
        <r>
          <rPr>
            <b/>
            <sz val="8"/>
            <color indexed="81"/>
            <rFont val="Tahoma"/>
            <family val="2"/>
          </rPr>
          <t xml:space="preserve">joana.vaz:under </t>
        </r>
        <r>
          <rPr>
            <sz val="8"/>
            <color indexed="81"/>
            <rFont val="Tahoma"/>
            <family val="2"/>
          </rPr>
          <t>objectives...sanitation kit</t>
        </r>
      </text>
    </comment>
    <comment ref="U27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14 PHAST</t>
        </r>
      </text>
    </comment>
    <comment ref="AA27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of which  1,650 were community members</t>
        </r>
      </text>
    </comment>
    <comment ref="AH27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de-worming and reached by curative services</t>
        </r>
      </text>
    </comment>
    <comment ref="AI27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CTCs
</t>
        </r>
      </text>
    </comment>
    <comment ref="R27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471 latrines*20</t>
        </r>
      </text>
    </comment>
    <comment ref="U27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78 PHAST
</t>
        </r>
      </text>
    </comment>
    <comment ref="AD27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expected results at least</t>
        </r>
      </text>
    </comment>
    <comment ref="Q28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on the planned activities </t>
        </r>
      </text>
    </comment>
    <comment ref="R28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24 latrines*20
</t>
        </r>
      </text>
    </comment>
    <comment ref="U28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PHAST
</t>
        </r>
      </text>
    </comment>
    <comment ref="Q28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aimed at 25000 beneficiaries. 200 000 water purification tablets and 200 000 sedimentation sachets</t>
        </r>
      </text>
    </comment>
    <comment ref="T28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on the planned activities but not conducted due to  poor appeal coverage</t>
        </r>
      </text>
    </comment>
    <comment ref="Q28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7500 HH on expected results
</t>
        </r>
      </text>
    </comment>
    <comment ref="R28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20 latrines to be constructed, on the expected results</t>
        </r>
      </text>
    </comment>
    <comment ref="U28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 PHAST </t>
        </r>
      </text>
    </comment>
    <comment ref="R28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cleaning-up activities
</t>
        </r>
      </text>
    </comment>
    <comment ref="AH28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 CTC were in place
</t>
        </r>
      </text>
    </comment>
    <comment ref="U29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 PHAST</t>
        </r>
      </text>
    </comment>
    <comment ref="Q29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10.000 chlorine tablets</t>
        </r>
      </text>
    </comment>
    <comment ref="R29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26,271 latrines were cleaned *20
</t>
        </r>
      </text>
    </comment>
    <comment ref="AA302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7711842 children were immunized</t>
        </r>
      </text>
    </comment>
    <comment ref="R31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fumigation and not excreta disposal</t>
        </r>
      </text>
    </comment>
    <comment ref="K32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the targeted number was 2300000, but only 40576 were vaccinated and 200000 reached by health promotion activities</t>
        </r>
      </text>
    </comment>
    <comment ref="AA324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of these, 40,576 people were immunized against Meningitis</t>
        </r>
      </text>
    </comment>
    <comment ref="A32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
</t>
        </r>
      </text>
    </comment>
    <comment ref="A32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2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2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3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3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3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3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K33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families with 8 members</t>
        </r>
      </text>
    </comment>
    <comment ref="V33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pre-positioning of hygine ktis</t>
        </r>
      </text>
    </comment>
    <comment ref="L34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together with appeal MDRBJ003</t>
        </r>
      </text>
    </comment>
    <comment ref="S34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131 showers were installed</t>
        </r>
      </text>
    </comment>
    <comment ref="AR356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FACT</t>
        </r>
      </text>
    </comment>
    <comment ref="AM367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This report is not in the master list</t>
        </r>
      </text>
    </comment>
    <comment ref="V37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Other 700,000 indirectly</t>
        </r>
      </text>
    </comment>
    <comment ref="AA375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All immunized</t>
        </r>
      </text>
    </comment>
    <comment ref="A382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8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84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87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88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9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39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S399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21 people</t>
        </r>
      </text>
    </comment>
    <comment ref="A40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A404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Combined with the screening programme</t>
        </r>
      </text>
    </comment>
    <comment ref="AH404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Deworming and Vitamin A</t>
        </r>
      </text>
    </comment>
    <comment ref="A40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40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40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C41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Provided support to 2066 returnees</t>
        </r>
      </text>
    </comment>
    <comment ref="Z41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volunteers were trained in Psychosocial support
</t>
        </r>
      </text>
    </comment>
    <comment ref="A41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42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42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42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42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43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43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43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A43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61633 vaccinated</t>
        </r>
      </text>
    </comment>
    <comment ref="V43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Hygiene Kits fro 1620 people were distributed</t>
        </r>
      </text>
    </comment>
    <comment ref="AA43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438 first aid workshop
948 disease prevention workshops</t>
        </r>
      </text>
    </comment>
    <comment ref="Z43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There was training in psychosocial support
</t>
        </r>
      </text>
    </comment>
    <comment ref="AB43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1000 in PSP.
263 training sessions on public health in emergencies (PhiE) were conducted</t>
        </r>
      </text>
    </comment>
    <comment ref="A44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V44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Hygiene kits for 1500 people were distributed</t>
        </r>
      </text>
    </comment>
    <comment ref="Q44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60% of wells were treated</t>
        </r>
      </text>
    </comment>
    <comment ref="R44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 emergency latrines built</t>
        </r>
      </text>
    </comment>
    <comment ref="V44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1710 Women received Hygiene kits</t>
        </r>
      </text>
    </comment>
    <comment ref="Q44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14124 families*5</t>
        </r>
      </text>
    </comment>
    <comment ref="V45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Hygiene kits for 6250  people were distributed</t>
        </r>
      </text>
    </comment>
    <comment ref="AS45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AM452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This report is not in the master list
</t>
        </r>
      </text>
    </comment>
    <comment ref="Q45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together with funds from Oxfam
</t>
        </r>
      </text>
    </comment>
    <comment ref="S45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together with funds from Oxfam
</t>
        </r>
      </text>
    </comment>
    <comment ref="K45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a clear number. Supposedly around 400.000 HH reached by health education activities</t>
        </r>
      </text>
    </comment>
    <comment ref="R45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621 decontaminated houses and 339 desinfected latrines</t>
        </r>
      </text>
    </comment>
    <comment ref="V45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through 86 sensitization campaigns</t>
        </r>
      </text>
    </comment>
    <comment ref="AH45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patients in CTCs</t>
        </r>
      </text>
    </comment>
    <comment ref="A45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46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R46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houses treated with insecticides</t>
        </r>
      </text>
    </comment>
    <comment ref="V46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80% of the population observes simple individual and environmental hygiene rules</t>
        </r>
      </text>
    </comment>
    <comment ref="Q46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tablets distributed to families</t>
        </r>
      </text>
    </comment>
    <comment ref="S46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tablets distributed to families</t>
        </r>
      </text>
    </comment>
    <comment ref="K47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this DREF is not responding to an emergency, it dealt with preparedness</t>
        </r>
      </text>
    </comment>
    <comment ref="A47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final document</t>
        </r>
      </text>
    </comment>
    <comment ref="K47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35.000 people served a day by the field kitchens. 340.000 affected people</t>
        </r>
      </text>
    </comment>
    <comment ref="AA47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46,000 students and teaching staff trained in first aid
2,300 first aid promotion courses for students and
teaching staff</t>
        </r>
      </text>
    </comment>
    <comment ref="AC47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70 basic first aid
40 new trainers received advanced training</t>
        </r>
      </text>
    </comment>
    <comment ref="A47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final document</t>
        </r>
      </text>
    </comment>
    <comment ref="Q47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1000 families received aquatab</t>
        </r>
      </text>
    </comment>
    <comment ref="AA47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majority were pregnant women and children 
</t>
        </r>
      </text>
    </comment>
    <comment ref="A47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47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K47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clear</t>
        </r>
      </text>
    </comment>
    <comment ref="V47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intention to reach this number of beneficiaries</t>
        </r>
      </text>
    </comment>
    <comment ref="K47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300 HH (1500) were actually reached</t>
        </r>
      </text>
    </comment>
    <comment ref="R47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latrines were cleaned...</t>
        </r>
      </text>
    </comment>
    <comment ref="S47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 Watsan kit for 10.000 was deplyoed</t>
        </r>
      </text>
    </comment>
    <comment ref="AS47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specified)</t>
        </r>
      </text>
    </comment>
    <comment ref="A48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K48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total it is estimated that around 1.5 million people benefited</t>
        </r>
      </text>
    </comment>
    <comment ref="AA48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vaccinations</t>
        </r>
      </text>
    </comment>
    <comment ref="Q48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disinfectants and jerry cans </t>
        </r>
      </text>
    </comment>
    <comment ref="AB49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capacity of
its Emergency and First Aid Teams (EFAT)</t>
        </r>
      </text>
    </comment>
    <comment ref="AH49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"patients were seen
by the PRCS mobile and static health teams"</t>
        </r>
      </text>
    </comment>
    <comment ref="V49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2310 HK</t>
        </r>
      </text>
    </comment>
    <comment ref="AH49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out patient consultations</t>
        </r>
      </text>
    </comment>
    <comment ref="A49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K49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so clear</t>
        </r>
      </text>
    </comment>
    <comment ref="AH49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consultations</t>
        </r>
      </text>
    </comment>
    <comment ref="AS49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logistics</t>
        </r>
      </text>
    </comment>
    <comment ref="A50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final report</t>
        </r>
      </text>
    </comment>
    <comment ref="S50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on the planned activities</t>
        </r>
      </text>
    </comment>
    <comment ref="V50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on the planned activities</t>
        </r>
      </text>
    </comment>
    <comment ref="Q50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average HH size in Serbia 4200/1500=2.8</t>
        </r>
      </text>
    </comment>
    <comment ref="AH50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available number of drugs (vaccines, antibiotics, syringes, etc)</t>
        </r>
      </text>
    </comment>
    <comment ref="A51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51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
</t>
        </r>
      </text>
    </comment>
    <comment ref="K51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17,184 affected population</t>
        </r>
      </text>
    </comment>
    <comment ref="A51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51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51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Z51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exactly the programme but support</t>
        </r>
      </text>
    </comment>
    <comment ref="AA51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857182 number of people vaccinated
500000 people reached through an awareness and sensitization campaign</t>
        </r>
      </text>
    </comment>
    <comment ref="A52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Z52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1200 were children</t>
        </r>
      </text>
    </comment>
    <comment ref="AB52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15 received training</t>
        </r>
      </text>
    </comment>
    <comment ref="Q52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1,130,500 aqua tabs distributed</t>
        </r>
      </text>
    </comment>
    <comment ref="Q52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aqua tabs</t>
        </r>
      </text>
    </comment>
    <comment ref="Q53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 cleaned and desinfected wells</t>
        </r>
      </text>
    </comment>
    <comment ref="S53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 cleaned and desinfected wells</t>
        </r>
      </text>
    </comment>
    <comment ref="AB532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35 new ones plus 60
</t>
        </r>
      </text>
    </comment>
    <comment ref="AS534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AT534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K53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45 000 sensitized and 862 923 vaccinated</t>
        </r>
      </text>
    </comment>
    <comment ref="AA53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45 000 sensitized and 862 923 vaccinated</t>
        </r>
      </text>
    </comment>
    <comment ref="AH54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CTC (Cholera treatment centres)</t>
        </r>
      </text>
    </comment>
    <comment ref="B547" authorId="2">
      <text>
        <r>
          <rPr>
            <b/>
            <sz val="12"/>
            <color indexed="81"/>
            <rFont val="Calibri"/>
            <family val="2"/>
          </rPr>
          <t>mitiku.raga:</t>
        </r>
        <r>
          <rPr>
            <sz val="12"/>
            <color indexed="81"/>
            <rFont val="Calibri"/>
            <family val="2"/>
          </rPr>
          <t xml:space="preserve">
No health data</t>
        </r>
      </text>
    </comment>
    <comment ref="K54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cholera cases</t>
        </r>
      </text>
    </comment>
    <comment ref="Q54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49*5 water points
</t>
        </r>
      </text>
    </comment>
    <comment ref="AH54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6  Cholera treatment centres</t>
        </r>
      </text>
    </comment>
    <comment ref="T551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61 trained</t>
        </r>
      </text>
    </comment>
    <comment ref="V55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11350 hygiene kit</t>
        </r>
      </text>
    </comment>
    <comment ref="AH55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direct health care</t>
        </r>
      </text>
    </comment>
    <comment ref="Q55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clear how many beneficieries were actually reached</t>
        </r>
      </text>
    </comment>
    <comment ref="U55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61 of these trained in PHAST</t>
        </r>
      </text>
    </comment>
    <comment ref="K56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22017 sentitized households</t>
        </r>
      </text>
    </comment>
    <comment ref="V56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22017 sentitized households</t>
        </r>
      </text>
    </comment>
    <comment ref="U56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sanitation
</t>
        </r>
      </text>
    </comment>
    <comment ref="Q56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this was the objective but no detail on the type of activities was carried out. Digging material was distributed though</t>
        </r>
      </text>
    </comment>
    <comment ref="S56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this was the objective but no detail on the type of activities was carried out. Digging material was distributed though</t>
        </r>
      </text>
    </comment>
    <comment ref="K56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May 2006
</t>
        </r>
      </text>
    </comment>
    <comment ref="Q56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120 000 families *5
</t>
        </r>
      </text>
    </comment>
    <comment ref="S56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clear at all if this number was actually reached</t>
        </r>
      </text>
    </comment>
    <comment ref="V56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Hygienic kit</t>
        </r>
      </text>
    </comment>
    <comment ref="Q56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25 shallow wells</t>
        </r>
      </text>
    </comment>
    <comment ref="A57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related activities</t>
        </r>
      </text>
    </comment>
    <comment ref="AA57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25350+29055+23167+570+799+398</t>
        </r>
      </text>
    </comment>
    <comment ref="K57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sensitized pupils
</t>
        </r>
      </text>
    </comment>
    <comment ref="AA57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sensitized pupils
</t>
        </r>
      </text>
    </comment>
    <comment ref="AH57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oseltamivirs units</t>
        </r>
      </text>
    </comment>
    <comment ref="B580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data, preparedness</t>
        </r>
      </text>
    </comment>
    <comment ref="K580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beneficiares mentioned - just preparedness</t>
        </r>
      </text>
    </comment>
    <comment ref="V58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Hygienic kit</t>
        </r>
      </text>
    </comment>
    <comment ref="AA58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 primary health centres</t>
        </r>
      </text>
    </comment>
    <comment ref="K582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affected people
</t>
        </r>
      </text>
    </comment>
    <comment ref="P582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considering the initial budget of 50 000
</t>
        </r>
      </text>
    </comment>
    <comment ref="Q58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chlorine tablets 1196 families*5</t>
        </r>
      </text>
    </comment>
    <comment ref="AA582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654 head of families trained (*5)</t>
        </r>
      </text>
    </comment>
    <comment ref="AS582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AT582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U585" authorId="4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10 PHAST 50 watsan</t>
        </r>
      </text>
    </comment>
    <comment ref="V59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information material on diarrhea, hygiene and sanitation distributed</t>
        </r>
      </text>
    </comment>
    <comment ref="K60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LLITNs and IEC material distribution</t>
        </r>
      </text>
    </comment>
    <comment ref="AA60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LLITNs and IEC material distribution</t>
        </r>
      </text>
    </comment>
    <comment ref="Q60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filters distributed to the affect households</t>
        </r>
      </text>
    </comment>
    <comment ref="V60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2082 HK</t>
        </r>
      </text>
    </comment>
    <comment ref="Z60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medical and social support</t>
        </r>
      </text>
    </comment>
    <comment ref="AH60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medical and social support</t>
        </r>
      </text>
    </comment>
    <comment ref="S60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clear how many people benefited</t>
        </r>
      </text>
    </comment>
    <comment ref="B611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Information bulletin found in google...</t>
        </r>
      </text>
    </comment>
    <comment ref="K611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Nothing mentioned, just information bulletin</t>
        </r>
      </text>
    </comment>
    <comment ref="B61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Report not found</t>
        </r>
      </text>
    </comment>
    <comment ref="K61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Report not found</t>
        </r>
      </text>
    </comment>
    <comment ref="Q61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500 water treatment kits and 90.000 chlorine tablet distributed</t>
        </r>
      </text>
    </comment>
    <comment ref="B617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B618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B621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
</t>
        </r>
      </text>
    </comment>
    <comment ref="B62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B625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V62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16860 HK</t>
        </r>
      </text>
    </comment>
    <comment ref="AA63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vaccinated children and advised women</t>
        </r>
      </text>
    </comment>
    <comment ref="AH63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malnourished and de-wormed children</t>
        </r>
      </text>
    </comment>
    <comment ref="Q63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and jerrycans were distributed...this is not a clear number</t>
        </r>
      </text>
    </comment>
    <comment ref="AB63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45+20
</t>
        </r>
      </text>
    </comment>
    <comment ref="Q64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300000 families + 3500 beneficiaries
</t>
        </r>
      </text>
    </comment>
    <comment ref="R64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175beneficiaries/day in the 8 built latrines (8*20=160)
</t>
        </r>
      </text>
    </comment>
    <comment ref="U64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128+18
</t>
        </r>
      </text>
    </comment>
    <comment ref="AH64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description of care in the appeal-dental care, de-worming, etc
</t>
        </r>
      </text>
    </comment>
    <comment ref="Q64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chlorine tablets distributed</t>
        </r>
      </text>
    </comment>
    <comment ref="S64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chlorine tablets distributed</t>
        </r>
      </text>
    </comment>
    <comment ref="V64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so clear... </t>
        </r>
      </text>
    </comment>
    <comment ref="AB64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29 trained in PSP</t>
        </r>
      </text>
    </comment>
    <comment ref="AC64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CBFA</t>
        </r>
      </text>
    </comment>
    <comment ref="AS64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K66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affected population</t>
        </r>
      </text>
    </comment>
    <comment ref="K664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4 000 for the floods/snowfall ans 6 000 for the floods
</t>
        </r>
      </text>
    </comment>
    <comment ref="L664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50 000 for each minor emergency
</t>
        </r>
      </text>
    </comment>
    <comment ref="U66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PHAST</t>
        </r>
      </text>
    </comment>
    <comment ref="V66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out of which 2975 were conducted in schools</t>
        </r>
      </text>
    </comment>
    <comment ref="AH66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people that reached health care services...</t>
        </r>
      </text>
    </comment>
    <comment ref="Q667" authorId="4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handed over to municipalities</t>
        </r>
      </text>
    </comment>
    <comment ref="K668" authorId="4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affected</t>
        </r>
      </text>
    </comment>
    <comment ref="R66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1003+1839+1278</t>
        </r>
      </text>
    </comment>
    <comment ref="V66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1003+1839+1278</t>
        </r>
      </text>
    </comment>
    <comment ref="AH669" authorId="1">
      <text>
        <r>
          <rPr>
            <b/>
            <sz val="8"/>
            <color indexed="81"/>
            <rFont val="Tahoma"/>
            <charset val="1"/>
          </rPr>
          <t>joana.vaz:</t>
        </r>
        <r>
          <rPr>
            <sz val="8"/>
            <color indexed="81"/>
            <rFont val="Tahoma"/>
            <charset val="1"/>
          </rPr>
          <t xml:space="preserve">
patient received in the health unit 400+ 1064</t>
        </r>
      </text>
    </comment>
    <comment ref="K67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cases of Cholera
</t>
        </r>
      </text>
    </comment>
    <comment ref="Z671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32 trained women</t>
        </r>
      </text>
    </comment>
    <comment ref="K67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556 cases of yellow fever
</t>
        </r>
      </text>
    </comment>
    <comment ref="K677" authorId="4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2 093 affected families
</t>
        </r>
      </text>
    </comment>
    <comment ref="L677" authorId="4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No final financial report
</t>
        </r>
      </text>
    </comment>
    <comment ref="R67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spraying of insecticides</t>
        </r>
      </text>
    </comment>
    <comment ref="N68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taken from the master list </t>
        </r>
      </text>
    </comment>
    <comment ref="A68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reports not found neither on the IFRC website nor on the web</t>
        </r>
      </text>
    </comment>
    <comment ref="AS69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 WatSan expert was present in the RDRT training</t>
        </r>
      </text>
    </comment>
    <comment ref="Q69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tons of chlorine tablets were distributed
</t>
        </r>
      </text>
    </comment>
    <comment ref="K69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clear. 360 temporary shelters were provided</t>
        </r>
      </text>
    </comment>
    <comment ref="A69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related activities</t>
        </r>
      </text>
    </comment>
    <comment ref="K70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clear number</t>
        </r>
      </text>
    </comment>
    <comment ref="K70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Number of people reached in the past by NS from the region</t>
        </r>
      </text>
    </comment>
    <comment ref="K70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actual reached beneficiaries 3000</t>
        </r>
      </text>
    </comment>
    <comment ref="Q71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plus 3000 water points cleaned and 32000 chlorine tablets distributed</t>
        </r>
      </text>
    </comment>
    <comment ref="AC71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CBFA</t>
        </r>
      </text>
    </comment>
    <comment ref="AH71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more than 60 consultations per day..</t>
        </r>
      </text>
    </comment>
    <comment ref="A71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activities</t>
        </r>
      </text>
    </comment>
    <comment ref="A71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all figures in this report are part of the planned objectives. There is no information regarding whether they were met or not.</t>
        </r>
      </text>
    </comment>
    <comment ref="Q71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7000 water purification tablets
</t>
        </r>
      </text>
    </comment>
    <comment ref="S71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7000 water purification tablets
</t>
        </r>
      </text>
    </comment>
    <comment ref="V71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awareness messages</t>
        </r>
      </text>
    </comment>
    <comment ref="Z71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both families and volunteers</t>
        </r>
      </text>
    </comment>
    <comment ref="AA71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-10001 mothers received advices abouth childhood diseases
-1,880 children monitored for growth and development
-671 visited HH
-521 people attended the "Prevention of sexual violence and HIV in disaster situations" course</t>
        </r>
      </text>
    </comment>
    <comment ref="AH71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1997 people and 3492 treatments</t>
        </r>
      </text>
    </comment>
    <comment ref="Z722" authorId="1">
      <text>
        <r>
          <rPr>
            <b/>
            <sz val="9"/>
            <color indexed="81"/>
            <rFont val="Tahoma"/>
            <family val="2"/>
          </rPr>
          <t>joana.vaz:</t>
        </r>
        <r>
          <rPr>
            <sz val="9"/>
            <color indexed="81"/>
            <rFont val="Tahoma"/>
            <family val="2"/>
          </rPr>
          <t xml:space="preserve">
384 trained in psychosocial support programme (PSP)</t>
        </r>
      </text>
    </comment>
    <comment ref="AB722" authorId="1">
      <text>
        <r>
          <rPr>
            <b/>
            <sz val="9"/>
            <color indexed="81"/>
            <rFont val="Tahoma"/>
            <family val="2"/>
          </rPr>
          <t>joana.vaz:</t>
        </r>
        <r>
          <rPr>
            <sz val="9"/>
            <color indexed="81"/>
            <rFont val="Tahoma"/>
            <family val="2"/>
          </rPr>
          <t xml:space="preserve">
525 + 352 + 84</t>
        </r>
      </text>
    </comment>
    <comment ref="P723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with the revised budget</t>
        </r>
      </text>
    </comment>
    <comment ref="AB72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educators on PLWHA</t>
        </r>
      </text>
    </comment>
    <comment ref="Q72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50 000 objective, 5 tube wells *400= 2000
</t>
        </r>
      </text>
    </comment>
    <comment ref="R725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37*20
</t>
        </r>
      </text>
    </comment>
    <comment ref="S72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50 000 objective, 5 tube wells *400= 2000
</t>
        </r>
      </text>
    </comment>
    <comment ref="Q726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50% of 30 000</t>
        </r>
      </text>
    </comment>
    <comment ref="R726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1 277 families benefited from new built and emptied latrines</t>
        </r>
      </text>
    </comment>
    <comment ref="U726" authorId="0">
      <text>
        <r>
          <rPr>
            <sz val="11"/>
            <rFont val="Calibri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23 PHAST</t>
        </r>
      </text>
    </comment>
    <comment ref="AA726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10 202 * 5</t>
        </r>
      </text>
    </comment>
    <comment ref="AR726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NEHK- new emergency health kit</t>
        </r>
      </text>
    </comment>
    <comment ref="U72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the same trained in the health section (for malaria prevention)</t>
        </r>
      </text>
    </comment>
    <comment ref="V72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written material </t>
        </r>
      </text>
    </comment>
    <comment ref="AA72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written material</t>
        </r>
      </text>
    </comment>
    <comment ref="AC72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CBFA together with disaster preparedness training </t>
        </r>
      </text>
    </comment>
    <comment ref="AA73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Adivisory booklets distributed...</t>
        </r>
      </text>
    </comment>
    <comment ref="K73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actually 50000 reached</t>
        </r>
      </text>
    </comment>
    <comment ref="Q73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 hand pumps installed plus 250000 water purification tablets distributed</t>
        </r>
      </text>
    </comment>
    <comment ref="S73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 hand pumps installed plus 250000 water purification tablets distributed</t>
        </r>
      </text>
    </comment>
    <comment ref="Q73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appeal component handed over to another agency- GTZ
</t>
        </r>
      </text>
    </comment>
    <comment ref="R733" authorId="1">
      <text>
        <r>
          <rPr>
            <b/>
            <sz val="8"/>
            <color indexed="81"/>
            <rFont val="Tahoma"/>
            <family val="2"/>
          </rPr>
          <t xml:space="preserve">joana.vaz
</t>
        </r>
        <r>
          <rPr>
            <sz val="10"/>
            <color indexed="81"/>
            <rFont val="Tahoma"/>
            <family val="2"/>
          </rPr>
          <t>30 latrines- planned to be built when funding is available</t>
        </r>
      </text>
    </comment>
    <comment ref="T73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under objectives</t>
        </r>
      </text>
    </comment>
    <comment ref="V73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planned</t>
        </r>
      </text>
    </comment>
    <comment ref="AA73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objectives</t>
        </r>
      </text>
    </comment>
    <comment ref="AC73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objectives</t>
        </r>
      </text>
    </comment>
    <comment ref="R73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cleaning activities, refurbishement of latrines</t>
        </r>
      </text>
    </comment>
    <comment ref="Q73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549000 water purification tablets distributed</t>
        </r>
      </text>
    </comment>
    <comment ref="AA73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topics addressed during the health education campaign: breastfeeding, promotion of condom use, HIV/AIDS clients home-based care, prevention of mother-to-child
transmission (PMTCT) and highly-active anti-retroviral treatment (HAART)</t>
        </r>
      </text>
    </comment>
    <comment ref="AI73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topics addressed during the health education campaign: breastfeeding, promotion of condom use, HIV/AIDS clients home-based care, prevention of mother-to-child
transmission (PMTCT) and highly-active anti-retroviral treatment (HAART)</t>
        </r>
      </text>
    </comment>
    <comment ref="Q73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2200 L of desinfectant distributed</t>
        </r>
      </text>
    </comment>
    <comment ref="Q73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42 water tanks were installed</t>
        </r>
      </text>
    </comment>
    <comment ref="S73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42 water tanks were installed</t>
        </r>
      </text>
    </comment>
    <comment ref="Q73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liquid was distributed and wells were cleaned
</t>
        </r>
      </text>
    </comment>
    <comment ref="S73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liquid was distributed and wells were cleaned
</t>
        </r>
      </text>
    </comment>
    <comment ref="AC73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plus the community-based disaster preparedness (CBDP) was implemented
</t>
        </r>
      </text>
    </comment>
    <comment ref="R74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vector management prgramme: spraying insecticide 
</t>
        </r>
      </text>
    </comment>
    <comment ref="K74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31360 families reached by colombian RC society operations</t>
        </r>
      </text>
    </comment>
    <comment ref="A74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some figures might be underestimated</t>
        </r>
      </text>
    </comment>
    <comment ref="N74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value in the master list</t>
        </r>
      </text>
    </comment>
    <comment ref="M75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it is written 30.000 CHF in the information bulletin</t>
        </r>
      </text>
    </comment>
    <comment ref="K75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under objectives</t>
        </r>
      </text>
    </comment>
    <comment ref="N75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value in the master list</t>
        </r>
      </text>
    </comment>
    <comment ref="L756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budget found</t>
        </r>
      </text>
    </comment>
    <comment ref="N756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Taken from the master list</t>
        </r>
      </text>
    </comment>
    <comment ref="K76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4000 families</t>
        </r>
      </text>
    </comment>
    <comment ref="B775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B78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disaster preparedness volunteers
</t>
        </r>
      </text>
    </comment>
    <comment ref="Q78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tablets (13000+10214+11200+13800)</t>
        </r>
      </text>
    </comment>
    <comment ref="S78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tablets (13000+10214+11200+13800)</t>
        </r>
      </text>
    </comment>
    <comment ref="AB78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968 VCA,  500 CBDP, 471 first aid, 200 swift water safety (maybe some are common to more than one training)
</t>
        </r>
      </text>
    </comment>
    <comment ref="AH782" authorId="3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health centre beneficiaries
</t>
        </r>
      </text>
    </comment>
  </commentList>
</comments>
</file>

<file path=xl/comments10.xml><?xml version="1.0" encoding="utf-8"?>
<comments xmlns="http://schemas.openxmlformats.org/spreadsheetml/2006/main">
  <authors>
    <author>joana.vaz</author>
    <author>assisteru</author>
  </authors>
  <commentList>
    <comment ref="AB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disaster preparedness volunteers
</t>
        </r>
      </text>
    </comment>
    <comment ref="P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tablets (13000+10214+11200+13800)</t>
        </r>
      </text>
    </comment>
    <comment ref="R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tablets (13000+10214+11200+13800)</t>
        </r>
      </text>
    </comment>
    <comment ref="Y8" authorId="1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health centre beneficiaries
</t>
        </r>
      </text>
    </comment>
    <comment ref="AB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968 VCA,  500 CBDP, 471 first aid, 200 swift water safety (maybe some are common to more than one training)
</t>
        </r>
      </text>
    </comment>
  </commentList>
</comments>
</file>

<file path=xl/comments11.xml><?xml version="1.0" encoding="utf-8"?>
<comments xmlns="http://schemas.openxmlformats.org/spreadsheetml/2006/main">
  <authors>
    <author>mitiku.raga</author>
  </authors>
  <commentList>
    <comment ref="G38" authorId="0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The rest collected from separate report.</t>
        </r>
      </text>
    </comment>
    <comment ref="G39" authorId="0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The rest collected from separate report</t>
        </r>
      </text>
    </comment>
  </commentList>
</comments>
</file>

<file path=xl/comments2.xml><?xml version="1.0" encoding="utf-8"?>
<comments xmlns="http://schemas.openxmlformats.org/spreadsheetml/2006/main">
  <authors>
    <author>Joana Vaz</author>
    <author>joana.vaz</author>
    <author>mitiku.raga</author>
  </authors>
  <commentList>
    <comment ref="P16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410 water points were desinfected</t>
        </r>
      </text>
    </comment>
    <comment ref="R1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all tentive numbers in the planned activities</t>
        </r>
      </text>
    </comment>
    <comment ref="B2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nor watsan components
</t>
        </r>
      </text>
    </comment>
    <comment ref="H32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it was followed by an emergency appeal
</t>
        </r>
      </text>
    </comment>
    <comment ref="AD3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it was on the planned activities but volunteers were only briefed</t>
        </r>
      </text>
    </comment>
    <comment ref="AB35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based on ECV training modules
</t>
        </r>
      </text>
    </comment>
    <comment ref="T4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15 were PHAST
</t>
        </r>
      </text>
    </comment>
    <comment ref="J59" authorId="1">
      <text>
        <r>
          <rPr>
            <b/>
            <sz val="8"/>
            <color indexed="81"/>
            <rFont val="Tahoma"/>
            <family val="2"/>
          </rPr>
          <t xml:space="preserve">joana.vaz:
</t>
        </r>
        <r>
          <rPr>
            <sz val="8"/>
            <color indexed="81"/>
            <rFont val="Tahoma"/>
            <family val="2"/>
          </rPr>
          <t xml:space="preserve">In additon (?) 14849 persons reached by state institutions campaigns.
</t>
        </r>
      </text>
    </comment>
    <comment ref="AA59" authorId="1">
      <text>
        <r>
          <rPr>
            <b/>
            <sz val="8"/>
            <color indexed="81"/>
            <rFont val="Tahoma"/>
            <family val="2"/>
          </rPr>
          <t xml:space="preserve">joana.vaz:
</t>
        </r>
        <r>
          <rPr>
            <sz val="8"/>
            <color indexed="81"/>
            <rFont val="Tahoma"/>
            <family val="2"/>
          </rPr>
          <t xml:space="preserve">In additon (?) 14849 persons reached by state institutions campaigns.
</t>
        </r>
      </text>
    </comment>
    <comment ref="Q6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 latrines were built (10*50=500)</t>
        </r>
      </text>
    </comment>
    <comment ref="U6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150 households visited per day</t>
        </r>
      </text>
    </comment>
    <comment ref="AA6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150 households visited on a daily basis</t>
        </r>
      </text>
    </comment>
    <comment ref="S6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 the planned acivities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6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planned activities
</t>
        </r>
      </text>
    </comment>
    <comment ref="U7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emergency appeal and not a final EA, so no final figures
</t>
        </r>
      </text>
    </comment>
    <comment ref="Z7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This amount per day</t>
        </r>
      </text>
    </comment>
    <comment ref="P82" authorId="1">
      <text>
        <r>
          <rPr>
            <b/>
            <sz val="8"/>
            <color indexed="81"/>
            <rFont val="Tahoma"/>
            <family val="2"/>
          </rPr>
          <t>joana.vaz:
76,858+12,453</t>
        </r>
      </text>
    </comment>
    <comment ref="AB8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32 Peru + 41 Bolivia
+25</t>
        </r>
      </text>
    </comment>
    <comment ref="AD8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planned activities</t>
        </r>
      </text>
    </comment>
    <comment ref="AD8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Information and education material adapted from this</t>
        </r>
      </text>
    </comment>
    <comment ref="AC9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planned activities</t>
        </r>
      </text>
    </comment>
    <comment ref="AD9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planned activities</t>
        </r>
      </text>
    </comment>
    <comment ref="B9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nor watsan components</t>
        </r>
      </text>
    </comment>
    <comment ref="AB10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trainees received a copy of the ECV manual
</t>
        </r>
      </text>
    </comment>
    <comment ref="AD10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trainees received a copy of the ECV manual</t>
        </r>
      </text>
    </comment>
    <comment ref="J102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985335 sensitizes people.
The initial targeted number was 220000</t>
        </r>
      </text>
    </comment>
    <comment ref="AA102" authorId="0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79822 vaccinated children
8957 children received vitamin A
2114000/985335 (?) sensitized people
</t>
        </r>
      </text>
    </comment>
    <comment ref="E10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aimed to be finished by
</t>
        </r>
      </text>
    </comment>
    <comment ref="AA10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3,501,799 polio vaccination + 914904 measles vaccination</t>
        </r>
      </text>
    </comment>
    <comment ref="AD106" authorId="1">
      <text>
        <r>
          <rPr>
            <b/>
            <sz val="10"/>
            <color indexed="81"/>
            <rFont val="Tahoma"/>
            <family val="2"/>
          </rPr>
          <t>joana.vaz:</t>
        </r>
        <r>
          <rPr>
            <sz val="10"/>
            <color indexed="81"/>
            <rFont val="Tahoma"/>
            <family val="2"/>
          </rPr>
          <t xml:space="preserve">
Planned activity, to train 50 volunteers on ECV</t>
        </r>
      </text>
    </comment>
    <comment ref="AT109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Emergency prevention work and immunization for 727255 persons</t>
        </r>
      </text>
    </comment>
    <comment ref="T11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474 sessions conducted</t>
        </r>
      </text>
    </comment>
    <comment ref="J11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190 communities and 348 schools
</t>
        </r>
      </text>
    </comment>
  </commentList>
</comments>
</file>

<file path=xl/comments3.xml><?xml version="1.0" encoding="utf-8"?>
<comments xmlns="http://schemas.openxmlformats.org/spreadsheetml/2006/main">
  <authors>
    <author>joana.vaz</author>
    <author>mitiku.raga</author>
    <author>assisteru</author>
    <author>Joana Vaz</author>
  </authors>
  <commentList>
    <comment ref="AC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community-based health workshops were conducted
</t>
        </r>
      </text>
    </comment>
    <comment ref="AB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community-based disaster
preparedness and risk reduction</t>
        </r>
      </text>
    </comment>
    <comment ref="P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7,126 beneficiaries safe drinking water distribution (ERU)</t>
        </r>
      </text>
    </comment>
    <comment ref="R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7,126 beneficiaries safe drinking water distribution (ERU)</t>
        </r>
      </text>
    </comment>
    <comment ref="AB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trained in community-based psychosocial support</t>
        </r>
      </text>
    </comment>
    <comment ref="AU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final  report link not available
</t>
        </r>
      </text>
    </comment>
    <comment ref="Q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fumigation and spraying
</t>
        </r>
      </text>
    </comment>
    <comment ref="P1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30%  of  51354</t>
        </r>
      </text>
    </comment>
    <comment ref="Q1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spraying of insecticies</t>
        </r>
      </text>
    </comment>
    <comment ref="R1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30%  of  51354</t>
        </r>
      </text>
    </comment>
    <comment ref="AT40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They got both treatment and preventive services</t>
        </r>
      </text>
    </comment>
    <comment ref="AH42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Refferal</t>
        </r>
      </text>
    </comment>
    <comment ref="J5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displaced persons</t>
        </r>
      </text>
    </comment>
    <comment ref="P6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2,372*5 HH
</t>
        </r>
      </text>
    </comment>
    <comment ref="Q6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1,267*20 latrines
</t>
        </r>
      </text>
    </comment>
    <comment ref="AH6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malaria tretament
</t>
        </r>
      </text>
    </comment>
    <comment ref="AB6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First Aid</t>
        </r>
      </text>
    </comment>
    <comment ref="K67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detail</t>
        </r>
      </text>
    </comment>
    <comment ref="P69" authorId="2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40*5 families. The objective was 21 000
</t>
        </r>
      </text>
    </comment>
    <comment ref="Q69" authorId="2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145*5 families, 35 latrines and 27 washrooms . The objective was 21 000
</t>
        </r>
      </text>
    </comment>
    <comment ref="Z69" authorId="2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21 000 was the objective
</t>
        </r>
      </text>
    </comment>
    <comment ref="AC69" authorId="2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45 men and 30 women</t>
        </r>
      </text>
    </comment>
    <comment ref="AH69" authorId="2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curative health services</t>
        </r>
      </text>
    </comment>
    <comment ref="Y7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+ 3 682 000 radio listneres</t>
        </r>
      </text>
    </comment>
    <comment ref="J7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May 2006
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120 000 families *5
</t>
        </r>
      </text>
    </comment>
    <comment ref="U7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Hygienic kit</t>
        </r>
      </text>
    </comment>
    <comment ref="Y73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12,576 children immunized
</t>
        </r>
      </text>
    </comment>
    <comment ref="AA73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12,576 children immunized
</t>
        </r>
      </text>
    </comment>
    <comment ref="Q8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24 public latrines (*20) and 447 HH latrines (*5)</t>
        </r>
      </text>
    </comment>
    <comment ref="T8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PHASTER
</t>
        </r>
      </text>
    </comment>
    <comment ref="AB8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disaster management</t>
        </r>
      </text>
    </comment>
    <comment ref="AH8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cholera kits and 3 CTC centres</t>
        </r>
      </text>
    </comment>
    <comment ref="AS8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65 volunteers trained as RDRT
</t>
        </r>
      </text>
    </comment>
    <comment ref="R8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3000 beneficiaries resettled</t>
        </r>
      </text>
    </comment>
    <comment ref="AC92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92090 people reached</t>
        </r>
      </text>
    </comment>
    <comment ref="AM92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Sample report
</t>
        </r>
      </text>
    </comment>
    <comment ref="AU92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Sample report</t>
        </r>
      </text>
    </comment>
    <comment ref="J9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2600*5</t>
        </r>
      </text>
    </comment>
    <comment ref="J9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The RITs were deployed to assess the situation</t>
        </r>
      </text>
    </comment>
    <comment ref="A107" authorId="3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from here onwards, all the appeals are revisions that might not have impact nor achieved numbers
</t>
        </r>
      </text>
    </comment>
    <comment ref="R107" authorId="3">
      <text>
        <r>
          <rPr>
            <b/>
            <sz val="9"/>
            <color indexed="81"/>
            <rFont val="Arial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planned
</t>
        </r>
      </text>
    </comment>
    <comment ref="P10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45 boreholes 
</t>
        </r>
      </text>
    </comment>
    <comment ref="Q10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Around 1903 latrines constructed or cleaned. Plus 24165 beneficiaries target in 2012
</t>
        </r>
      </text>
    </comment>
    <comment ref="T10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316 PHAST
</t>
        </r>
      </text>
    </comment>
    <comment ref="Y11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consultations</t>
        </r>
      </text>
    </comment>
    <comment ref="A11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
data</t>
        </r>
      </text>
    </comment>
    <comment ref="A11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1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1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1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1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1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2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2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2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2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2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2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2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2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2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12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</commentList>
</comments>
</file>

<file path=xl/comments4.xml><?xml version="1.0" encoding="utf-8"?>
<comments xmlns="http://schemas.openxmlformats.org/spreadsheetml/2006/main">
  <authors>
    <author>joana.vaz</author>
    <author>mitiku.raga</author>
  </authors>
  <commentList>
    <comment ref="T1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18 intervened and 20 from other neighboring natinal societies were trainined</t>
        </r>
      </text>
    </comment>
    <comment ref="Z1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800 beneficiaries per session.</t>
        </r>
      </text>
    </comment>
    <comment ref="AB1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psychosocial support</t>
        </r>
      </text>
    </comment>
    <comment ref="P2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1700*5
</t>
        </r>
      </text>
    </comment>
    <comment ref="Q2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(4+72+43+40) *20</t>
        </r>
      </text>
    </comment>
    <comment ref="Q2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450*5 house desinfected</t>
        </r>
      </text>
    </comment>
    <comment ref="AS2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relief and logistics</t>
        </r>
      </text>
    </comment>
    <comment ref="Z30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clear figure</t>
        </r>
      </text>
    </comment>
    <comment ref="S3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The volunteers were equipped with PHAST kits while disinfecting the wells</t>
        </r>
      </text>
    </comment>
    <comment ref="Q3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373 families provided with sanitation equipment</t>
        </r>
      </text>
    </comment>
    <comment ref="U3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environmental and sanitation management
150 families
</t>
        </r>
      </text>
    </comment>
    <comment ref="AC3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On the planned activities
</t>
        </r>
      </text>
    </comment>
    <comment ref="P3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objectives...water kit (?)</t>
        </r>
      </text>
    </comment>
    <comment ref="Q34" authorId="0">
      <text>
        <r>
          <rPr>
            <b/>
            <sz val="8"/>
            <color indexed="81"/>
            <rFont val="Tahoma"/>
            <family val="2"/>
          </rPr>
          <t xml:space="preserve">joana.vaz:under </t>
        </r>
        <r>
          <rPr>
            <sz val="8"/>
            <color indexed="81"/>
            <rFont val="Tahoma"/>
            <family val="2"/>
          </rPr>
          <t>objectives...sanitation kit</t>
        </r>
      </text>
    </comment>
    <comment ref="T3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14 PHAST</t>
        </r>
      </text>
    </comment>
    <comment ref="AA3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of which  1,650 were community members</t>
        </r>
      </text>
    </comment>
    <comment ref="AH3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de-worming and reached by curative services</t>
        </r>
      </text>
    </comment>
    <comment ref="AI3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CTCs
</t>
        </r>
      </text>
    </comment>
    <comment ref="Q4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471 latrines*20</t>
        </r>
      </text>
    </comment>
    <comment ref="T4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78 PHAST
</t>
        </r>
      </text>
    </comment>
    <comment ref="AD4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expected results at least</t>
        </r>
      </text>
    </comment>
    <comment ref="P4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on the planned activities </t>
        </r>
      </text>
    </comment>
    <comment ref="Q4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24 latrines*20
</t>
        </r>
      </text>
    </comment>
    <comment ref="T4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PHAST
</t>
        </r>
      </text>
    </comment>
    <comment ref="P4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aimed at 25000 beneficiaries. 200 000 water purification tablets and 200 000 sedimentation sachets</t>
        </r>
      </text>
    </comment>
    <comment ref="S4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on the planned activities but not conducted due to  poor appeal coverage</t>
        </r>
      </text>
    </comment>
    <comment ref="P4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7500 HH on expected results
</t>
        </r>
      </text>
    </comment>
    <comment ref="Q4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20 latrines to be constructed, on the expected results</t>
        </r>
      </text>
    </comment>
    <comment ref="T4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 PHAST </t>
        </r>
      </text>
    </comment>
    <comment ref="Q4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cleaning-up activities
</t>
        </r>
      </text>
    </comment>
    <comment ref="AH4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 CTC were in place
</t>
        </r>
      </text>
    </comment>
    <comment ref="T5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 PHAST</t>
        </r>
      </text>
    </comment>
    <comment ref="Y53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Majority patient consultation</t>
        </r>
      </text>
    </comment>
    <comment ref="P5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10.000 chlorine tablets</t>
        </r>
      </text>
    </comment>
    <comment ref="Q5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26,271 latrines were cleaned *20
</t>
        </r>
      </text>
    </comment>
    <comment ref="AA63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7711842 children were immunized</t>
        </r>
      </text>
    </comment>
    <comment ref="Q7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fumigation and not excreta disposal</t>
        </r>
      </text>
    </comment>
    <comment ref="J8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the targeted number was 2300000, but only 40576 were vaccinated and 200000 reached by health promotion activities</t>
        </r>
      </text>
    </comment>
    <comment ref="AA85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of these, 40,576 people were immunized against Meningitis</t>
        </r>
      </text>
    </comment>
    <comment ref="A8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
</t>
        </r>
      </text>
    </comment>
    <comment ref="A8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8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9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9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9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9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9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J9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families with 8 members</t>
        </r>
      </text>
    </comment>
    <comment ref="U9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pre-positioning of hygine ktis</t>
        </r>
      </text>
    </comment>
    <comment ref="Y9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health care to injured people</t>
        </r>
      </text>
    </comment>
  </commentList>
</comments>
</file>

<file path=xl/comments5.xml><?xml version="1.0" encoding="utf-8"?>
<comments xmlns="http://schemas.openxmlformats.org/spreadsheetml/2006/main">
  <authors>
    <author>joana.vaz</author>
    <author>mitiku.raga</author>
  </authors>
  <commentList>
    <comment ref="K1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together with appeal MDRBJ003</t>
        </r>
      </text>
    </comment>
    <comment ref="R1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131 showers were installed</t>
        </r>
      </text>
    </comment>
    <comment ref="AS24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FACT</t>
        </r>
      </text>
    </comment>
    <comment ref="AN35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This report is not in the master list</t>
        </r>
      </text>
    </comment>
    <comment ref="U41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Other 700,000 indirectly</t>
        </r>
      </text>
    </comment>
    <comment ref="AA43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All immunized</t>
        </r>
      </text>
    </comment>
    <comment ref="A50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51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52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55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56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6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6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T67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21 people</t>
        </r>
      </text>
    </comment>
    <comment ref="A6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A72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Combined with the screening programme</t>
        </r>
      </text>
    </comment>
    <comment ref="AH72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Deworming and Vitamin A</t>
        </r>
      </text>
    </comment>
    <comment ref="A7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7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7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C81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Provided support to 2066 returnees</t>
        </r>
      </text>
    </comment>
    <comment ref="Z8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volunteers were trained in Psychosocial support
</t>
        </r>
      </text>
    </comment>
    <comment ref="A8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8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9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9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9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9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9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10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AA101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61633 vaccinated</t>
        </r>
      </text>
    </comment>
  </commentList>
</comments>
</file>

<file path=xl/comments6.xml><?xml version="1.0" encoding="utf-8"?>
<comments xmlns="http://schemas.openxmlformats.org/spreadsheetml/2006/main">
  <authors>
    <author>joana.vaz</author>
    <author>mitiku.raga</author>
  </authors>
  <commentList>
    <comment ref="U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Hygiene Kits fro 1620 people were distributed</t>
        </r>
      </text>
    </comment>
    <comment ref="AA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438 first aid workshop
948 disease prevention workshops</t>
        </r>
      </text>
    </comment>
    <comment ref="Z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There was training in psychosocial support
</t>
        </r>
      </text>
    </comment>
    <comment ref="AB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1000 in PSP.
263 training sessions on public health in emergencies (PhiE) were conducted</t>
        </r>
      </text>
    </comment>
    <comment ref="A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U1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Hygiene kits for 1500 people were distributed</t>
        </r>
      </text>
    </comment>
    <comment ref="P1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60% of wells were treated</t>
        </r>
      </text>
    </comment>
    <comment ref="Q1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 emergency latrines built</t>
        </r>
      </text>
    </comment>
    <comment ref="U1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1710 Women received Hygiene kits</t>
        </r>
      </text>
    </comment>
    <comment ref="P1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14124 families*5</t>
        </r>
      </text>
    </comment>
    <comment ref="U1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Hygiene kits for 6250  people were distributed</t>
        </r>
      </text>
    </comment>
    <comment ref="AT1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AN19" authorId="1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This report is not in the master list
</t>
        </r>
      </text>
    </comment>
    <comment ref="P2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together with funds from Oxfam
</t>
        </r>
      </text>
    </comment>
    <comment ref="R2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together with funds from Oxfam
</t>
        </r>
      </text>
    </comment>
    <comment ref="J2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a clear number. Supposedly around 400.000 HH reached by health education activities</t>
        </r>
      </text>
    </comment>
    <comment ref="Q2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621 decontaminated houses and 339 desinfected latrines</t>
        </r>
      </text>
    </comment>
    <comment ref="U2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through 86 sensitization campaigns</t>
        </r>
      </text>
    </comment>
    <comment ref="AH2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patients in CTCs</t>
        </r>
      </text>
    </comment>
    <comment ref="A2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3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Q3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houses treated with insecticides</t>
        </r>
      </text>
    </comment>
    <comment ref="U3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80% of the population observes simple individual and environmental hygiene rules</t>
        </r>
      </text>
    </comment>
    <comment ref="P3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tablets distributed to families</t>
        </r>
      </text>
    </comment>
    <comment ref="R3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tablets distributed to families</t>
        </r>
      </text>
    </comment>
    <comment ref="J3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this DREF is not responding to an emergency, it dealt with preparedness</t>
        </r>
      </text>
    </comment>
    <comment ref="A3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final document</t>
        </r>
      </text>
    </comment>
    <comment ref="J3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35.000 people served a day by the field kitchens. 340.000 affected people</t>
        </r>
      </text>
    </comment>
    <comment ref="Y3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2000 wheelchairs</t>
        </r>
      </text>
    </comment>
    <comment ref="AA3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46,000 students and teaching staff trained in first aid
2,300 first aid promotion courses for students and
teaching staff</t>
        </r>
      </text>
    </comment>
    <comment ref="AC3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70 basic first aid
40 new trainers received advanced training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final document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1000 families received aquatab</t>
        </r>
      </text>
    </comment>
    <comment ref="AA4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majority were pregnant women and children 
</t>
        </r>
      </text>
    </comment>
    <comment ref="A4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J4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clear</t>
        </r>
      </text>
    </comment>
    <comment ref="U4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intention to reach this number of beneficiaries</t>
        </r>
      </text>
    </comment>
    <comment ref="J4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300 HH (1500) were actually reached</t>
        </r>
      </text>
    </comment>
    <comment ref="Q4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latrines were cleaned...</t>
        </r>
      </text>
    </comment>
    <comment ref="R4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 Watsan kit for 10.000 was deplyoed</t>
        </r>
      </text>
    </comment>
    <comment ref="AT4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specified)</t>
        </r>
      </text>
    </comment>
    <comment ref="A4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J4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total it is estimated that around 1.5 million people benefited</t>
        </r>
      </text>
    </comment>
    <comment ref="AA4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vaccinations</t>
        </r>
      </text>
    </comment>
    <comment ref="P5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disinfectants and jerry cans </t>
        </r>
      </text>
    </comment>
    <comment ref="AB5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capacity of
its Emergency and First Aid Teams (EFAT)</t>
        </r>
      </text>
    </comment>
    <comment ref="AH5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"patients were seen
by the PRCS mobile and static health teams"</t>
        </r>
      </text>
    </comment>
    <comment ref="U6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2310 HK</t>
        </r>
      </text>
    </comment>
    <comment ref="Y6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out patient consultations</t>
        </r>
      </text>
    </comment>
    <comment ref="A6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J6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so clear</t>
        </r>
      </text>
    </comment>
    <comment ref="Y6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consultations</t>
        </r>
      </text>
    </comment>
    <comment ref="AT6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logistics</t>
        </r>
      </text>
    </comment>
    <comment ref="A6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final report</t>
        </r>
      </text>
    </comment>
    <comment ref="R6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on the planned activities</t>
        </r>
      </text>
    </comment>
    <comment ref="U6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on the planned activities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average HH size in Serbia 4200/1500=2.8</t>
        </r>
      </text>
    </comment>
    <comment ref="AH7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available number of drugs (vaccines, antibiotics, syringes, etc)</t>
        </r>
      </text>
    </comment>
    <comment ref="A7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7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
</t>
        </r>
      </text>
    </comment>
    <comment ref="J7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17,184 affected population</t>
        </r>
      </text>
    </comment>
    <comment ref="A7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8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A8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Z8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exactly the programme but support</t>
        </r>
      </text>
    </comment>
    <comment ref="AA8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857182 number of people vaccinated
500000 people reached through an awareness and sensitization campaign</t>
        </r>
      </text>
    </comment>
    <comment ref="A8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data</t>
        </r>
      </text>
    </comment>
    <comment ref="Z9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1200 were children</t>
        </r>
      </text>
    </comment>
    <comment ref="AB9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15 received training</t>
        </r>
      </text>
    </comment>
    <comment ref="P9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1,130,500 aqua tabs distributed</t>
        </r>
      </text>
    </comment>
    <comment ref="P9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aqua tabs</t>
        </r>
      </text>
    </comment>
    <comment ref="P9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 cleaned and desinfected wells</t>
        </r>
      </text>
    </comment>
    <comment ref="R9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 cleaned and desinfected wells</t>
        </r>
      </text>
    </comment>
  </commentList>
</comments>
</file>

<file path=xl/comments7.xml><?xml version="1.0" encoding="utf-8"?>
<comments xmlns="http://schemas.openxmlformats.org/spreadsheetml/2006/main">
  <authors>
    <author>assisteru</author>
    <author>joana.vaz</author>
    <author>mitiku.raga</author>
    <author>Windows User</author>
  </authors>
  <commentList>
    <comment ref="AB4" authorId="0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35 new ones plus 60
</t>
        </r>
      </text>
    </comment>
    <comment ref="AT6" authorId="0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AU6" authorId="0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J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45 000 sensitized and 862 923 vaccinated</t>
        </r>
      </text>
    </comment>
    <comment ref="Y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ARCHI 2010</t>
        </r>
      </text>
    </comment>
    <comment ref="AA8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45 000 sensitized and 862 923 vaccinated</t>
        </r>
      </text>
    </comment>
    <comment ref="Y1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ARCHI 2010</t>
        </r>
      </text>
    </comment>
    <comment ref="Y16" authorId="1">
      <text>
        <r>
          <rPr>
            <b/>
            <sz val="12"/>
            <color indexed="81"/>
            <rFont val="Tahoma"/>
            <family val="2"/>
          </rPr>
          <t>joana.vaz:</t>
        </r>
        <r>
          <rPr>
            <sz val="12"/>
            <color indexed="81"/>
            <rFont val="Tahoma"/>
            <family val="2"/>
          </rPr>
          <t xml:space="preserve">
ARCHI 2010 in place and reinforced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CTC (Cholera treatment centres)</t>
        </r>
      </text>
    </comment>
    <comment ref="B19" authorId="2">
      <text>
        <r>
          <rPr>
            <b/>
            <sz val="12"/>
            <color indexed="81"/>
            <rFont val="Calibri"/>
            <family val="2"/>
          </rPr>
          <t>mitiku.raga:</t>
        </r>
        <r>
          <rPr>
            <sz val="12"/>
            <color indexed="81"/>
            <rFont val="Calibri"/>
            <family val="2"/>
          </rPr>
          <t xml:space="preserve">
No health data</t>
        </r>
      </text>
    </comment>
    <comment ref="J2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cholera cases</t>
        </r>
      </text>
    </comment>
    <comment ref="P2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49*5 water points
</t>
        </r>
      </text>
    </comment>
    <comment ref="AH2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6  Cholera treatment centres</t>
        </r>
      </text>
    </comment>
    <comment ref="S23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61 trained</t>
        </r>
      </text>
    </comment>
    <comment ref="U2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11350 hygiene kit</t>
        </r>
      </text>
    </comment>
    <comment ref="Y2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direct health care</t>
        </r>
      </text>
    </comment>
    <comment ref="P3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clear how many beneficieries were actually reached</t>
        </r>
      </text>
    </comment>
    <comment ref="T3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61 of these trained in PHAST</t>
        </r>
      </text>
    </comment>
    <comment ref="J3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22017 sentitized households</t>
        </r>
      </text>
    </comment>
    <comment ref="U3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22017 sentitized households</t>
        </r>
      </text>
    </comment>
    <comment ref="T3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sanitation
</t>
        </r>
      </text>
    </comment>
    <comment ref="P3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this was the objective but no detail on the type of activities was carried out. Digging material was distributed though</t>
        </r>
      </text>
    </comment>
    <comment ref="R3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this was the objective but no detail on the type of activities was carried out. Digging material was distributed though</t>
        </r>
      </text>
    </comment>
    <comment ref="J3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May 2006
</t>
        </r>
      </text>
    </comment>
    <comment ref="P3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120 000 families *5
</t>
        </r>
      </text>
    </comment>
    <comment ref="R3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clear at all if this number was actually reached</t>
        </r>
      </text>
    </comment>
    <comment ref="U3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Hygienic kit</t>
        </r>
      </text>
    </comment>
    <comment ref="P41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25 shallow wells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related activities</t>
        </r>
      </text>
    </comment>
    <comment ref="AA4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25350+29055+23167+570+799+398</t>
        </r>
      </text>
    </comment>
    <comment ref="J5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sensitized pupils
</t>
        </r>
      </text>
    </comment>
    <comment ref="AA5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sensitized pupils
</t>
        </r>
      </text>
    </comment>
    <comment ref="AH50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oseltamivirs units</t>
        </r>
      </text>
    </comment>
    <comment ref="B52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data, preparedness</t>
        </r>
      </text>
    </comment>
    <comment ref="J52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beneficiares mentioned - just preparedness</t>
        </r>
      </text>
    </comment>
    <comment ref="U52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Hygienic kit</t>
        </r>
      </text>
    </comment>
    <comment ref="AA5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 primary health centres</t>
        </r>
      </text>
    </comment>
    <comment ref="J54" authorId="0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affected people
</t>
        </r>
      </text>
    </comment>
    <comment ref="O54" authorId="0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considering the initial budget of 50 000
</t>
        </r>
      </text>
    </comment>
    <comment ref="P54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chlorine tablets 1196 families*5</t>
        </r>
      </text>
    </comment>
    <comment ref="Y54" authorId="0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654 head of families trained (*5)</t>
        </r>
      </text>
    </comment>
    <comment ref="AA54" authorId="0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654 head of families trained (*5)</t>
        </r>
      </text>
    </comment>
    <comment ref="AT54" authorId="0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AU54" authorId="0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T57" authorId="3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10 PHAST 50 watsan</t>
        </r>
      </text>
    </comment>
    <comment ref="U6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information material on diarrhea, hygiene and sanitation distributed</t>
        </r>
      </text>
    </comment>
    <comment ref="J7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LLITNs and IEC material distribution</t>
        </r>
      </text>
    </comment>
    <comment ref="Y7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LLITNs and IEC material distribution</t>
        </r>
      </text>
    </comment>
    <comment ref="AA73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LLITNs and IEC material distribution</t>
        </r>
      </text>
    </comment>
    <comment ref="P7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filters distributed to the affect households</t>
        </r>
      </text>
    </comment>
    <comment ref="U7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2082 HK</t>
        </r>
      </text>
    </comment>
    <comment ref="Y77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medical and social support</t>
        </r>
      </text>
    </comment>
    <comment ref="R79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clear how many people benefited</t>
        </r>
      </text>
    </comment>
    <comment ref="B82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Information bulletin found in google...</t>
        </r>
      </text>
    </comment>
    <comment ref="J82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Nothing mentioned, just information bulletin</t>
        </r>
      </text>
    </comment>
    <comment ref="B84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Report not found</t>
        </r>
      </text>
    </comment>
    <comment ref="J84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Report not found</t>
        </r>
      </text>
    </comment>
    <comment ref="P86" authorId="1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500 water treatment kits and 90.000 chlorine tablet distributed</t>
        </r>
      </text>
    </comment>
    <comment ref="B88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B89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B92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
</t>
        </r>
      </text>
    </comment>
    <comment ref="B94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  <comment ref="B96" authorId="2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</commentList>
</comments>
</file>

<file path=xl/comments8.xml><?xml version="1.0" encoding="utf-8"?>
<comments xmlns="http://schemas.openxmlformats.org/spreadsheetml/2006/main">
  <authors>
    <author>joana.vaz</author>
    <author>assisteru</author>
    <author>Windows User</author>
  </authors>
  <commentList>
    <comment ref="U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16860 HK</t>
        </r>
      </text>
    </comment>
    <comment ref="Y1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vaccinated children and advised women</t>
        </r>
      </text>
    </comment>
    <comment ref="AA1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vaccinated children and advised women</t>
        </r>
      </text>
    </comment>
    <comment ref="AH1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malnourished and de-wormed children</t>
        </r>
      </text>
    </comment>
    <comment ref="P1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and jerrycans were distributed...this is not a clear number</t>
        </r>
      </text>
    </comment>
    <comment ref="AB1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45+20
</t>
        </r>
      </text>
    </comment>
    <comment ref="P1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300000 families + 3500 beneficiaries
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175beneficiaries/day in the 8 built latrines (8*20=160)
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128+18
</t>
        </r>
      </text>
    </comment>
    <comment ref="AH1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description of care in the appeal-dental care, de-worming, etc
</t>
        </r>
      </text>
    </comment>
    <comment ref="P2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chlorine tablets distributed</t>
        </r>
      </text>
    </comment>
    <comment ref="R2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chlorine tablets distributed</t>
        </r>
      </text>
    </comment>
    <comment ref="U2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so clear... </t>
        </r>
      </text>
    </comment>
    <comment ref="AB2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29 trained in PSP</t>
        </r>
      </text>
    </comment>
    <comment ref="AC2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CBFA</t>
        </r>
      </text>
    </comment>
    <comment ref="AT2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specified</t>
        </r>
      </text>
    </comment>
    <comment ref="J4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affected population</t>
        </r>
      </text>
    </comment>
    <comment ref="J41" authorId="1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4 000 for the floods/snowfall ans 6 000 for the floods
</t>
        </r>
      </text>
    </comment>
    <comment ref="K41" authorId="1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50 000 for each minor emergency
</t>
        </r>
      </text>
    </comment>
    <comment ref="T4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PHAST</t>
        </r>
      </text>
    </comment>
    <comment ref="U4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out of which 2975 were conducted in schools</t>
        </r>
      </text>
    </comment>
    <comment ref="Y4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people that reached health care services...</t>
        </r>
      </text>
    </comment>
    <comment ref="P44" authorId="2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handed over to municipalities</t>
        </r>
      </text>
    </comment>
    <comment ref="J45" authorId="2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affected</t>
        </r>
      </text>
    </comment>
    <comment ref="Q4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1003+1839+1278</t>
        </r>
      </text>
    </comment>
    <comment ref="U4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1003+1839+1278</t>
        </r>
      </text>
    </comment>
    <comment ref="Y4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patient received in the health unit 400+ 1064
</t>
        </r>
      </text>
    </comment>
    <comment ref="J4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cases of Cholera
</t>
        </r>
      </text>
    </comment>
    <comment ref="Z48" authorId="1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32 trained women</t>
        </r>
      </text>
    </comment>
    <comment ref="J5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556 cases of yellow fever
</t>
        </r>
      </text>
    </comment>
    <comment ref="J54" authorId="2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2 093 affected families
</t>
        </r>
      </text>
    </comment>
    <comment ref="K54" authorId="2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No final financial report
</t>
        </r>
      </text>
    </comment>
    <comment ref="Q5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spraying of insecticides</t>
        </r>
      </text>
    </comment>
    <comment ref="M6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taken from the master list </t>
        </r>
      </text>
    </comment>
    <comment ref="A6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reports not found neither on the IFRC website nor on the web</t>
        </r>
      </text>
    </comment>
    <comment ref="AT6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 WatSan expert was present in the RDRT training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tons of chlorine tablets were distributed
</t>
        </r>
      </text>
    </comment>
    <comment ref="J7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not clear. 360 temporary shelters were provided</t>
        </r>
      </text>
    </comment>
    <comment ref="A7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related activities</t>
        </r>
      </text>
    </comment>
    <comment ref="J7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clear number</t>
        </r>
      </text>
    </comment>
    <comment ref="J8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Number of people reached in the past by NS from the region</t>
        </r>
      </text>
    </comment>
    <comment ref="J8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actual reached beneficiaries 3000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plus 3000 water points cleaned and 32000 chlorine tablets distributed</t>
        </r>
      </text>
    </comment>
    <comment ref="AC8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CBFA</t>
        </r>
      </text>
    </comment>
    <comment ref="AH8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more than 60 consultations per day..</t>
        </r>
      </text>
    </comment>
    <comment ref="A9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no health or watsan activities</t>
        </r>
      </text>
    </comment>
    <comment ref="A9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all figures in this report are part of the planned objectives. There is no information regarding whether they were met or not.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7000 water purification tablets
</t>
        </r>
      </text>
    </comment>
    <comment ref="R9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7000 water purification tablets
</t>
        </r>
      </text>
    </comment>
    <comment ref="U9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awareness messages</t>
        </r>
      </text>
    </comment>
    <comment ref="Z9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both families and volunteers</t>
        </r>
      </text>
    </comment>
    <comment ref="AA9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-10001 mothers received advices abouth childhood diseases
-1,880 children monitored for growth and development
-671 visited HH
-521 people attended the "Prevention of sexual violence and HIV in disaster situations" course</t>
        </r>
      </text>
    </comment>
    <comment ref="AH9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1997 people and 3492 treatments</t>
        </r>
      </text>
    </comment>
  </commentList>
</comments>
</file>

<file path=xl/comments9.xml><?xml version="1.0" encoding="utf-8"?>
<comments xmlns="http://schemas.openxmlformats.org/spreadsheetml/2006/main">
  <authors>
    <author>joana.vaz</author>
    <author>assisteru</author>
    <author>Joana Vaz</author>
    <author>mitiku.raga</author>
  </authors>
  <commentList>
    <comment ref="Z5" authorId="0">
      <text>
        <r>
          <rPr>
            <b/>
            <sz val="9"/>
            <color indexed="81"/>
            <rFont val="Tahoma"/>
            <family val="2"/>
          </rPr>
          <t>joana.vaz:</t>
        </r>
        <r>
          <rPr>
            <sz val="9"/>
            <color indexed="81"/>
            <rFont val="Tahoma"/>
            <family val="2"/>
          </rPr>
          <t xml:space="preserve">
384 trained in psychosocial support programme (PSP)</t>
        </r>
      </text>
    </comment>
    <comment ref="AB5" authorId="0">
      <text>
        <r>
          <rPr>
            <b/>
            <sz val="9"/>
            <color indexed="81"/>
            <rFont val="Tahoma"/>
            <family val="2"/>
          </rPr>
          <t>joana.vaz:</t>
        </r>
        <r>
          <rPr>
            <sz val="9"/>
            <color indexed="81"/>
            <rFont val="Tahoma"/>
            <family val="2"/>
          </rPr>
          <t xml:space="preserve">
525 + 352 + 84</t>
        </r>
      </text>
    </comment>
    <comment ref="O6" authorId="1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with the revised budget</t>
        </r>
      </text>
    </comment>
    <comment ref="Y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ARCHI 2010</t>
        </r>
      </text>
    </comment>
    <comment ref="AB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educators on PLWHA</t>
        </r>
      </text>
    </comment>
    <comment ref="P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50 000 objective, 5 tube wells *400= 2000
</t>
        </r>
      </text>
    </comment>
    <comment ref="Q8" authorId="1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37*20
</t>
        </r>
      </text>
    </comment>
    <comment ref="R8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50 000 objective, 5 tube wells *400= 2000
</t>
        </r>
      </text>
    </comment>
    <comment ref="P9" authorId="1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50% of 30 000</t>
        </r>
      </text>
    </comment>
    <comment ref="Q9" authorId="1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1 277 families benefited from new built and emptied latrines</t>
        </r>
      </text>
    </comment>
    <comment ref="T9" authorId="2">
      <text>
        <r>
          <rPr>
            <sz val="11"/>
            <rFont val="Calibri"/>
            <family val="2"/>
          </rPr>
          <t>Joana Vaz:</t>
        </r>
        <r>
          <rPr>
            <sz val="9"/>
            <color indexed="81"/>
            <rFont val="Arial"/>
            <family val="2"/>
          </rPr>
          <t xml:space="preserve">
23 PHAST</t>
        </r>
      </text>
    </comment>
    <comment ref="Y9" authorId="1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NEHK- new emergency health kit</t>
        </r>
      </text>
    </comment>
    <comment ref="AA9" authorId="1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10 202 * 5</t>
        </r>
      </text>
    </comment>
    <comment ref="AS9" authorId="1">
      <text>
        <r>
          <rPr>
            <b/>
            <sz val="8"/>
            <color indexed="81"/>
            <rFont val="Tahoma"/>
            <family val="2"/>
          </rPr>
          <t>assisteru:</t>
        </r>
        <r>
          <rPr>
            <sz val="8"/>
            <color indexed="81"/>
            <rFont val="Tahoma"/>
            <family val="2"/>
          </rPr>
          <t xml:space="preserve">
NEHK- new emergency health kit</t>
        </r>
      </text>
    </comment>
    <comment ref="T1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the same trained in the health section (for malaria prevention)</t>
        </r>
      </text>
    </comment>
    <comment ref="U1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written material </t>
        </r>
      </text>
    </comment>
    <comment ref="AA1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distribution of written material</t>
        </r>
      </text>
    </comment>
    <comment ref="AC1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CBFA together with disaster preparedness training </t>
        </r>
      </text>
    </comment>
    <comment ref="AA1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Adivisory booklets distributed...</t>
        </r>
      </text>
    </comment>
    <comment ref="J1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actually 50000 reached</t>
        </r>
      </text>
    </comment>
    <comment ref="P1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 hand pumps installed plus 250000 water purification tablets distributed</t>
        </r>
      </text>
    </comment>
    <comment ref="R1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30 hand pumps installed plus 250000 water purification tablets distributed</t>
        </r>
      </text>
    </comment>
    <comment ref="P1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appeal component handed over to another agency- GTZ
</t>
        </r>
      </text>
    </comment>
    <comment ref="Q16" authorId="0">
      <text>
        <r>
          <rPr>
            <b/>
            <sz val="8"/>
            <color indexed="81"/>
            <rFont val="Tahoma"/>
            <family val="2"/>
          </rPr>
          <t xml:space="preserve">joana.vaz
</t>
        </r>
        <r>
          <rPr>
            <sz val="10"/>
            <color indexed="81"/>
            <rFont val="Tahoma"/>
            <family val="2"/>
          </rPr>
          <t>30 latrines- planned to be built when funding is available</t>
        </r>
      </text>
    </comment>
    <comment ref="S1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under objectives</t>
        </r>
      </text>
    </comment>
    <comment ref="U1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planned</t>
        </r>
      </text>
    </comment>
    <comment ref="AA1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objectives</t>
        </r>
      </text>
    </comment>
    <comment ref="AC16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in the objectives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cleaning activities, refurbishement of latrines</t>
        </r>
      </text>
    </comment>
    <comment ref="P1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549000 water purification tablets distributed</t>
        </r>
      </text>
    </comment>
    <comment ref="AA1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topics addressed during the health education campaign: breastfeeding, promotion of condom use, HIV/AIDS clients home-based care, prevention of mother-to-child
transmission (PMTCT) and highly-active anti-retroviral treatment (HAART)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topics addressed during the health education campaign: breastfeeding, promotion of condom use, HIV/AIDS clients home-based care, prevention of mother-to-child
transmission (PMTCT) and highly-active anti-retroviral treatment (HAART)</t>
        </r>
      </text>
    </comment>
    <comment ref="P20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2200 L of desinfectant distributed</t>
        </r>
      </text>
    </comment>
    <comment ref="P2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42 water tanks were installed</t>
        </r>
      </text>
    </comment>
    <comment ref="R21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42 water tanks were installed</t>
        </r>
      </text>
    </comment>
    <comment ref="P2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liquid was distributed and wells were cleaned
</t>
        </r>
      </text>
    </comment>
    <comment ref="R2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water purification liquid was distributed and wells were cleaned
</t>
        </r>
      </text>
    </comment>
    <comment ref="AC22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plus the community-based disaster preparedness (CBDP) was implemented
</t>
        </r>
      </text>
    </comment>
    <comment ref="Q23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vector management prgramme: spraying insecticide 
</t>
        </r>
      </text>
    </comment>
    <comment ref="J2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31360 families reached by colombian RC society operations</t>
        </r>
      </text>
    </comment>
    <comment ref="Y2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health check-up
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some figures might be underestimated</t>
        </r>
      </text>
    </comment>
    <comment ref="M29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value in the master list</t>
        </r>
      </text>
    </comment>
    <comment ref="L34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it is written 30.000 CHF in the information bulletin</t>
        </r>
      </text>
    </comment>
    <comment ref="J3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under objectives</t>
        </r>
      </text>
    </comment>
    <comment ref="M35" authorId="0">
      <text>
        <r>
          <rPr>
            <b/>
            <sz val="8"/>
            <color indexed="81"/>
            <rFont val="Tahoma"/>
            <family val="2"/>
          </rPr>
          <t>joana.vaz:</t>
        </r>
        <r>
          <rPr>
            <sz val="8"/>
            <color indexed="81"/>
            <rFont val="Tahoma"/>
            <family val="2"/>
          </rPr>
          <t xml:space="preserve">
value in the master list</t>
        </r>
      </text>
    </comment>
    <comment ref="K39" authorId="3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budget found</t>
        </r>
      </text>
    </comment>
    <comment ref="M39" authorId="3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Taken from the master list</t>
        </r>
      </text>
    </comment>
    <comment ref="J46" authorId="3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4000 families</t>
        </r>
      </text>
    </comment>
    <comment ref="B58" authorId="3">
      <text>
        <r>
          <rPr>
            <b/>
            <sz val="8"/>
            <color indexed="81"/>
            <rFont val="Tahoma"/>
            <family val="2"/>
          </rPr>
          <t>mitiku.raga:</t>
        </r>
        <r>
          <rPr>
            <sz val="8"/>
            <color indexed="81"/>
            <rFont val="Tahoma"/>
            <family val="2"/>
          </rPr>
          <t xml:space="preserve">
No health data</t>
        </r>
      </text>
    </comment>
  </commentList>
</comments>
</file>

<file path=xl/sharedStrings.xml><?xml version="1.0" encoding="utf-8"?>
<sst xmlns="http://schemas.openxmlformats.org/spreadsheetml/2006/main" count="23189" uniqueCount="2517">
  <si>
    <t>Notes</t>
  </si>
  <si>
    <t>Chad</t>
  </si>
  <si>
    <t>yes</t>
  </si>
  <si>
    <t>Ref</t>
  </si>
  <si>
    <t>Georgia</t>
  </si>
  <si>
    <t>Floods</t>
  </si>
  <si>
    <t>Bangladesh</t>
  </si>
  <si>
    <t>Monsoon Floods</t>
  </si>
  <si>
    <t>Philippines</t>
  </si>
  <si>
    <t>Tropical Storm Washi</t>
  </si>
  <si>
    <t>Samoa</t>
  </si>
  <si>
    <t>Emergency Appeal No. MDRKE016</t>
  </si>
  <si>
    <t>Kenya</t>
  </si>
  <si>
    <t xml:space="preserve">Total Targeted Beneficiaries </t>
  </si>
  <si>
    <t xml:space="preserve">Bolivia </t>
  </si>
  <si>
    <t>Panama</t>
  </si>
  <si>
    <t>Floods &amp; landslides</t>
  </si>
  <si>
    <t>Emergency Appeal No. MDRPA007</t>
  </si>
  <si>
    <t>Haiti</t>
  </si>
  <si>
    <t>Dominican Republic</t>
  </si>
  <si>
    <t xml:space="preserve">Colombia </t>
  </si>
  <si>
    <t>Emergency Appeal No. MDRCO008</t>
  </si>
  <si>
    <t>Caribbean</t>
  </si>
  <si>
    <t xml:space="preserve">Hurricane Tomas </t>
  </si>
  <si>
    <t>Earthquake</t>
  </si>
  <si>
    <t>Serbia</t>
  </si>
  <si>
    <t>Sudan</t>
  </si>
  <si>
    <t>Gambia</t>
  </si>
  <si>
    <t>Pakistan</t>
  </si>
  <si>
    <t xml:space="preserve">Typhoon Megi </t>
  </si>
  <si>
    <t>Emergency Appeal No.MDRSD009</t>
  </si>
  <si>
    <t xml:space="preserve">Community Based Health Promotion </t>
  </si>
  <si>
    <t>Clinical Treatments</t>
  </si>
  <si>
    <t>Distribution of Female Condoms</t>
  </si>
  <si>
    <t>Distribution of Male  Condoms</t>
  </si>
  <si>
    <t>Emergency Response Unit</t>
  </si>
  <si>
    <t xml:space="preserve">Basic Health Care </t>
  </si>
  <si>
    <t xml:space="preserve">Referral Hospital  </t>
  </si>
  <si>
    <t xml:space="preserve">Total Beneficiaries </t>
  </si>
  <si>
    <t>Mass Sanitation/ Module 20</t>
  </si>
  <si>
    <t>Water &amp; Sanitation /Module 40</t>
  </si>
  <si>
    <t>Dates of Operation</t>
  </si>
  <si>
    <t>Type of Disaster</t>
  </si>
  <si>
    <t>Water</t>
  </si>
  <si>
    <t>Sanitation</t>
  </si>
  <si>
    <t>Total Budget (CHF)</t>
  </si>
  <si>
    <t>Country</t>
  </si>
  <si>
    <t>Medical &amp; First Aid Budget (CHF)</t>
  </si>
  <si>
    <t>Water, Sanitation &amp; Hygene Budget (CHF)</t>
  </si>
  <si>
    <t>Water, Sanitation &amp; Hygene Expenditures (CHF)</t>
  </si>
  <si>
    <t>Total WatSan/HP</t>
  </si>
  <si>
    <t>Final Report Link</t>
  </si>
  <si>
    <t xml:space="preserve"> http://www.ifrc.org/docs/appeals/10/MDR49006fr.pdf</t>
  </si>
  <si>
    <t xml:space="preserve"> http://www.ifrc.org/docs/appeals/10/MDRRS004EAfr.pdf</t>
  </si>
  <si>
    <t>http://www.ifrc.org/docs/appeals/10/MDRGM006dfr.pdf</t>
  </si>
  <si>
    <t>http://www.ifrc.org/docs/appeals/10/MDRPH006fr.pdf</t>
  </si>
  <si>
    <t xml:space="preserve"> http://www.ifrc.org/docs/appeals/10/MDRSD009fr.pdf</t>
  </si>
  <si>
    <t xml:space="preserve">Module 15/ Specialized Water </t>
  </si>
  <si>
    <t>Emergency Appeal No. MDRKE014</t>
  </si>
  <si>
    <t xml:space="preserve">Emergency Appeal No. MDRBO006 </t>
  </si>
  <si>
    <t>Emergency Appeal No. MDR49007</t>
  </si>
  <si>
    <t xml:space="preserve">Emergency Appeal No. MDR49006 </t>
  </si>
  <si>
    <t>Emergency Appeal No.MDRRS004EA</t>
  </si>
  <si>
    <t>Emergency Appeal No. MDRGM006</t>
  </si>
  <si>
    <t>Emergency Appeal No.MDRSD010</t>
  </si>
  <si>
    <t>Emergency Appeal No. MDRPH006</t>
  </si>
  <si>
    <t>-</t>
  </si>
  <si>
    <t>Total Expenditure (CHF)</t>
  </si>
  <si>
    <t>http://www.ifrc.org/docs/appeals/annual11/MAABD001PU2.pdf</t>
  </si>
  <si>
    <t>http://www.ifrc.org/docs/appeals/11/MDRPH00803.pdf</t>
  </si>
  <si>
    <t>http://reliefweb.int/sites/reliefweb.int/files/resources/Full_Report_1578.pdf</t>
  </si>
  <si>
    <t>http://reliefweb.int/sites/reliefweb.int/files/resources/Full_Report_1987.pdf</t>
  </si>
  <si>
    <t>http://www.ifrc.org/docs/appeals/10/MDRCO008eu3.pdf</t>
  </si>
  <si>
    <t>http://img.static.reliefweb.int/sites/reliefweb.int/files/resources/5F4E289E5E74A0B9C125785600429A48-Full_Report.pdf</t>
  </si>
  <si>
    <t>Medical &amp; First Aid Expenditures (CHF)</t>
  </si>
  <si>
    <t>N/A</t>
  </si>
  <si>
    <t>Psychosocial Programs' Beneficiaries</t>
  </si>
  <si>
    <t>Health Promotion/Prevention Beneficiaries</t>
  </si>
  <si>
    <t xml:space="preserve">Population Movement </t>
  </si>
  <si>
    <t>Drought</t>
  </si>
  <si>
    <t xml:space="preserve">Preparedness for Civil Unrest </t>
  </si>
  <si>
    <t>No. of Distributed Mosquito Nets</t>
  </si>
  <si>
    <t xml:space="preserve"> No. of Volunteers </t>
  </si>
  <si>
    <t>Emergency Appeal No. MDRPH008</t>
  </si>
  <si>
    <t xml:space="preserve">West Sumatra earthquake </t>
  </si>
  <si>
    <t>Indonesia</t>
  </si>
  <si>
    <t>Maternal Health</t>
  </si>
  <si>
    <t>Myanmar</t>
  </si>
  <si>
    <t xml:space="preserve">Cyclone Nargis </t>
  </si>
  <si>
    <t>http://www.ifrc.org/docs/appeals/08/MDRMM002fr.pdf</t>
  </si>
  <si>
    <t>http://www.ifrc.org/docs/appeals/09/MDRID004fr.pdf</t>
  </si>
  <si>
    <t xml:space="preserve">Total  Beneficiaries </t>
  </si>
  <si>
    <t xml:space="preserve">Total Trained Volunteers </t>
  </si>
  <si>
    <t>PHAST: Yes/No</t>
  </si>
  <si>
    <t>Yes</t>
  </si>
  <si>
    <t>No</t>
  </si>
  <si>
    <t xml:space="preserve">Food Insecurity </t>
  </si>
  <si>
    <t>Niger</t>
  </si>
  <si>
    <t xml:space="preserve">Burkina Faso </t>
  </si>
  <si>
    <t xml:space="preserve">Kazakhstan </t>
  </si>
  <si>
    <t>Earthquake and Tsunami</t>
  </si>
  <si>
    <t>http://www.ifrc.org/docs/appeals/09/MDRWS001_FNFINAL.pdf</t>
  </si>
  <si>
    <t>http://www.ifrc.org/docs/appeals/10/MDRBF010fr.pdf</t>
  </si>
  <si>
    <t>http://www.ifrc.org/docs/appeals/10/MDRNE005fr.pdf</t>
  </si>
  <si>
    <t xml:space="preserve">Java eruption, Sumatra earthquake and tsunami </t>
  </si>
  <si>
    <t>http://www.ifrc.org/docs/appeals/10/MDRID006fr.pdf</t>
  </si>
  <si>
    <t>http://www.ifrc.org/docs/appeals/09/MDRKE009fr.pdf</t>
  </si>
  <si>
    <t>End Date</t>
  </si>
  <si>
    <t>Start Date</t>
  </si>
  <si>
    <t xml:space="preserve">Community Based Health First Aid </t>
  </si>
  <si>
    <t xml:space="preserve">Epidemic Control for Volunteers </t>
  </si>
  <si>
    <t>Total Income (CHF)</t>
  </si>
  <si>
    <t>Regional Disaster Response Team(RDRT)/ Regional Intervention  Team (RIT)</t>
  </si>
  <si>
    <t>WatSan</t>
  </si>
  <si>
    <t xml:space="preserve">Emergency Health </t>
  </si>
  <si>
    <t>Appeal Coverage (%)</t>
  </si>
  <si>
    <t>Food Insecurity</t>
  </si>
  <si>
    <t>http://www.ifrc.org/docs/appeals/05/05EA015fr.pdf</t>
  </si>
  <si>
    <t>Mauritania</t>
  </si>
  <si>
    <t>Burkina Faso</t>
  </si>
  <si>
    <t>Mali</t>
  </si>
  <si>
    <t>China</t>
  </si>
  <si>
    <t>Flood</t>
  </si>
  <si>
    <t>http://www.ifrc.org/docs/appeals/06/MDRCN001FR.pdf</t>
  </si>
  <si>
    <t>Palestine</t>
  </si>
  <si>
    <t>http://www.ifrc.org/docs/appeals/07/MDRPS002final.pdf</t>
  </si>
  <si>
    <t>Emergency Appeal No. 05EA015</t>
  </si>
  <si>
    <t>Refugees in Nahr Al-Bared Camp (Lebanon)</t>
  </si>
  <si>
    <t>Appeal No. 05EA026</t>
  </si>
  <si>
    <t>Iraq</t>
  </si>
  <si>
    <t>Humanitarian Emergency</t>
  </si>
  <si>
    <t>Appeal No. MDRCN001</t>
  </si>
  <si>
    <t>Emergency Appeal 05EA023</t>
  </si>
  <si>
    <t>http://www.ifrc.org/docs/appeals/05/05EA026final.pdf</t>
  </si>
  <si>
    <t>missing data</t>
  </si>
  <si>
    <t>yes  (type not specified)</t>
  </si>
  <si>
    <t>yes (type not specified)</t>
  </si>
  <si>
    <t>http://www.ifrc.org/docs/appeals/05/05EA023fr.pdf</t>
  </si>
  <si>
    <t>Swaziland</t>
  </si>
  <si>
    <t>Lesotho</t>
  </si>
  <si>
    <t>Malawi</t>
  </si>
  <si>
    <t xml:space="preserve">Zambia </t>
  </si>
  <si>
    <t>Zimbabwe</t>
  </si>
  <si>
    <t xml:space="preserve">Mozambique </t>
  </si>
  <si>
    <t xml:space="preserve">Namibia </t>
  </si>
  <si>
    <t>Nigeria</t>
  </si>
  <si>
    <t>DREF Bulletin no. MDRNG001</t>
  </si>
  <si>
    <t>Avian Influenza</t>
  </si>
  <si>
    <t>Uganda</t>
  </si>
  <si>
    <t>http://www.ifrc.org/docs/appeals/06/MDRUG002fr.pdf</t>
  </si>
  <si>
    <t>http://www.ifrc.org/docs/appeals/06/MDRNG001fr.pdf</t>
  </si>
  <si>
    <t>DREF Bulletin No. MDRUG002</t>
  </si>
  <si>
    <t>Emergency Appeal MDRRW001</t>
  </si>
  <si>
    <t>Rwanda</t>
  </si>
  <si>
    <t>http://www.ifrc.org/docs/appeals/06/MDRRW001fr.pdf</t>
  </si>
  <si>
    <t>Appeal No. MDRHT002</t>
  </si>
  <si>
    <t>http://www.ifrc.org/docs/appeals/06/MDRHT002fr.pdf</t>
  </si>
  <si>
    <t>Emergency Appeal No. MDRKE001</t>
  </si>
  <si>
    <t>http://www.ifrc.org/docs/appeals/06/MDRKE001ifr.pdf</t>
  </si>
  <si>
    <t>http://www.ifrc.org/docs/appeals/07/MDRTN001final.pdf</t>
  </si>
  <si>
    <t>Tunisia</t>
  </si>
  <si>
    <t>Bahamas</t>
  </si>
  <si>
    <t>Mexico</t>
  </si>
  <si>
    <t>Appeal No. M05EA024</t>
  </si>
  <si>
    <t>Hurricane Wilma</t>
  </si>
  <si>
    <t>http://www.ifrc.org/docs/appeals/05/05EA024Final.pdf</t>
  </si>
  <si>
    <t>DREF Bulletin No. MDRGN001</t>
  </si>
  <si>
    <t>Guinea</t>
  </si>
  <si>
    <t>Cholera</t>
  </si>
  <si>
    <t>http://www.ifrc.org/docs/appeals/06/MDRGN001fr.pdf</t>
  </si>
  <si>
    <t>Republic of Congo</t>
  </si>
  <si>
    <t>Tanzania</t>
  </si>
  <si>
    <t xml:space="preserve">Floods and landslides </t>
  </si>
  <si>
    <t xml:space="preserve">Heavy rains in Kigoma </t>
  </si>
  <si>
    <t>DREF Bulletin no. MDRZM003</t>
  </si>
  <si>
    <t>DREF Bulletin No. MDRCG001</t>
  </si>
  <si>
    <t>http://www.ifrc.org/docs/appeals/06/MDRCG00101.pdf</t>
  </si>
  <si>
    <t>DREF Bullentin No. MDRTZ004</t>
  </si>
  <si>
    <t>http://www.ifrc.org/docs/appeals/06/MDRTZ004fr.pdf</t>
  </si>
  <si>
    <t>Appeal No. 05EA021</t>
  </si>
  <si>
    <t>http://www.ifrc.org/docs/appeals/05/05EA021Final.pdf</t>
  </si>
  <si>
    <t>Floods from Hurricane Stan</t>
  </si>
  <si>
    <t>Central America, Mexico and Haiti</t>
  </si>
  <si>
    <t>DREF Bulletin no. MDRMY001</t>
  </si>
  <si>
    <t>Malasya</t>
  </si>
  <si>
    <t>DREF Bulletin no. MDRTN001</t>
  </si>
  <si>
    <t>http://www.ifrc.org/docs/appeals/06/MDRMY001FR.pdf</t>
  </si>
  <si>
    <t>1 (not specified)</t>
  </si>
  <si>
    <t>23 (not specified)</t>
  </si>
  <si>
    <t xml:space="preserve">Romania </t>
  </si>
  <si>
    <t>http://www.ifrc.org/docs/appeals/06/MDRRO001final.pdf</t>
  </si>
  <si>
    <t xml:space="preserve">Appeal No MDRRO001 </t>
  </si>
  <si>
    <t>http://www.ifrc.org/docs/appeals/06/MDRZM003fr.pdf</t>
  </si>
  <si>
    <t>DREF Bulletin No. MDRCI001</t>
  </si>
  <si>
    <t xml:space="preserve">Health Hazard </t>
  </si>
  <si>
    <t>DREF Bulletin no. MDRTJ002</t>
  </si>
  <si>
    <t>Tajikistan</t>
  </si>
  <si>
    <t>Floods and mudflows</t>
  </si>
  <si>
    <t>http://www.ifrc.org/docs/appeals/07/MDRTJ002final.pdf</t>
  </si>
  <si>
    <t>http://www.ifrc.org/docs/appeals/06/MDRCI001fr.pdf</t>
  </si>
  <si>
    <t>Appeal No. MDRTP001</t>
  </si>
  <si>
    <t>Timor-Leste</t>
  </si>
  <si>
    <t>http://www.ifrc.org/docs/appeals/06/MDRTP001FR.pdf</t>
  </si>
  <si>
    <t>Storms and floods</t>
  </si>
  <si>
    <t>yes not specified</t>
  </si>
  <si>
    <t>2 (not specified)</t>
  </si>
  <si>
    <t xml:space="preserve">Missing data </t>
  </si>
  <si>
    <t>Sudanese refugees</t>
  </si>
  <si>
    <t xml:space="preserve">Chad </t>
  </si>
  <si>
    <t>Ecuador</t>
  </si>
  <si>
    <t>Revised Appeal 23/2003 No M03EA023</t>
  </si>
  <si>
    <t>Seychelles</t>
  </si>
  <si>
    <t xml:space="preserve">Mali </t>
  </si>
  <si>
    <t>Yemen</t>
  </si>
  <si>
    <t>http://www.ifrc.org/docs/appeals/03/2303fr.pdf</t>
  </si>
  <si>
    <t>Appeal No. MDREC002</t>
  </si>
  <si>
    <t>http://www.ifrc.org/docs/appeals/06/MDREC002Final.pdf</t>
  </si>
  <si>
    <t>Appeal No. M05EA017</t>
  </si>
  <si>
    <t>http://www.ifrc.org/docs/appeals/05/M05EA017fr.pdf</t>
  </si>
  <si>
    <t>DREF Bulletin no. MDRSC001</t>
  </si>
  <si>
    <t>Chikungunya Epidemic</t>
  </si>
  <si>
    <t>http://www.ifrc.org/docs/appeals/06/MDRSC001fr.pdf</t>
  </si>
  <si>
    <t>DREF Bulletin No. MDRML001</t>
  </si>
  <si>
    <t>http://www.ifrc.org/docs/appeals/06/MDRML001fr.pdf</t>
  </si>
  <si>
    <t>http://www.ifrc.org/docs/appeals/06/MDRPS001Final.pdf</t>
  </si>
  <si>
    <t>Appeal No. MDRPS001</t>
  </si>
  <si>
    <t xml:space="preserve">Meningitis </t>
  </si>
  <si>
    <t>Call for support</t>
  </si>
  <si>
    <t>Yellow fever</t>
  </si>
  <si>
    <t>DREF Bulletin no. 05ME068</t>
  </si>
  <si>
    <t>DREF Bulletin no. MDRPS002</t>
  </si>
  <si>
    <t>http://www.ifrc.org/docs/appeals/05/05ME068fr.pdf</t>
  </si>
  <si>
    <t>DREF Bulletin No. MDRTZ002</t>
  </si>
  <si>
    <t>no</t>
  </si>
  <si>
    <t>http://www.ifrc.org/docs/appeals/06/MDRTZ002fr.pdf</t>
  </si>
  <si>
    <t>DREF Bulletin no. MDRTZ003</t>
  </si>
  <si>
    <t>http://www.ifrc.org/docs/appeals/06/MDRTZ003fr.pdf</t>
  </si>
  <si>
    <t>Malaria Outbreak in Kagera</t>
  </si>
  <si>
    <t>Volcanic Eruption</t>
  </si>
  <si>
    <t xml:space="preserve">DREF Bulletin no. MDRYE001 </t>
  </si>
  <si>
    <t>http://www.ifrc.org/docs/appeals/06/MDRYE001final.pdf</t>
  </si>
  <si>
    <t xml:space="preserve">DREF Bulletin no. MDRUG001 </t>
  </si>
  <si>
    <t>http://www.ifrc.org/docs/appeals/06/MDRUG001fr.pdf</t>
  </si>
  <si>
    <t>Cholera Outbreak</t>
  </si>
  <si>
    <t>Cameroon</t>
  </si>
  <si>
    <t>Cholera in Bafoussam</t>
  </si>
  <si>
    <t>http://www.ifrc.org/docs/appeals/06/MDRCM002fr.pdf</t>
  </si>
  <si>
    <t>DREF Bulletin no. 05ME054</t>
  </si>
  <si>
    <t>Senegal</t>
  </si>
  <si>
    <t>http://www.ifrc.org/docs/appeals/05/05ME054fr.pdf</t>
  </si>
  <si>
    <t>DREF Bulletin no. MDRUA001</t>
  </si>
  <si>
    <t>Ukraine</t>
  </si>
  <si>
    <t>http://www.ifrc.org/docs/appeals/06/MDRUA001final.pdf</t>
  </si>
  <si>
    <t>DREF Bulletin no. 05ME020</t>
  </si>
  <si>
    <t>http://www.ifrc.org/docs/appeals/05/05ME020fr.pdf</t>
  </si>
  <si>
    <t>DREF Bulletin no. 05ME032</t>
  </si>
  <si>
    <t>http://www.ifrc.org/docs/appeals/05/05ME032fr.pdf</t>
  </si>
  <si>
    <t>DREF Bulletin no. 05ME015</t>
  </si>
  <si>
    <t>http://www.ifrc.org/docs/appeals/05/05ME015fr.pdf</t>
  </si>
  <si>
    <t>Vietnam</t>
  </si>
  <si>
    <t>http://www.ifrc.org/docs/appeals/07/05EA0191FRN.pdf</t>
  </si>
  <si>
    <t>Appeal No. 05EA019</t>
  </si>
  <si>
    <t>Typhoon Damrey</t>
  </si>
  <si>
    <t>Flooding in Zanzibar</t>
  </si>
  <si>
    <t>DREF Bulletin No. 05ME025</t>
  </si>
  <si>
    <t>http://www.ifrc.org/docs/appeals/05/05ME025fr.pdf</t>
  </si>
  <si>
    <t>n/A</t>
  </si>
  <si>
    <t xml:space="preserve">missing data </t>
  </si>
  <si>
    <t>http://www.ifrc.org/docs/appeals/05/05ME051fr.pdf</t>
  </si>
  <si>
    <t>DREF Bulletin No. 05ME051</t>
  </si>
  <si>
    <t>Democratic Republic of Congo</t>
  </si>
  <si>
    <t>Cholera in south Kivu</t>
  </si>
  <si>
    <t>http://www.ifrc.org/docs/appeals/05/05EA004fr.pdf</t>
  </si>
  <si>
    <t>Suriname</t>
  </si>
  <si>
    <t>http://www.ifrc.org/docs/appeals/06/MDRSR001f.pdf</t>
  </si>
  <si>
    <t>Appeal No. MDRSR001</t>
  </si>
  <si>
    <t xml:space="preserve">Iran </t>
  </si>
  <si>
    <t>DREF Bulletin No. 05ME075</t>
  </si>
  <si>
    <t>http://www.ifrc.org/docs/appeals/05/05ME075fr.pdf</t>
  </si>
  <si>
    <t>Namibia</t>
  </si>
  <si>
    <t>Oil pipeline disaster in Abule Egba</t>
  </si>
  <si>
    <t>Appeal  No. 05EA004</t>
  </si>
  <si>
    <t>http://www.ifrc.org/docs/appeals/06/MDRZM001fr.pdf</t>
  </si>
  <si>
    <t>DREF Bulletin No. MDRZM001</t>
  </si>
  <si>
    <t xml:space="preserve">Cholera </t>
  </si>
  <si>
    <t>Appeal No. 05EA007</t>
  </si>
  <si>
    <t>Afghan refugees in Iran: Water shortage</t>
  </si>
  <si>
    <t>http://www.ifrc.org/docs/appeals/05/05EA007final.pdf</t>
  </si>
  <si>
    <t>DREF Bulletin no. MDRTJ001</t>
  </si>
  <si>
    <t>http://www.ifrc.org/docs/appeals/06/MDRTJ001final.pdf</t>
  </si>
  <si>
    <t xml:space="preserve">no </t>
  </si>
  <si>
    <t>Ghana</t>
  </si>
  <si>
    <t>DREF Bulletin no. 05ME069</t>
  </si>
  <si>
    <t>DREF Bulletin No. MDRCM002</t>
  </si>
  <si>
    <t>http://www.ifrc.org/docs/appeals/06/MDRNA001fr.pdf</t>
  </si>
  <si>
    <t>DREF Bulletin No. MDRNA001</t>
  </si>
  <si>
    <t xml:space="preserve">Mariental Floods </t>
  </si>
  <si>
    <t>http://www.ifrc.org/docs/appeals/05/05ME069fr.pdf</t>
  </si>
  <si>
    <t>DREF Bulletin No. 05ME004</t>
  </si>
  <si>
    <t>http://www.ifrc.org/docs/appeals/05/05ME004fr.pdf</t>
  </si>
  <si>
    <t xml:space="preserve">Storms </t>
  </si>
  <si>
    <t>DREF Bulletin No. MDRMW001</t>
  </si>
  <si>
    <t>http://www.ifrc.org/docs/appeals/06/MDRMW001fr.pdf</t>
  </si>
  <si>
    <t>http://www.ifrc.org/docs/appeals/05/05ME067fr.pdf</t>
  </si>
  <si>
    <t>DREF Bulletin No. 05ME067</t>
  </si>
  <si>
    <t>http://www.ifrc.org/docs/appeals/06/MDRBF001fr.pdf</t>
  </si>
  <si>
    <t>DREF Bulletin No. MDRBF001</t>
  </si>
  <si>
    <t>http://www.ifrc.org/docs/appeals/05/05ME013fr.pdf</t>
  </si>
  <si>
    <t>DREF Bulletin No. 05ME013</t>
  </si>
  <si>
    <t>Earthquake preparedness</t>
  </si>
  <si>
    <t xml:space="preserve">Cholera in the Uvira and Fizi Territories </t>
  </si>
  <si>
    <t>DREF Bulletin No. MDRZR001</t>
  </si>
  <si>
    <t>http://www.ifrc.org/docs/appeals/06/MDRZR001fr.pdf</t>
  </si>
  <si>
    <t>http://www.ifrc.org/docs/appeals/05/05EA016fr.pdf</t>
  </si>
  <si>
    <t>Appeal No. 05EA016</t>
  </si>
  <si>
    <t>Koryakia Earthquake</t>
  </si>
  <si>
    <t>http://www.ifrc.org/docs/appeals/06/MDRRU001Final.pdf</t>
  </si>
  <si>
    <t>Democratic People's Republic of Korea</t>
  </si>
  <si>
    <t>http://www.ifrc.org/docs/appeals/04/1204FR.pdf</t>
  </si>
  <si>
    <t xml:space="preserve">Train explosion in Ryongchon County </t>
  </si>
  <si>
    <t>100/day</t>
  </si>
  <si>
    <t>Afghanistan</t>
  </si>
  <si>
    <t>Appeal No. 05EA005</t>
  </si>
  <si>
    <t>http://www.ifrc.org/docs/appeals/06/MDRTD001fr.pdf</t>
  </si>
  <si>
    <t>DREF Bulletin No. MDRTD001</t>
  </si>
  <si>
    <t>DREF Bulletin No. MDRCM001</t>
  </si>
  <si>
    <t xml:space="preserve">Cameroon </t>
  </si>
  <si>
    <t>Population movement in Central africa</t>
  </si>
  <si>
    <t>http://www.ifrc.org/docs/appeals/06/MDRCM001fr.pdf</t>
  </si>
  <si>
    <t>http://www.ifrc.org/docs/appeals/03/0803Final.pdf</t>
  </si>
  <si>
    <t>Humanitarian crisis- post war rehabilitation</t>
  </si>
  <si>
    <t>Explosion in Juba</t>
  </si>
  <si>
    <t>Angola</t>
  </si>
  <si>
    <t>Morocco</t>
  </si>
  <si>
    <t>DREF Bulletin No. 05ME014</t>
  </si>
  <si>
    <t>http://www.ifrc.org/docs/appeals/05/05ME014fr.pdf</t>
  </si>
  <si>
    <t>Appeal No. 05EA018</t>
  </si>
  <si>
    <t>http://www.ifrc.org/docs/appeals/05/05EA018fr.pdf</t>
  </si>
  <si>
    <t xml:space="preserve">Floods </t>
  </si>
  <si>
    <t>Missing data</t>
  </si>
  <si>
    <t>http://www.ifrc.org/docs/appeals/05/05EA003fr.pdf</t>
  </si>
  <si>
    <t>Appeal No. 05EA003</t>
  </si>
  <si>
    <t>Severe winter</t>
  </si>
  <si>
    <t>yes logistics</t>
  </si>
  <si>
    <t>DREF Bulletin No. 05ME045</t>
  </si>
  <si>
    <t>Marsabit unrest</t>
  </si>
  <si>
    <t>http://www.ifrc.org/docs/appeals/05/05ME045fr.pdf</t>
  </si>
  <si>
    <t>http://www.ifrc.org/docs/appeals/06/MDRZR002fr.pdf</t>
  </si>
  <si>
    <t>DREF Bulletin No. MDRZR002</t>
  </si>
  <si>
    <t>Inkisi floods</t>
  </si>
  <si>
    <t>DREF Bulletin no. 05ME021</t>
  </si>
  <si>
    <t>http://www.ifrc.org/docs/appeals/05/05ME021fr.pdf</t>
  </si>
  <si>
    <t>Marburg Haemorrhagic Fever Outbreak</t>
  </si>
  <si>
    <t>Central African Republic</t>
  </si>
  <si>
    <t>Bosnia and Herzegovina</t>
  </si>
  <si>
    <t>Romania</t>
  </si>
  <si>
    <t>Belarus, Moldova, Russia and Ukraine</t>
  </si>
  <si>
    <t>Severe Weather</t>
  </si>
  <si>
    <t>http://www.ifrc.org/docs/appeals/04/0604final.pdf</t>
  </si>
  <si>
    <t>DREF Bulletin No. 05ME048</t>
  </si>
  <si>
    <t>http://www.ifrc.org/docs/appeals/05/05ME048fr.pdf</t>
  </si>
  <si>
    <t>Assistenc e to the population affected by the "clean up" exercise</t>
  </si>
  <si>
    <t>Algeria</t>
  </si>
  <si>
    <t>http://www.ifrc.org/docs/appeals/04/1804fr.pdf</t>
  </si>
  <si>
    <t>Appeal No. M04EA018</t>
  </si>
  <si>
    <t>Appeal No. M04EA006</t>
  </si>
  <si>
    <t>Appeal No. M03EA008</t>
  </si>
  <si>
    <t>DREF Bulletin no. 05ME074</t>
  </si>
  <si>
    <t>http://www.ifrc.org/docs/appeals/05/05ME074final.pdf</t>
  </si>
  <si>
    <t>Appeal No. 05EA009</t>
  </si>
  <si>
    <t>http://www.ifrc.org/docs/appeals/05/05EA009final.pdf</t>
  </si>
  <si>
    <t xml:space="preserve">yes </t>
  </si>
  <si>
    <t>Bulgaria</t>
  </si>
  <si>
    <t>India</t>
  </si>
  <si>
    <t>Lebanon</t>
  </si>
  <si>
    <t>Cuba</t>
  </si>
  <si>
    <t>Floods/Landslides</t>
  </si>
  <si>
    <t>Serbia and Montenegro</t>
  </si>
  <si>
    <t>http://www.ifrc.org/docs/appeals/06/MDRYU001final.pdf</t>
  </si>
  <si>
    <t>DREF Bulletin no. MDRYU001</t>
  </si>
  <si>
    <t>DREF Bulletin no. 05ME039</t>
  </si>
  <si>
    <t>http://www.ifrc.org/docs/appeals/05/05ME039final.pdf</t>
  </si>
  <si>
    <t>not specified</t>
  </si>
  <si>
    <t>http://www.ifrc.org/docs/appeals/06/MDR67001final.pdf</t>
  </si>
  <si>
    <t>DREF Bulletin no. MDR67001</t>
  </si>
  <si>
    <t>Serbia and Montenegro/Kosovo</t>
  </si>
  <si>
    <t>Winter assistance</t>
  </si>
  <si>
    <t>DREF Bulletin no. 05ME064</t>
  </si>
  <si>
    <t>http://www.ifrc.org/docs/appeals/05/05ME064final.pdf</t>
  </si>
  <si>
    <t>DREF Bulletin no. MDRKV001</t>
  </si>
  <si>
    <t>http://www.ifrc.org/docs/appeals/06/MDRKV001final.pdf</t>
  </si>
  <si>
    <t>http://www.ifrc.org/docs/appeals/03/1403final.pdf</t>
  </si>
  <si>
    <t>Volcanoes</t>
  </si>
  <si>
    <t>Papua New Guinea Manam and Langila</t>
  </si>
  <si>
    <t>Appeal No. 05EA012</t>
  </si>
  <si>
    <t>Appeal No. MDRIQ001</t>
  </si>
  <si>
    <t>http://www.ifrc.org/docs/appeals/06/MDRIQ001final.pdf</t>
  </si>
  <si>
    <t>http://www.ifrc.org/docs/appeals/03/1803fr.pdf</t>
  </si>
  <si>
    <t>http://www.ifrc.org/docs/appeals/05/05ME047final.pdf</t>
  </si>
  <si>
    <t>DREF Bulletin no. 05ME047</t>
  </si>
  <si>
    <t>East Asia Taipei</t>
  </si>
  <si>
    <t>http://www.ifrc.org/docs/appeals/99/2599fr.pdf</t>
  </si>
  <si>
    <t>Appeal No. 2599</t>
  </si>
  <si>
    <t>Appeal No. 182003 (M03EA018)</t>
  </si>
  <si>
    <t>Appeal No. 1403 (M03EA014)</t>
  </si>
  <si>
    <t>Final report No M04EA012</t>
  </si>
  <si>
    <t>DREF Bulletin No. MDRRU001</t>
  </si>
  <si>
    <t>http://www.ifrc.org/docs/appeals/05/05EA011final.pdf</t>
  </si>
  <si>
    <t>Appeal No. 05EA011</t>
  </si>
  <si>
    <t>DREF Bulletin No. M05ME040</t>
  </si>
  <si>
    <t>http://www.ifrc.org/docs/appeals/05/M05ME040fr.pdf</t>
  </si>
  <si>
    <t>http://www.ifrc.org/docs/appeals/05/05ME049ifr.pdf</t>
  </si>
  <si>
    <t>Interim final report DREF Bulletin No. 05ME049</t>
  </si>
  <si>
    <t>http://www.ifrc.org/docs/appeals/04/1504FR.pdf</t>
  </si>
  <si>
    <t>http://www.ifrc.org/docs/appeals/04/1604FR.pdf</t>
  </si>
  <si>
    <t>Appeal No. 1504 (M04EA015)</t>
  </si>
  <si>
    <t>Appeal No. 1604 (M04EA016)</t>
  </si>
  <si>
    <t>Guinea Bissau</t>
  </si>
  <si>
    <t>http://www.ifrc.org/docs/appeals/05/05ME046fr.pdf</t>
  </si>
  <si>
    <t>DREF Bulletin no. 05ME046</t>
  </si>
  <si>
    <t>http://www.ifrc.org/docs/appeals/05/05EA008final.pdf</t>
  </si>
  <si>
    <t xml:space="preserve">Serbia and Montenegro </t>
  </si>
  <si>
    <t>Appeal No.05EA008</t>
  </si>
  <si>
    <t>http://www.ifrc.org/docs/appeals/05/05EA014F.pdf</t>
  </si>
  <si>
    <t>Appeal No. 05EA014</t>
  </si>
  <si>
    <t>http://www.ifrc.org/docs/appeals/05/05EA006final.pdf</t>
  </si>
  <si>
    <t>Emergency support for the Lebanese Red Cross Ambulance Services</t>
  </si>
  <si>
    <t>Appeal No. 05EA006</t>
  </si>
  <si>
    <t>Hurricanes Dennis and Emily</t>
  </si>
  <si>
    <t>http://www.ifrc.org/docs/appeals/04/2204f.pdf</t>
  </si>
  <si>
    <t>http://www.ifrc.org/docs/appeals/04/2004f.pdf</t>
  </si>
  <si>
    <t xml:space="preserve">Hurricane Charley </t>
  </si>
  <si>
    <t>Appeal No. 2204 (M04EA022)</t>
  </si>
  <si>
    <t>Appeal No. 2004 (M04EA020)</t>
  </si>
  <si>
    <t>Emergency Appeal No.MDRBD009</t>
  </si>
  <si>
    <t xml:space="preserve">Emergency Appeal No.MDRID004 </t>
  </si>
  <si>
    <t>Emergency Appeal No.MDRMM002</t>
  </si>
  <si>
    <t xml:space="preserve">Emergency Appeal No. MDRNE005 </t>
  </si>
  <si>
    <t>Emergency Appeal No.MDRBF010</t>
  </si>
  <si>
    <t>Emergency Appeal No.MDRWS001</t>
  </si>
  <si>
    <t>Emergency Appeal No. MDRID006</t>
  </si>
  <si>
    <t xml:space="preserve">Emergency Appeal No.MDRTD005 </t>
  </si>
  <si>
    <t>http://www.ifrc.org/docs/appeals/10/MDRTD005eafr.pdf</t>
  </si>
  <si>
    <t>Emergency Appeal No.MDRKE009</t>
  </si>
  <si>
    <t xml:space="preserve"> Emergency Appeal No.MDRKP002</t>
  </si>
  <si>
    <t>http://www.ifrc.org/docs/appeals/10/MDRKP002FR.pdf</t>
  </si>
  <si>
    <t>Nepal</t>
  </si>
  <si>
    <t xml:space="preserve">Potential diarrhoea outbreak </t>
  </si>
  <si>
    <t xml:space="preserve"> Emergency Appeal No. MDRNP004</t>
  </si>
  <si>
    <t>http://www.ifrc.org/docs/appeals/10/MDRNP004FR.pdf</t>
  </si>
  <si>
    <t xml:space="preserve">Emergency Appeal No.MDRTZ010 </t>
  </si>
  <si>
    <t>http://www.ifrc.org/docs/appeals/10/MDRTZ010fr.pdf</t>
  </si>
  <si>
    <t>Egypt</t>
  </si>
  <si>
    <t>Unrest</t>
  </si>
  <si>
    <t>DREF Final Report No.MDREG010</t>
  </si>
  <si>
    <t>http://www.ifrc.org/docs/appeals/11/MDREG010dfr.pdf</t>
  </si>
  <si>
    <t xml:space="preserve">Morocco </t>
  </si>
  <si>
    <t>DREF Final Report No. MDRMA004</t>
  </si>
  <si>
    <t>http://www.ifrc.org/docs/appeals/11/MDRMA004dfr.pdf</t>
  </si>
  <si>
    <t>DREF Final Report No.MDRLS001</t>
  </si>
  <si>
    <t>YES</t>
  </si>
  <si>
    <t>http://www.ifrc.org/docs/appeals/11/MDRLS001dfr.pdf</t>
  </si>
  <si>
    <t>South Africa</t>
  </si>
  <si>
    <t xml:space="preserve">DREF Final Report No.MDRZA005 </t>
  </si>
  <si>
    <t>http://www.ifrc.org/docs/appeals/11/MDRZA005dfr.pdf</t>
  </si>
  <si>
    <t xml:space="preserve">Tajikistan </t>
  </si>
  <si>
    <t>Maldives</t>
  </si>
  <si>
    <t>http://www.ifrc.org/docs/appeals/11/MDRMV001fr.pdf</t>
  </si>
  <si>
    <t>Dengue</t>
  </si>
  <si>
    <t xml:space="preserve">Lebanon </t>
  </si>
  <si>
    <t>DREF Final Report No. MDRLB003</t>
  </si>
  <si>
    <t>http://www.ifrc.org/docs/appeals/11/MDRLB003dfr.pdf</t>
  </si>
  <si>
    <t>Gabon</t>
  </si>
  <si>
    <t xml:space="preserve">Violent wind and floods </t>
  </si>
  <si>
    <t xml:space="preserve"> DREF Final Report No. MDRGA005</t>
  </si>
  <si>
    <t>Missing Data</t>
  </si>
  <si>
    <t>http://www.ifrc.org/docs/appeals/10/MDRGA005dfr.pdf</t>
  </si>
  <si>
    <t>Benin</t>
  </si>
  <si>
    <t xml:space="preserve"> DREF Final Reoprt No.MDRBJ007</t>
  </si>
  <si>
    <t>http://www.ifrc.org/docs/appeals/10/MDRBJ007dfr.pdf</t>
  </si>
  <si>
    <t>http://www.ifrc.org/docs/appeals/11/MDRUG021dfr.pdf</t>
  </si>
  <si>
    <t>Mozambique</t>
  </si>
  <si>
    <t xml:space="preserve">Floods and Cholera </t>
  </si>
  <si>
    <t xml:space="preserve"> DREF Final Report No.MDRMZ008</t>
  </si>
  <si>
    <t>http://www.ifrc.org/docs/appeals/11/MDRMZ008dfr.pdf</t>
  </si>
  <si>
    <t>Madagascar</t>
  </si>
  <si>
    <t xml:space="preserve">Cyclone Bingiza </t>
  </si>
  <si>
    <t>DREF Final Report No.MDRMG007</t>
  </si>
  <si>
    <t>http://www.ifrc.org/docs/appeals/11/MDRMG007dfr.pdf</t>
  </si>
  <si>
    <t xml:space="preserve">Meningitis Epidemic </t>
  </si>
  <si>
    <t xml:space="preserve"> DREF Final Report No. MDRTD007</t>
  </si>
  <si>
    <t>http://www.ifrc.org/docs/appeals/11/MDRTD007dfr.pdf</t>
  </si>
  <si>
    <t>http://www.ifrc.org/docs/appeals/11/MDRMM004fr.pdf</t>
  </si>
  <si>
    <t>Cote d'Ivoire</t>
  </si>
  <si>
    <t xml:space="preserve">Yellow Fever Outbreak </t>
  </si>
  <si>
    <t xml:space="preserve"> DREF Final Report No. MDRCI002</t>
  </si>
  <si>
    <t>http://www.ifrc.org/docs/appeals/11/MDRCI002dfr.pdf</t>
  </si>
  <si>
    <t xml:space="preserve">Heavy rainstorms and floods </t>
  </si>
  <si>
    <t xml:space="preserve"> DREF Final Report No. MDRRW007</t>
  </si>
  <si>
    <t>http://www.ifrc.org/docs/appeals/11/MDRRW007dfr.pdf</t>
  </si>
  <si>
    <t xml:space="preserve"> DREF Final Report No. MDRGH003</t>
  </si>
  <si>
    <t>http://www.ifrc.org/docs/appeals/10/MDRGH003dfr.pdf</t>
  </si>
  <si>
    <t>Togo</t>
  </si>
  <si>
    <t xml:space="preserve"> DREF Final Report No. MDRTG003</t>
  </si>
  <si>
    <t>http://www.ifrc.org/docs/appeals/10/MDRTG003dfr.pdf</t>
  </si>
  <si>
    <t xml:space="preserve">Measles Outbreak </t>
  </si>
  <si>
    <t xml:space="preserve"> DREF Final Report No. MDRKE017</t>
  </si>
  <si>
    <t>http://www.ifrc.org/docs/appeals/11/MDRKE017dfr.pdf</t>
  </si>
  <si>
    <t xml:space="preserve">Civil unrest </t>
  </si>
  <si>
    <t xml:space="preserve"> DREF Final Report No. MDRTN004</t>
  </si>
  <si>
    <t>http://www.ifrc.org/docs/appeals/11/MDRTN004dfr.pdf</t>
  </si>
  <si>
    <t>Malta</t>
  </si>
  <si>
    <t>Population movement</t>
  </si>
  <si>
    <t xml:space="preserve"> DREF Final Report No. MDRMT001</t>
  </si>
  <si>
    <t>http://www.ifrc.org/docs/appeals/11/MDRMT001dfr.pdf</t>
  </si>
  <si>
    <t>Burundi</t>
  </si>
  <si>
    <t xml:space="preserve"> DREF Final Report No. MDRBI006</t>
  </si>
  <si>
    <t>http://www.ifrc.org/docs/appeals/11/MDRBI006dfr.pdf</t>
  </si>
  <si>
    <t>Explosion</t>
  </si>
  <si>
    <t xml:space="preserve"> DREF Final Report No. MDRTZ011</t>
  </si>
  <si>
    <t>http://www.ifrc.org/docs/appeals/11/MDRTZ011dfr.pdf</t>
  </si>
  <si>
    <t xml:space="preserve">Senegal </t>
  </si>
  <si>
    <t xml:space="preserve"> DREF Final Report No.MDRSN004</t>
  </si>
  <si>
    <t>http://www.ifrc.org/docs/appeals/10/MDRSN004dfr.pdf</t>
  </si>
  <si>
    <t xml:space="preserve"> DREF Final Report No. MDRSN003</t>
  </si>
  <si>
    <t>http://www.ifrc.org/docs/appeals/10/MDRSN003dfr.pdf</t>
  </si>
  <si>
    <t xml:space="preserve"> DREF Final Report No. MDRGN003</t>
  </si>
  <si>
    <t>http://www.ifrc.org/docs/appeals/10/MDRGN003dfr.pdf</t>
  </si>
  <si>
    <t xml:space="preserve"> DREF Final Report No. MDRML005</t>
  </si>
  <si>
    <t>http://www.ifrc.org/docs/appeals/10/MDRML005dfr.pdf</t>
  </si>
  <si>
    <t xml:space="preserve"> DREF Final Report No. MDRNG008</t>
  </si>
  <si>
    <t>http://www.ifrc.org/docs/appeals/10/MDRNG008dfr.pdf</t>
  </si>
  <si>
    <t>Vanuatu</t>
  </si>
  <si>
    <t>Tropical Cyclone Vania</t>
  </si>
  <si>
    <t xml:space="preserve"> DREF Final Report No. MDRVU001</t>
  </si>
  <si>
    <t>http://www.ifrc.org/docs/appeals/11/MDRVU001DREFFR.pdf</t>
  </si>
  <si>
    <t>Costa Rica</t>
  </si>
  <si>
    <t xml:space="preserve"> DREF Final Report No. MDRCR007</t>
  </si>
  <si>
    <t>http://www.ifrc.org/docs/appeals/10/MDRCR007dfr.pdf</t>
  </si>
  <si>
    <t>Belize</t>
  </si>
  <si>
    <t>Hurricane Richard</t>
  </si>
  <si>
    <t xml:space="preserve"> DREF Final Report No. MDRBZ002</t>
  </si>
  <si>
    <t>http://www.ifrc.org/docs/appeals/10/MDRBZ002dfr.pdf</t>
  </si>
  <si>
    <t xml:space="preserve"> DREF Final Report No. MDRBA006</t>
  </si>
  <si>
    <t>http://www.ifrc.org/docs/appeals/10/MDRBA0062dfr.pdf</t>
  </si>
  <si>
    <t>Caribbean (Haiti, Jamaica, Cuba, Grenada, St. Vincent and the Grenadines, Trinidad and Tobago and Cayman Islands)</t>
  </si>
  <si>
    <t>Epidemics</t>
  </si>
  <si>
    <t>Bolivia</t>
  </si>
  <si>
    <t>Final Report for DREF Bulletin no. MDRBO001</t>
  </si>
  <si>
    <t>http://www.ifrc.org/docs/appeals/rpts06/MDRBO00102.pdf</t>
  </si>
  <si>
    <t>Peru</t>
  </si>
  <si>
    <t>Final Report for DREF Bulletin no. MDRPE001</t>
  </si>
  <si>
    <t>http://www.ifrc.org/docs/appeals/rpts06/MDRPE00102.pdf</t>
  </si>
  <si>
    <t>http://www.ifrc.org/docs/appeals/rpts06/MDRAR001f.pdf</t>
  </si>
  <si>
    <t>Argentina</t>
  </si>
  <si>
    <t>Final Report for DREF Bulletin no. MDRAR001</t>
  </si>
  <si>
    <t>http://www.ifrc.org/docs/appeals/05/05ME053final.pdf</t>
  </si>
  <si>
    <t>http://www.ifrc.org/docs/appeals/05/05ME006023FR.pdf</t>
  </si>
  <si>
    <t>Floods and snowfalls minor emergencies</t>
  </si>
  <si>
    <t>DREF Bulletin Minor emergency no.05ME053</t>
  </si>
  <si>
    <t>http://www.ifrc.org/docs/appeals/09/MDRPK003%20final.pdf</t>
  </si>
  <si>
    <t>Emergency appeal n° MDRPK003</t>
  </si>
  <si>
    <t>Sri Lanka</t>
  </si>
  <si>
    <t xml:space="preserve">Nepal </t>
  </si>
  <si>
    <t>http://www.ifrc.org/docs/appeals/10/MDRGA003dfr.pdf</t>
  </si>
  <si>
    <t>Violent wind in Mouila</t>
  </si>
  <si>
    <t>DREF operation n° MDRGA003</t>
  </si>
  <si>
    <t>http://www.ifrc.org/docs/appeals/10/MDRBF009dfr.pdf</t>
  </si>
  <si>
    <t>DREF operation n° MDRBF009</t>
  </si>
  <si>
    <t>Meningitis</t>
  </si>
  <si>
    <t>Yogyakarta Earthquake</t>
  </si>
  <si>
    <t>http://www.ifrc.org/docs/appeals/10/MDRID001_FR.pdf</t>
  </si>
  <si>
    <t>http://www.ifrc.org/docs/appeals/10/MDRPA007%20ea.pdf</t>
  </si>
  <si>
    <t>http://reliefweb.int/sites/reliefweb.int/files/resources/Full_Report_3195.pdf</t>
  </si>
  <si>
    <t>http://www.ifrc.org/docs/appeals/07/MDRRW003fr.pdf</t>
  </si>
  <si>
    <t>DREF operation n° MDRRW003</t>
  </si>
  <si>
    <t>http://www.ifrc.org/docs/appeals/09/MDRVN002fr.pdf</t>
  </si>
  <si>
    <t>Emergency appeal n° MDRVN002</t>
  </si>
  <si>
    <t>Typhoon Lekima</t>
  </si>
  <si>
    <t>http://www.ifrc.org/docs/appeals/08/MDRUG009fr.pdf</t>
  </si>
  <si>
    <t>DREF operation n° MDRUG009</t>
  </si>
  <si>
    <t>Hepatitis E Virus (HEV)</t>
  </si>
  <si>
    <t>http://www.ifrc.org/docs/appeals/09/MDRKP001finalrep.pdf</t>
  </si>
  <si>
    <t>Missing</t>
  </si>
  <si>
    <t>Emergency appeal n° MDRKP001</t>
  </si>
  <si>
    <t>http://www.ifrc.org/docs/appeals/06/MDRPH002fr.pdf</t>
  </si>
  <si>
    <t>Emergency appeal n° MDRPH002</t>
  </si>
  <si>
    <t>Typhoons</t>
  </si>
  <si>
    <t>http://www.ifrc.org/docs/appeals/07/MDRMZ002final.pdf</t>
  </si>
  <si>
    <t>Emergency appeal n° MDRMZ002</t>
  </si>
  <si>
    <t>Floods and Cyclone</t>
  </si>
  <si>
    <t>http://www.ifrc.org/docs/appeals/06/MDRGM001dfr.pdf</t>
  </si>
  <si>
    <t>DREF no. MDRGM001</t>
  </si>
  <si>
    <t>http://www.ifrc.org/docs/appeals/07/MDRBF004dfr.pdf</t>
  </si>
  <si>
    <t>DREF operation n° MDRBF004</t>
  </si>
  <si>
    <t>http://www.ifrc.org/docs/appeals/08/MDRDJ001fr.pdf</t>
  </si>
  <si>
    <t>DREF operation n° MDRDJ001</t>
  </si>
  <si>
    <t>Djibouti</t>
  </si>
  <si>
    <t>Emergency appeal n° MDRNP001</t>
  </si>
  <si>
    <t>Floods &amp; Landslides</t>
  </si>
  <si>
    <t>Emergency appeal n° MDR63001</t>
  </si>
  <si>
    <t>Southern Africa</t>
  </si>
  <si>
    <t>http://www.ifrc.org/docs/appeals/08/MDREG007final.pdf</t>
  </si>
  <si>
    <t>DREF operation n° MDREG007</t>
  </si>
  <si>
    <t>Cairo Rockslides</t>
  </si>
  <si>
    <t>http://www.ifrc.org/docs/appeals/07/MDRET004frep.pdf</t>
  </si>
  <si>
    <t>Emergency appeal n° MDRET004</t>
  </si>
  <si>
    <t>Ethiopia</t>
  </si>
  <si>
    <t>http://www.ifrc.org/docs/appeals/08/MDRLA001fr.pdf</t>
  </si>
  <si>
    <t>DREF operation n° MDRLA001</t>
  </si>
  <si>
    <t>http://www.ifrc.org/docs/appeals/08/MDRMG003fr.pdf</t>
  </si>
  <si>
    <t>Emergency Appeal n°MDRMG003</t>
  </si>
  <si>
    <t>Cyclone Ivan</t>
  </si>
  <si>
    <t>http://www.ifrc.org/docs/appeals/08/MDRCM006dfr.pdf</t>
  </si>
  <si>
    <t>Emergency appeal n° MDRCM006</t>
  </si>
  <si>
    <t>Population Movement</t>
  </si>
  <si>
    <t>http://www.ifrc.org/docs/appeals/07/MDRCN002fr.pdf</t>
  </si>
  <si>
    <t>Emergency appeal no. MDRCN002</t>
  </si>
  <si>
    <t>http://www.ifrc.org/docs/appeals/08/MDRCG004dfr.pdf</t>
  </si>
  <si>
    <t>DREF operation n° MDRCG004</t>
  </si>
  <si>
    <t>Cholera outbreak</t>
  </si>
  <si>
    <t>http://www.ifrc.org/docs/appeals/08/MDRPS003dfr.pdf</t>
  </si>
  <si>
    <t>DREF operation n° MDRPS003</t>
  </si>
  <si>
    <t>Flash Floods</t>
  </si>
  <si>
    <t>http://www.ifrc.org/docs/appeals/08/MDRBF006dfr.pdf</t>
  </si>
  <si>
    <t>DREF operation n° MDRBF006</t>
  </si>
  <si>
    <t>Yellow Fever</t>
  </si>
  <si>
    <t>http://www.ifrc.org/docs/appeals/08/MDRBJ004dfr.pdf</t>
  </si>
  <si>
    <t>DREF operation n° MDRBJ004</t>
  </si>
  <si>
    <t>http://www.ifrc.org/docs/appeals/07/MDRBO002fr.pdf</t>
  </si>
  <si>
    <t>Emergency appeal n° MDRBO002</t>
  </si>
  <si>
    <t>http://www.ifrc.org/docs/appeals/08/MDRCF003dfr.pdf</t>
  </si>
  <si>
    <t>DREF operation n° MDRCF003</t>
  </si>
  <si>
    <t>http://www.ifrc.org/docs/appeals/08/MDRBJ003dfr.pdf</t>
  </si>
  <si>
    <t>DREF operation n° MDRBJ003</t>
  </si>
  <si>
    <t>http://www.ifrc.org/docs/appeals/07/MDRSB001FR.pdf</t>
  </si>
  <si>
    <t>Emergency appeal n° MDRSB001</t>
  </si>
  <si>
    <t>Earthquake &amp; tsunami</t>
  </si>
  <si>
    <t>Solomon Islands</t>
  </si>
  <si>
    <t>http://www.ifrc.org/docs/appeals/08/MDRIQ003efr.pdf</t>
  </si>
  <si>
    <t>Emergency appeal n° MDRIQ003</t>
  </si>
  <si>
    <t xml:space="preserve"> Humanitarian Crisis</t>
  </si>
  <si>
    <t>http://www.ifrc.org/docs/appeals/09/MDRNP001Final.pdf</t>
  </si>
  <si>
    <t>Emergency appeal n° MDR49002</t>
  </si>
  <si>
    <t>http://www.ifrc.org/docs/appeals/07/MDRBD002FR.pdf</t>
  </si>
  <si>
    <t>Emergency appeal n° MDRBD002</t>
  </si>
  <si>
    <t>http://www.ifrc.org/docs/appeals/07/MDRPG002FR.pdf</t>
  </si>
  <si>
    <t>Emergency appeal n° MDRPG002</t>
  </si>
  <si>
    <t>Cyclone Guba</t>
  </si>
  <si>
    <t>Papua New Guinea</t>
  </si>
  <si>
    <t>http://www.ifrc.org/docs/appeals/06/MDRBF002dfr.pdf</t>
  </si>
  <si>
    <t>DREF operation n° MDRBF002</t>
  </si>
  <si>
    <t>http://www.ifrc.org/docs/appeals/08/MDRGW001dfr.pdf</t>
  </si>
  <si>
    <t>DREF operation n° MDRGW001</t>
  </si>
  <si>
    <t>http://www.ifrc.org/docs/appeals/08/MDR62003efr.pdf</t>
  </si>
  <si>
    <t>Emergency appeal n° MDR62003</t>
  </si>
  <si>
    <t>http://www.ifrc.org/docs/appeals/07/MDRGN002dfr.pdf</t>
  </si>
  <si>
    <t>DREF operation n° MDRGN002</t>
  </si>
  <si>
    <t>http://www.ifrc.org/docs/appeals/07/MDRCD002dfr.pdf</t>
  </si>
  <si>
    <t>DREF operation n° MDRCD002</t>
  </si>
  <si>
    <t>Floods in Kinshasa</t>
  </si>
  <si>
    <t>http://www.ifrc.org/docs/appeals/09/MDRTG002dfr.pdf</t>
  </si>
  <si>
    <t>DREF operation n° MDRTG002</t>
  </si>
  <si>
    <t>http://www.ifrc.org/docs/appeals/07/MDR43002fr.pdf</t>
  </si>
  <si>
    <t>Emergency appeal n° MDR43002</t>
  </si>
  <si>
    <t>Hurricane Felix</t>
  </si>
  <si>
    <t>http://www.ifrc.org/docs/appeals/06/MDR81001final.pdf</t>
  </si>
  <si>
    <t>Emergency appeal n° MDR81001</t>
  </si>
  <si>
    <t>Humanitarian Crisis</t>
  </si>
  <si>
    <t>http://www.ifrc.org/docs/appeals/08/MDRNG007efr.pdf</t>
  </si>
  <si>
    <t>http://www.ifrc.org/docs/appeals/08/MDRCD005dfr.pdf</t>
  </si>
  <si>
    <t>DREF Operation n° MDRCD005</t>
  </si>
  <si>
    <t>Cholera in Katanga and Maniema</t>
  </si>
  <si>
    <t>http://www.ifrc.org/docs/appeals/08/Mdr63001fr.pdf</t>
  </si>
  <si>
    <t>http://www.ifrc.org/docs/appeals/09/MDRCF004dfr.pdf</t>
  </si>
  <si>
    <t>DREF operation n° MDRCF004</t>
  </si>
  <si>
    <t>Storm in Bangui</t>
  </si>
  <si>
    <t>http://www.ifrc.org/docs/appeals/09/MDRCD006dfr.pdf</t>
  </si>
  <si>
    <t>DREF operation n° MDRCD006</t>
  </si>
  <si>
    <t>Ebola Fever</t>
  </si>
  <si>
    <t>http://www.ifrc.org/docs/appeals/08/MDRDZ001final.pdf</t>
  </si>
  <si>
    <t>Emergency appeal n° MDRDZ001</t>
  </si>
  <si>
    <t>Floods in Ghardaia</t>
  </si>
  <si>
    <t>http://www.ifrc.org/docs/appeals/07/MDR49001fr.pdf</t>
  </si>
  <si>
    <t>Emergency appeal n° MDR49001</t>
  </si>
  <si>
    <t>Hurricane Dean</t>
  </si>
  <si>
    <t>http://www.ifrc.org/docs/appeals/06/MDRTZ001fr.pdf</t>
  </si>
  <si>
    <t>Emergency appeal n°MDRTZ001</t>
  </si>
  <si>
    <t>http://www.ifrc.org/docs/appeals/08/MDRSR002fr.pdf</t>
  </si>
  <si>
    <t>Emergency appeal n° MDRSR002</t>
  </si>
  <si>
    <t>http://www.ifrc.org/docs/appeals/08/MDR61003fr.pdf</t>
  </si>
  <si>
    <t>Emergency appeal n° MDR61003</t>
  </si>
  <si>
    <t>Flood preparedness and response</t>
  </si>
  <si>
    <t>http://www.ifrc.org/docs/appeals/09/MDRPK002_fr.pdf</t>
  </si>
  <si>
    <t>Emergency appeal n° MDRPK002</t>
  </si>
  <si>
    <t>Baluchistan Earthquake</t>
  </si>
  <si>
    <t>http://www.ifrc.org/docs/appeals/07/MDRID002fr.pdf</t>
  </si>
  <si>
    <t>Emergency appeal n° MDRID002</t>
  </si>
  <si>
    <t>Sumatra Floods</t>
  </si>
  <si>
    <t>http://www.ifrc.org/docs/appeals/08/MDRUG010fr.pdf</t>
  </si>
  <si>
    <t>Emergency appeal n° MDRUG010</t>
  </si>
  <si>
    <t>http://www.ifrc.org/docs/appeals/08/MDR67003efr.pdf</t>
  </si>
  <si>
    <t>Emergency appeal n° MDR67003</t>
  </si>
  <si>
    <t>http://www.ifrc.org/docs/appeals/09/MDREG008final.pdf</t>
  </si>
  <si>
    <t>DREF operation n° MDREG008</t>
  </si>
  <si>
    <t>http://www.ifrc.org/docs/appeals/08/MDRMA001final.pdf</t>
  </si>
  <si>
    <t>Emergency appeal n° MDRMA001</t>
  </si>
  <si>
    <t>http://www.ifrc.org/docs/appeals/09/MDRCD007dfr.pdf</t>
  </si>
  <si>
    <t>DREF operation n° MDRCD007</t>
  </si>
  <si>
    <t>Volcano eruption alert in Goma</t>
  </si>
  <si>
    <t>http://www.ifrc.org/docs/appeals/08/MDRPH004fr.pdf</t>
  </si>
  <si>
    <t>Emergency appeal n° MDRPH004</t>
  </si>
  <si>
    <t>Typhoon Fengshen</t>
  </si>
  <si>
    <t>http://www.ifrc.org/docs/appeals/08/MDRKE007fr.pdf</t>
  </si>
  <si>
    <t xml:space="preserve">Yes </t>
  </si>
  <si>
    <t>Emergency appeal n° MDRKE 007</t>
  </si>
  <si>
    <t>http://www.ifrc.org/docs/appeals/09/MDRCF005dfr.pdf</t>
  </si>
  <si>
    <t>DREF operation n° MDRCF005</t>
  </si>
  <si>
    <t>Violent winds in Kembe, Grimari, Zangba, Mboki, Obo and Mbaïki</t>
  </si>
  <si>
    <t>http://www.ifrc.org/docs/appeals/09/MDRGA002dfr.pdf</t>
  </si>
  <si>
    <t>DREF operation n° MDRGA002</t>
  </si>
  <si>
    <t>Violent winds</t>
  </si>
  <si>
    <t>http://www.ifrc.org/docs/appeals/08/MDR43004fr.pdf</t>
  </si>
  <si>
    <t>Emergency appeal n° MDR43004</t>
  </si>
  <si>
    <t>http://www.ifrc.org/docs/appeals/08/MDRRU003dfr.pdf</t>
  </si>
  <si>
    <t>DREF operation n° MDRRU003</t>
  </si>
  <si>
    <t>Assistance to the South Ossetia refugees</t>
  </si>
  <si>
    <t>http://www.ifrc.org/docs/appeals/09/MDRNP002FR.pdf</t>
  </si>
  <si>
    <t>Emergency appeal n° MDRNP002</t>
  </si>
  <si>
    <t>http://www.ifrc.org/docs/appeals/09/MDR00002FR.pdf</t>
  </si>
  <si>
    <t>Emergency appeal n° MDR00002</t>
  </si>
  <si>
    <t>Pandemic influenza</t>
  </si>
  <si>
    <t xml:space="preserve">Global </t>
  </si>
  <si>
    <t>http://www.ifrc.org/docs/appeals/06/MDRKE003%20final%20report.pdf</t>
  </si>
  <si>
    <t>Emergency appeal n° MDRKE003</t>
  </si>
  <si>
    <t>http://www.ifrc.org/docs/appeals/08/MDRET005fr.pdf</t>
  </si>
  <si>
    <t>Emergency appeal n° MDRET005</t>
  </si>
  <si>
    <t>Food security</t>
  </si>
  <si>
    <t>http://www.ifrc.org/docs/appeals/08/MDR49003fr.pdf</t>
  </si>
  <si>
    <t>Emergency appeal n° MDR49003</t>
  </si>
  <si>
    <t>Hurricane Season 2008</t>
  </si>
  <si>
    <t>http://www.ifrc.org/docs/appeals/08/MDRVN005FR.pdf</t>
  </si>
  <si>
    <t>Emergency appeal n° MDRVN005</t>
  </si>
  <si>
    <t>http://www.ifrc.org/docs/appeals/07/MDRCF001fr.pdf</t>
  </si>
  <si>
    <t>DREF operation n° MDRCF001</t>
  </si>
  <si>
    <t>http://www.ifrc.org/docs/appeals/06/MDRSD002fr.pdf</t>
  </si>
  <si>
    <t>Appeal no. MDRSD002</t>
  </si>
  <si>
    <t>http://www.ifrc.org/docs/appeals/06/MDRMR001fr.pdf</t>
  </si>
  <si>
    <t>DREF operation no. MDRMR001</t>
  </si>
  <si>
    <t>http://www.ifrc.org/docs/appeals/07/MDRUG005fr.pdf</t>
  </si>
  <si>
    <t>DREF operation n° MDRUG005</t>
  </si>
  <si>
    <t>Marburg Fever Outbreak</t>
  </si>
  <si>
    <t>http://www.ifrc.org/docs/appeals/04/190408.pdf</t>
  </si>
  <si>
    <t>http://www.ifrc.org/docs/appeals/07/MDRNG004fr_3.pdf</t>
  </si>
  <si>
    <t>DREF operation n° MDRNG004</t>
  </si>
  <si>
    <t>http://www.ifrc.org/docs/appeals/07/MDRTG001fr.pdf</t>
  </si>
  <si>
    <t>DREF operation n° MDRTG001</t>
  </si>
  <si>
    <t>http://www.ifrc.org/docs/appeals/06/MDRTD002fr_1.pdf</t>
  </si>
  <si>
    <t>http://www.ifrc.org/docs/appeals/06/MDRML003fr.pdf</t>
  </si>
  <si>
    <t>DREF operation n° MDRML003</t>
  </si>
  <si>
    <t>http://www.ifrc.org/docs/appeals/08/05EA012FR.pdf</t>
  </si>
  <si>
    <t>http://www.ifrc.org/docs/appeals/07/MDRZM004final.pdf</t>
  </si>
  <si>
    <t>Emergency appeal n° MDRZM004</t>
  </si>
  <si>
    <t>Solwezi and Mpulungu Floods</t>
  </si>
  <si>
    <t>Zambia</t>
  </si>
  <si>
    <t>http://www.ifrc.org/docs/appeals/06/MDRAO001final.pdf</t>
  </si>
  <si>
    <t>Emergency appeal n° MDRAO001</t>
  </si>
  <si>
    <t>http://www.ifrc.org/docs/appeals/07/MDRAO002final.pdf</t>
  </si>
  <si>
    <t>Emergency appeal n° MDRAO002</t>
  </si>
  <si>
    <t>http://www.ifrc.org/docs/appeals/07/MDRNE001fr.pdf</t>
  </si>
  <si>
    <t>DREF operation n° MDRNE001</t>
  </si>
  <si>
    <t>http://www.ifrc.org/docs/appeals/03/2503final.pdf</t>
  </si>
  <si>
    <t>Emergency appeal n° M03EA025</t>
  </si>
  <si>
    <t>Bam Earthquake</t>
  </si>
  <si>
    <t>Iran</t>
  </si>
  <si>
    <t>http://www.ifrc.org/docs/appeals/06/MDRML002fr.pdf</t>
  </si>
  <si>
    <t>DREF operation n° MDRML002</t>
  </si>
  <si>
    <t>http://www.ifrc.org/docs/appeals/06/MDRSL001fr.pdf</t>
  </si>
  <si>
    <t>DREF operation n° MDRSL001</t>
  </si>
  <si>
    <t>http://www.ifrc.org/docs/appeals/06/MDRGM002fr.pdf</t>
  </si>
  <si>
    <t>DREF operation n° MDRGM002</t>
  </si>
  <si>
    <t>Fire</t>
  </si>
  <si>
    <t>http://www.ifrc.org/docs/appeals/07/MDRGM003fr.pdf</t>
  </si>
  <si>
    <t>DREF operation no. MDRGM003</t>
  </si>
  <si>
    <t>http://www.ifrc.org/docs/appeals/07/MDRCD001fr_.pdf</t>
  </si>
  <si>
    <t>DREF operation n° MDRCD001</t>
  </si>
  <si>
    <t>Ebola Haemorrhagic Fever in Western Kasai</t>
  </si>
  <si>
    <t>http://www.ifrc.org/docs/appeals/08/MDRCD004fr.pdf</t>
  </si>
  <si>
    <t>DREF operation n° MDRCD004</t>
  </si>
  <si>
    <t>Cholera in Katanga</t>
  </si>
  <si>
    <t>http://www.ifrc.org/docs/appeals/08/MDRCD003fr.pdf</t>
  </si>
  <si>
    <t>DREF operation n° MDRCD003</t>
  </si>
  <si>
    <t>http://www.ifrc.org/docs/appeals/08/MDRTP002finalrpt.pdf</t>
  </si>
  <si>
    <t>DREF operation n° MDRTP002</t>
  </si>
  <si>
    <t>Flooding and Landslides</t>
  </si>
  <si>
    <t>http://www.ifrc.org/docs/appeals/08/MDRTZ005fr.pdf</t>
  </si>
  <si>
    <t>Emergency appeal n° MDRTZ005</t>
  </si>
  <si>
    <t>http://www.ifrc.org/docs/appeals/08/MDRCF002fr.pdf</t>
  </si>
  <si>
    <t>DREF operation n° MDRCF002</t>
  </si>
  <si>
    <t>Meningitis in Kaga Bandoro</t>
  </si>
  <si>
    <t>http://www.ifrc.org/docs/appeals/08/MDRNG006fr.pdf</t>
  </si>
  <si>
    <t>DREF operation n° MDRNG006</t>
  </si>
  <si>
    <t>http://www.ifrc.org/docs/appeals/06/MDRSD001fr.pdf</t>
  </si>
  <si>
    <t>Emergency appeal n° MDRSD001</t>
  </si>
  <si>
    <t>http://www.ifrc.org/docs/appeals/08/MDRET002fr.pdf</t>
  </si>
  <si>
    <t>DREF operation n° MDRET002</t>
  </si>
  <si>
    <t>Acute Watery Diarrhoea Outbreak</t>
  </si>
  <si>
    <t>Emergency Appeal n° 05EA013</t>
  </si>
  <si>
    <t>http://www.ifrc.org/docs/appeals/08/MDRSN001fr.pdf</t>
  </si>
  <si>
    <t>DREF Operation no. MDRSN001</t>
  </si>
  <si>
    <t>http://www.ifrc.org/docs/appeals/08/MDRPH001efr.pdf</t>
  </si>
  <si>
    <t>Emergency appeal n° MDRPH001</t>
  </si>
  <si>
    <t>Landslides and Floods</t>
  </si>
  <si>
    <t>http://www.ifrc.org/docs/appeals/08/MDRBF005fr.pdf</t>
  </si>
  <si>
    <t>DREF operation n° MDRBF005</t>
  </si>
  <si>
    <t>http://www.ifrc.org/docs/appeals/06/MDRET003fr.pdf</t>
  </si>
  <si>
    <t>Emergency appeal no. MDRET003</t>
  </si>
  <si>
    <t>http://www.ifrc.org/docs/appeals/07/MDRMG002fr.pdf</t>
  </si>
  <si>
    <t>Emergency Appeal n° MDRMG002</t>
  </si>
  <si>
    <t>http://www.ifrc.org/docs/appeals/06/MDRRW002fr.pdf</t>
  </si>
  <si>
    <t>Emergency Appeal n° MDRRW002</t>
  </si>
  <si>
    <t>http://www.ifrc.org/docs/appeals/06/MDRBI001fr.pdf</t>
  </si>
  <si>
    <t>Emergency appeal n° MDRBI001</t>
  </si>
  <si>
    <t>Humanitarian assistance to returnees and vulnerable groups</t>
  </si>
  <si>
    <t>http://www.ifrc.org/docs/appeals/07/MDRNA003final.pdf</t>
  </si>
  <si>
    <t>Emergency appeal n° MDRNA003</t>
  </si>
  <si>
    <t>Caprivi Floods</t>
  </si>
  <si>
    <t>http://www.ifrc.org/docs/appeals/08/MDRLB001dfr.pdf</t>
  </si>
  <si>
    <t>DREF operation n° MDRLB001</t>
  </si>
  <si>
    <t>Internal Disturbance</t>
  </si>
  <si>
    <t>http://www.ifrc.org/docs/appeals/08/MDR61002%20final.pdf</t>
  </si>
  <si>
    <t>Emergency appeal n° MDR61002</t>
  </si>
  <si>
    <t>http://www.ifrc.org/docs/appeals/08/MDRTJ004efr.pdf</t>
  </si>
  <si>
    <t>Emergency appeal n° MDRTJ004</t>
  </si>
  <si>
    <t>Cold Wave</t>
  </si>
  <si>
    <t>http://www.ifrc.org/docs/appeals/07/MDREG006final.pdf</t>
  </si>
  <si>
    <t>DREF operation n° MDREG006</t>
  </si>
  <si>
    <t>Palestinian Pilgrims Stranded in Arish</t>
  </si>
  <si>
    <t>http://www.ifrc.org/docs/appeals/08/MDRBJ002dfr.pdf</t>
  </si>
  <si>
    <t>DREF operation n° MDRBJ002</t>
  </si>
  <si>
    <t>http://www.ifrc.org/docs/appeals/08/MDRBJ001dfr.pdf</t>
  </si>
  <si>
    <t>DREF operation n° MDRBJ001</t>
  </si>
  <si>
    <t>http://www.ifrc.org/docs/appeals/07/MDRCM003dfr.pdf</t>
  </si>
  <si>
    <t>DREF operation n° MDRCM003</t>
  </si>
  <si>
    <t>http://www.ifrc.org/docs/appeals/08/MDRNG005dfr.pdf</t>
  </si>
  <si>
    <t>DREF operation n° MDRNG005</t>
  </si>
  <si>
    <t>Measles</t>
  </si>
  <si>
    <t xml:space="preserve"> http://www.ifrc.org/docs/appeals/11/MDRKE014fr.pdf</t>
  </si>
  <si>
    <t xml:space="preserve">Missing </t>
  </si>
  <si>
    <t xml:space="preserve">No </t>
  </si>
  <si>
    <t>DREF Bulletin of two Minor emergenies c &amp; 05ME023</t>
  </si>
  <si>
    <t>http://www.ifrc.org/docs/appeals/10/MDRRS005dfr.pdf</t>
  </si>
  <si>
    <t>DREF operation n° MDRRS005</t>
  </si>
  <si>
    <t>http://www.ifrc.org/docs/appeals/10/MDRME004dfr.pdf</t>
  </si>
  <si>
    <t>DREF operation n° MDRME004</t>
  </si>
  <si>
    <t>Montenegro</t>
  </si>
  <si>
    <t>Emergency appeal n° M04EA019</t>
  </si>
  <si>
    <t>Jamaica</t>
  </si>
  <si>
    <t>Tropical Storm Nicole</t>
  </si>
  <si>
    <t>DREF operation n° MDRJM002</t>
  </si>
  <si>
    <t>http://www.ifrc.org/docs/appeals/10/MDRJM002dfr.pdf</t>
  </si>
  <si>
    <t>DREF Operation n° MDRNE006</t>
  </si>
  <si>
    <t>http://www.ifrc.org/docs/appeals/10/MDRNE006dfr.pdf</t>
  </si>
  <si>
    <t>Polio Outbreak</t>
  </si>
  <si>
    <t>DREF operation n° MDRUG018</t>
  </si>
  <si>
    <t>http://www.ifrc.org/docs/appeals/10/MDRUG018dfr.pdf</t>
  </si>
  <si>
    <t>Yellow fever epidemic</t>
  </si>
  <si>
    <t>DREF operation n° MDRUG019</t>
  </si>
  <si>
    <t>http://www.ifrc.org/docs/appeals/10/MDRUG019dfr.pdf</t>
  </si>
  <si>
    <t>DREF Operation No. MDRKE013</t>
  </si>
  <si>
    <t>http://www.ifrc.org/docs/appeals/10/MDRKE013dfr.pdf</t>
  </si>
  <si>
    <t>Russia</t>
  </si>
  <si>
    <t>DREF operation n° MDRRU009</t>
  </si>
  <si>
    <t>http://www.ifrc.org/docs/appeals/10/MDRRU009dfr.pdf</t>
  </si>
  <si>
    <t>DREF operation n° MDRCM009</t>
  </si>
  <si>
    <t>Cholera epidemic</t>
  </si>
  <si>
    <t>http://www.ifrc.org/docs/appeals/10/MDRCM009dfr.pdf</t>
  </si>
  <si>
    <t>DREF operation n° MDRNI003</t>
  </si>
  <si>
    <t>http://www.ifrc.org/docs/appeals/10/MDRNI003dfr.pdf</t>
  </si>
  <si>
    <t>DREF operation n° MDRCO007</t>
  </si>
  <si>
    <t>http://www.ifrc.org/docs/appeals/rpts10/MDRCO007dfr.pdf</t>
  </si>
  <si>
    <t>Rift Valley Fever</t>
  </si>
  <si>
    <t>DREF operation n° MDRZA003</t>
  </si>
  <si>
    <t>http://www.ifrc.org/docs/appeals/10/MDRZA003fr.pdf</t>
  </si>
  <si>
    <t>DREF operation n° MDRCN004</t>
  </si>
  <si>
    <t>http://www.ifrc.org/docs/appeals/10/MDRCN004FR.pdf</t>
  </si>
  <si>
    <t>Measles epidemic</t>
  </si>
  <si>
    <t>DREF operation n° MDRMW006</t>
  </si>
  <si>
    <t>http://www.ifrc.org/docs/appeals/10/MDRMW006fr.pdf</t>
  </si>
  <si>
    <t>DREF operation n° DRCM010</t>
  </si>
  <si>
    <t>http://www.ifrc.org/docs/appeals/10/MDRCM010fr.pdf</t>
  </si>
  <si>
    <t>Cyclone Giri</t>
  </si>
  <si>
    <t>DREF operation n° MDRMM003</t>
  </si>
  <si>
    <t>http://www.ifrc.org/docs/appeals/10/MDRMM003fr.pdf</t>
  </si>
  <si>
    <t>DREF operation n° MDRCF007</t>
  </si>
  <si>
    <t>http://www.ifrc.org/docs/appeals/10/MDRCF007fr.pdf</t>
  </si>
  <si>
    <t>DREF operation n° MDRIN005</t>
  </si>
  <si>
    <t>http://www.ifrc.org/docs/appeals/10/MDRIN005drefFR.pdf</t>
  </si>
  <si>
    <t>Volcano Eruption, Sinabung</t>
  </si>
  <si>
    <t>DREF operation n°MDRID005</t>
  </si>
  <si>
    <t>http://www.ifrc.org/docs/appeals/10/MDRID005drefFR.pdf</t>
  </si>
  <si>
    <t>Chikungunya and Dengue fever epidemics</t>
  </si>
  <si>
    <t>DREF operation n° MDRGA004</t>
  </si>
  <si>
    <t>http://www.ifrc.org/docs/appeals/10/MDRGA004fr.pdf</t>
  </si>
  <si>
    <t>Poliomyelitis</t>
  </si>
  <si>
    <t>DREF operation n° MDRTJ009</t>
  </si>
  <si>
    <t>http://www.ifrc.org/docs/appeals/10/MDRTJ009fdr.pdf</t>
  </si>
  <si>
    <t>DREF operation n° MDRPA006</t>
  </si>
  <si>
    <t>http://www.ifrc.org/docs/appeals/rpts10/MDRPA006dfr.pdf</t>
  </si>
  <si>
    <t>DREF operation n° MDRRO002</t>
  </si>
  <si>
    <t>http://www.ifrc.org/docs/appeals/10/MDRRU007dfr.pdf</t>
  </si>
  <si>
    <t>42 642</t>
  </si>
  <si>
    <t>http://www.ifrc.org/docs/appeals/11/MDR46001fr.pdf</t>
  </si>
  <si>
    <t>DREF operation n° MDR46001</t>
  </si>
  <si>
    <t>Dengue Outbreak</t>
  </si>
  <si>
    <t>Peru and Bolivia</t>
  </si>
  <si>
    <t>Urban Violence</t>
  </si>
  <si>
    <t>http://www.ifrc.org/docs/appeals/11/MDRBR006fr.pdf</t>
  </si>
  <si>
    <t>DREF operation n° MDRBR006</t>
  </si>
  <si>
    <t xml:space="preserve">Brazil </t>
  </si>
  <si>
    <t>http://www.ifrc.org/docs/appeals/11/MDRUG020dfr.pdf</t>
  </si>
  <si>
    <t>DREF operation n° MDRUG020</t>
  </si>
  <si>
    <t>Political disturbances</t>
  </si>
  <si>
    <t>DREF operation n° MDRMM004</t>
  </si>
  <si>
    <t>DREF operation n° MDRUG021</t>
  </si>
  <si>
    <t>Ebola Hemorrhagic fever</t>
  </si>
  <si>
    <t>DREF operation n° MDRPY009</t>
  </si>
  <si>
    <t xml:space="preserve">Paraguay </t>
  </si>
  <si>
    <t>DREF operation n° MDRMV001</t>
  </si>
  <si>
    <t>http://www.ifrc.org/docs/appeals/10/MDRZA004dfr.pdf</t>
  </si>
  <si>
    <t>N/a</t>
  </si>
  <si>
    <t>DREF operation n° MDRZA004</t>
  </si>
  <si>
    <t>Kyrgyzstan</t>
  </si>
  <si>
    <t>Nicaragua</t>
  </si>
  <si>
    <t>Moldova</t>
  </si>
  <si>
    <t>http://www.ifrc.org/docs/appeals/10/MDRMR003dfr.pdf</t>
  </si>
  <si>
    <t>DREF operation n° MDRMR003</t>
  </si>
  <si>
    <t>Fires</t>
  </si>
  <si>
    <t>http://www.ifrc.org/docs/appeals/11/MDRKE015dfr.pdf</t>
  </si>
  <si>
    <t>DREF operation n° MDRKE015</t>
  </si>
  <si>
    <t>http://www.ifrc.org/docs/appeals/10/MDRKG005dfr.pdf</t>
  </si>
  <si>
    <t>DREF operation n° MDRKG005</t>
  </si>
  <si>
    <t>Mudslides</t>
  </si>
  <si>
    <t>http://www.ifrc.org/docs/appeals/rpts10/MDRNI002dfr.pdf</t>
  </si>
  <si>
    <t>DREF operation n° MDRNI002</t>
  </si>
  <si>
    <t>http://www.ifrc.org/docs/appeals/10/MDRGH002fr.pdf</t>
  </si>
  <si>
    <t>DREF operation n° MDRGH002</t>
  </si>
  <si>
    <t>http://www.ifrc.org/docs/appeals/10/MDRNA005fr.pdf</t>
  </si>
  <si>
    <t>http://www.ifrc.org/docs/appeals/10/MDRMD003dfr.pdf</t>
  </si>
  <si>
    <t>DREF operation n° MDRMD003</t>
  </si>
  <si>
    <t>http://www.ifrc.org/docs/appeals/10/MDRMZ006fr.pdf</t>
  </si>
  <si>
    <t>DREF operation n° MDRMZ006</t>
  </si>
  <si>
    <t>http://www.ifrc.org/docs/appeals/10/MDRUA005dfr.pdf</t>
  </si>
  <si>
    <t>DREF OPERATION NO. MDRUA005</t>
  </si>
  <si>
    <t>Emergency appeal n° MDRID001</t>
  </si>
  <si>
    <t>Population Displaced from Iraq</t>
  </si>
  <si>
    <t>Emergency appeal n°MDR81002</t>
  </si>
  <si>
    <t>http://www.ifrc.org/docs/appeals/07/MDR81002efr.pdf</t>
  </si>
  <si>
    <t>Emergency appeal n° MDRHT005</t>
  </si>
  <si>
    <t>http://www.ifrc.org/docs/appeals/08/MDRHT005efr.pdf</t>
  </si>
  <si>
    <t>DREF operation n° MDRTN003</t>
  </si>
  <si>
    <t>http://www.ifrc.org/docs/appeals/09/MDRTN003dfr.pdf</t>
  </si>
  <si>
    <t>DREF operation n° MDRLK001</t>
  </si>
  <si>
    <t>http://www.ifrc.org/docs/appeals/09/MDRLK001FR.pdf</t>
  </si>
  <si>
    <t xml:space="preserve">Zimbabwe </t>
  </si>
  <si>
    <t>Emergency Appeal No. MDRZW004</t>
  </si>
  <si>
    <t>http://www.ifrc.org/docs/appeals/08/MDRZW004fr.pdf</t>
  </si>
  <si>
    <t>Measles in the Chadian Refugees' camp at Langui</t>
  </si>
  <si>
    <t>DREF operation n° MDRCM008</t>
  </si>
  <si>
    <t>http://www.ifrc.org/docs/appeals/10/MDRCM008dfr.pdf</t>
  </si>
  <si>
    <t>Emergency appeal n° MDRCF006</t>
  </si>
  <si>
    <t>http://www.ifrc.org/docs/appeals/10/MDRCF006eafr.pdf</t>
  </si>
  <si>
    <t>Africa (14 countries)</t>
  </si>
  <si>
    <t>Emergency appeal n° MDR61004</t>
  </si>
  <si>
    <t>http://www.ifrc.org/docs/appeals/09/MDR61004-64005-63002-finrep.pdf</t>
  </si>
  <si>
    <t>Cyclone Aila</t>
  </si>
  <si>
    <t>Emergency appeal n° MDRBD004</t>
  </si>
  <si>
    <t>http://www.ifrc.org/docs/appeals/09/MDRBD004fr.pdf</t>
  </si>
  <si>
    <t>DREF operation n° MDR61006</t>
  </si>
  <si>
    <t>http://www.ifrc.org/docs/appeals/10/MDR61006dfr.pdf</t>
  </si>
  <si>
    <t>Mudslides and floods</t>
  </si>
  <si>
    <t>Emergency appeal n° MDRTJ005</t>
  </si>
  <si>
    <t>http://www.ifrc.org/docs/appeals/10/MDRTJ005EAfr.pdf</t>
  </si>
  <si>
    <t>Emergency Appeal n° MDRPE003</t>
  </si>
  <si>
    <t>http://www.ifrc.org/docs/appeals/07/MDRPE003fr.pdf</t>
  </si>
  <si>
    <t>http://www.ifrc.org/docs/appeals/10/MDRET008fr.pdf</t>
  </si>
  <si>
    <t>DREF operation n° MDRET008</t>
  </si>
  <si>
    <t>Election preparedness</t>
  </si>
  <si>
    <t>DREF operation n° MDRNA005</t>
  </si>
  <si>
    <t>Explosions</t>
  </si>
  <si>
    <t>Emergency appeal n° MDRTZ009</t>
  </si>
  <si>
    <t>http://www.ifrc.org/docs/appeals/09/MDRTZ009fr.pdf</t>
  </si>
  <si>
    <t>Colombia</t>
  </si>
  <si>
    <t>Emergency Appeal n° MDRCO006</t>
  </si>
  <si>
    <t>Emergency appeal n° MDRNA004</t>
  </si>
  <si>
    <t>Uganda,Rwanda and Burundi</t>
  </si>
  <si>
    <t>Emergency appeal n° MDR64004</t>
  </si>
  <si>
    <t>http://www.ifrc.org/docs/appeals/08/MDR64004fr.pdf</t>
  </si>
  <si>
    <t>Emergency appeal n° MDRUG006</t>
  </si>
  <si>
    <t>http://www.ifrc.org/docs/appeals/07/MDRUG006%20fin%20report%20rev.pdf</t>
  </si>
  <si>
    <t>Cook Islands</t>
  </si>
  <si>
    <t>Dengue outbreak</t>
  </si>
  <si>
    <t>DREF operation n° MDRCK001</t>
  </si>
  <si>
    <t>http://www.ifrc.org/docs/appeals/09/MDRCK001_IntFR.pdf</t>
  </si>
  <si>
    <t>Local storm</t>
  </si>
  <si>
    <t>DREF operation n° MDRGM005</t>
  </si>
  <si>
    <t>http://www.ifrc.org/docs/appeals/10/MDRGM005dfr.pdf</t>
  </si>
  <si>
    <t>Tropical storm Noel</t>
  </si>
  <si>
    <t>http://www.ifrc.org/docs/appeals/07/MDR49002fr.pdf</t>
  </si>
  <si>
    <t>http://www.ifrc.org/docs/appeals/08/MDRCU001fr.pdf</t>
  </si>
  <si>
    <t>http://www.ifrc.org/docs/appeals/09/MDRNA004fr.pdf</t>
  </si>
  <si>
    <t>Emergency appeal n° MDRSN002</t>
  </si>
  <si>
    <t>http://www.ifrc.org/docs/appeals/09/MDRSN002FR.pdf</t>
  </si>
  <si>
    <t>Khartoum state Floods</t>
  </si>
  <si>
    <t>Emergency appeal n° MDRSD007</t>
  </si>
  <si>
    <t>http://www.ifrc.org/docs/appeals/09/MDRSD007fr.pdf</t>
  </si>
  <si>
    <t>Preparedness for El Niño Floods</t>
  </si>
  <si>
    <t>Emergency appeal n° MDR64006</t>
  </si>
  <si>
    <t>http://www.ifrc.org/docs/appeals/09/MDR64006%20final%20report.pdf</t>
  </si>
  <si>
    <t>DREF operation n° MDRTD003</t>
  </si>
  <si>
    <t>http://www.ifrc.org/docs/appeals/10/MDRTD003dfr.pdf</t>
  </si>
  <si>
    <t>Emergency appeal n° MDRSD004</t>
  </si>
  <si>
    <t>http://www.ifrc.org/docs/appeals/07/MDRSD004%20Final%20Report.pdf</t>
  </si>
  <si>
    <t>Emergency appeal n° MDRYE002</t>
  </si>
  <si>
    <t>http://www.ifrc.org/docs/appeals/08/MDRYE002efr.pdf</t>
  </si>
  <si>
    <t>Cyclone Sidr</t>
  </si>
  <si>
    <t>Emergency appeal n° MDRBD003</t>
  </si>
  <si>
    <t>http://www.ifrc.org/docs/appeals/07/MDRBD003FR.pdf</t>
  </si>
  <si>
    <t>http://www.ifrc.org/docs/appeals/09/MDRCO006fr.pdf</t>
  </si>
  <si>
    <t>Botswana</t>
  </si>
  <si>
    <t>DREF operation n° MDRBW001</t>
  </si>
  <si>
    <t>http://www.ifrc.org/docs/appeals/09/MDRBW001final.pdf</t>
  </si>
  <si>
    <t>Emergency Appeal N° MDRMX002</t>
  </si>
  <si>
    <t>http://www.ifrc.org/docs/appeals/07/MDRMX002fr.pdf</t>
  </si>
  <si>
    <t>Emergency appeal n° MDRCU001</t>
  </si>
  <si>
    <t>Total expenditure</t>
  </si>
  <si>
    <t>balance (Expen/ben.)</t>
  </si>
  <si>
    <t>Watsan Expenditure</t>
  </si>
  <si>
    <t>Zone</t>
  </si>
  <si>
    <t>shelter</t>
  </si>
  <si>
    <t>Honduras</t>
  </si>
  <si>
    <t>DREF Operation n° MDRHN004</t>
  </si>
  <si>
    <t>http://www.ifrc.org/docs/appeals/10/MDRHN004fd.pdf</t>
  </si>
  <si>
    <t>Equatorial Guinea</t>
  </si>
  <si>
    <t>Fire in Malabo</t>
  </si>
  <si>
    <t>DREF operation n° MDRGQ001</t>
  </si>
  <si>
    <t>http://www.ifrc.org/docs/appeals/10/MDRGQ001fr.pdf</t>
  </si>
  <si>
    <t>Poliomyelitis1</t>
  </si>
  <si>
    <t>DREF operation n°MDRKG006</t>
  </si>
  <si>
    <t>http://www.ifrc.org/docs/appeals/10/MDRKG006dfr.pdf</t>
  </si>
  <si>
    <t>Cholera, Dysentery and Influenza Outbreaks</t>
  </si>
  <si>
    <t>DREF operation n° MDRPG004</t>
  </si>
  <si>
    <t>http://www.ifrc.org/docs/appeals/10/MDRPG004_DREF_FR.pdf</t>
  </si>
  <si>
    <t>Hunza landslides and floods</t>
  </si>
  <si>
    <t>DREF operation n° MDRPK004</t>
  </si>
  <si>
    <t>http://www.ifrc.org/docs/appeals/10/MDRPK004FR.pdf</t>
  </si>
  <si>
    <t>Floods and mudslides</t>
  </si>
  <si>
    <t>DREF operation n° MDRTJ010</t>
  </si>
  <si>
    <t>http://www.ifrc.org/docs/appeals/10/MDRTJ010dfr.pdf</t>
  </si>
  <si>
    <t>DREF operation n° MDRAO004</t>
  </si>
  <si>
    <t>http://www.ifrc.org/docs/appeals/09/MDRAO004fr.pdf</t>
  </si>
  <si>
    <t>DREF operation n° MDRRS003</t>
  </si>
  <si>
    <t>http://www.ifrc.org/docs/appeals/10/MDRRS003dfr.pdf</t>
  </si>
  <si>
    <t>4 not specified</t>
  </si>
  <si>
    <t>http://www.ifrc.org/docs/appeals/10/MDRUG016fr.pdf</t>
  </si>
  <si>
    <t>DREF operation n° MDRUG016</t>
  </si>
  <si>
    <t>http://www.ifrc.org/docs/appeals/10/MDRCG005dfr.pdf</t>
  </si>
  <si>
    <t>DREF operation n° MDRCG005</t>
  </si>
  <si>
    <t xml:space="preserve">Shelter </t>
  </si>
  <si>
    <t>http://www.ifrc.org/docs/appeals/10/MDRMA003dfr.pdf</t>
  </si>
  <si>
    <t>DREF operation n° MDRMA003</t>
  </si>
  <si>
    <t xml:space="preserve">Boat Accident </t>
  </si>
  <si>
    <t>DREF operation n° MDRRU012</t>
  </si>
  <si>
    <t>Guatemala</t>
  </si>
  <si>
    <t>Tropical storm agatha</t>
  </si>
  <si>
    <t>Thyphoons</t>
  </si>
  <si>
    <t>Wild Polio Outbreak</t>
  </si>
  <si>
    <t xml:space="preserve">Preliminary Final report Emergency appeal n° MDRGT002 </t>
  </si>
  <si>
    <t>Final report Emergency appeal n° MDRPH005</t>
  </si>
  <si>
    <t>Final report Emergency appeal n° MDRCG006</t>
  </si>
  <si>
    <t>Final report Emergency Appeal n° MDRPA007</t>
  </si>
  <si>
    <t>Final Report Emergency appeal n° MDRVN007</t>
  </si>
  <si>
    <t>http://www.ifrc.org/docs/appeals/09/MDRET007pfr.pdf</t>
  </si>
  <si>
    <t>Severe Food Shortages</t>
  </si>
  <si>
    <t>Turkey</t>
  </si>
  <si>
    <t>http://www.ifrc.org/docs/appeals/11/MDRTD008REA.pdf</t>
  </si>
  <si>
    <t>Revised emergency appeal n° MDRTD008</t>
  </si>
  <si>
    <t>Van Earthquake</t>
  </si>
  <si>
    <t>http://www.ifrc.org/docs/appeals/11/MDRTR002EA.pdf</t>
  </si>
  <si>
    <t>http://www.ifrc.org/docs/appeals/11/MDRET010REA.pdf</t>
  </si>
  <si>
    <t>Emergency appeal n° MDRET010</t>
  </si>
  <si>
    <t>Emergency appeal n MDRLK002</t>
  </si>
  <si>
    <t>Support for internally displaced people</t>
  </si>
  <si>
    <t>Laos</t>
  </si>
  <si>
    <t>http://www.ifrc.org/docs/Appeals/11/MDRLA002drf.pdf</t>
  </si>
  <si>
    <t>DREF operation n° MDRLA002</t>
  </si>
  <si>
    <t>http://www.ifrc.org/docs/Appeals/11/MDRRU012dfr.pdf</t>
  </si>
  <si>
    <t>http://reliefweb.int/sites/reliefweb.int/files/resources/Full_Report_3736.pdf</t>
  </si>
  <si>
    <t>http://www.ifrc.org/docs/Appeals/09/MDRPH005fr.pdf</t>
  </si>
  <si>
    <t>http://www.ifrc.org/docs/Appeals/10/MDRCG006FR.pdf</t>
  </si>
  <si>
    <t>http://reliefweb.int/sites/reliefweb.int/files/resources/MDRPA007ffr.pdf</t>
  </si>
  <si>
    <t>http://www.ifrc.org/docs/appeals/10/MDRVN007fr.pdf</t>
  </si>
  <si>
    <t>http://www.ifrc.org/docs/Appeals/11/MDRBJ008fr.pdf</t>
  </si>
  <si>
    <t>DREF operation n° MDRBJ008</t>
  </si>
  <si>
    <t>Cholera Epidemic</t>
  </si>
  <si>
    <t>http://www.ifrc.org/docs/Appeals/11/MDRTD006fr.pdf</t>
  </si>
  <si>
    <t>DREF operation n° MDRTD006</t>
  </si>
  <si>
    <t>Hand, Foot and Mouth disease</t>
  </si>
  <si>
    <t>http://www.ifrc.org/docs/Appeals/11/MDRVN008dfr.pdf</t>
  </si>
  <si>
    <t>DREF operation n° MDRVN008</t>
  </si>
  <si>
    <t>http://www.ifrc.org/docs/Appeals/11/MDRCG007FR.pdf</t>
  </si>
  <si>
    <t>DREF operation n° MDRCG007</t>
  </si>
  <si>
    <t>Chikungunya outbreak</t>
  </si>
  <si>
    <t>http://reliefweb.int/sites/reliefweb.int/files/resources/Full_Report_3706.pdf</t>
  </si>
  <si>
    <t>DREF operation n° MDRNE008</t>
  </si>
  <si>
    <t xml:space="preserve">Population movement </t>
  </si>
  <si>
    <t>http://www.ifrc.org/docs/Appeals/11/MDRNE007DFR.pdf</t>
  </si>
  <si>
    <t>DREF operation n° MDRNE007</t>
  </si>
  <si>
    <t>http://www.ifrc.org/docs/Appeals/11/MDRNG010dfr.pdf</t>
  </si>
  <si>
    <t>DREF operation n° MDRNG010</t>
  </si>
  <si>
    <t>Flash floods</t>
  </si>
  <si>
    <t>DREF operation n° MDREG009</t>
  </si>
  <si>
    <t>http://www.ifrc.org/docs/appeals/10/MDREG009dfr.pdf</t>
  </si>
  <si>
    <t>Cape Verde</t>
  </si>
  <si>
    <t>http://www.ifrc.org/docs/appeals/10/MDRCV001dfr.pdf</t>
  </si>
  <si>
    <t>DREF operation n° MDRCV001</t>
  </si>
  <si>
    <t>Dengue Fever</t>
  </si>
  <si>
    <t>http://www.ifrc.org/docs/appeals/10/MDRCK002_DREF_FR.pdf</t>
  </si>
  <si>
    <t>DREF operation n° MDRCK002</t>
  </si>
  <si>
    <t xml:space="preserve">Tropical Cyclones </t>
  </si>
  <si>
    <t>http://www.ifrc.org/docs/appeals/10/MDRBJ006dfr.pdf</t>
  </si>
  <si>
    <t>DREF operation n° MDRBJ006</t>
  </si>
  <si>
    <t>http://www.ifrc.org/docs/appeals/10/MDRPK005_DREF_FR.pdf</t>
  </si>
  <si>
    <t>DREF operation n° MDRPK005</t>
  </si>
  <si>
    <t>Cyclone PHET and floods</t>
  </si>
  <si>
    <t xml:space="preserve">Mongolia </t>
  </si>
  <si>
    <t>Kazakhstan</t>
  </si>
  <si>
    <t xml:space="preserve">Sudan </t>
  </si>
  <si>
    <t xml:space="preserve">Burundi </t>
  </si>
  <si>
    <t>http://www.ifrc.org/docs/Appeals/11/MDRBI007dfr.pdf</t>
  </si>
  <si>
    <t>DREF operation n° MDRBI007</t>
  </si>
  <si>
    <t>http://www.ifrc.org/docs/Appeals/11/MDRUG023dfr.pdf</t>
  </si>
  <si>
    <t>DREF operation n° MDRUG023</t>
  </si>
  <si>
    <t>Flood and landslides</t>
  </si>
  <si>
    <t>http://www.ifrc.org/docs/Appeals/11/MDRUG022dfr.pdf</t>
  </si>
  <si>
    <t>DREF operation n° MDRUG022</t>
  </si>
  <si>
    <t>Hepatitis E Epidemic Karamoja</t>
  </si>
  <si>
    <t>St Vincent and Grenadines</t>
  </si>
  <si>
    <t>http://www.ifrc.org/docs/Appeals/11/MDRGH004dfr.pdf</t>
  </si>
  <si>
    <t>DREF operation n° MDRGH004</t>
  </si>
  <si>
    <t>Cholera Outberak</t>
  </si>
  <si>
    <t>http://www.ifrc.org/docs/Appeals/11/MDRNG011dfr.pdf</t>
  </si>
  <si>
    <t>DREF operation MDRNG011</t>
  </si>
  <si>
    <t xml:space="preserve">Measles in Pointe Noire </t>
  </si>
  <si>
    <t>http://www.ifrc.org/docs/Appeals/11/MDRCG008dfr.pdf</t>
  </si>
  <si>
    <t>DREF operation n° MDRCG008</t>
  </si>
  <si>
    <t>http://www.ifrc.org/docs/Appeals/11/MDRCF008dfr.pdf</t>
  </si>
  <si>
    <t>Violent Winds in Bangui</t>
  </si>
  <si>
    <t>DREF operation n° MDRCF008</t>
  </si>
  <si>
    <t>http://www.ifrc.org/docs/appeals/11/MDRNG009dfr.pdf</t>
  </si>
  <si>
    <t>DREF operation n° MDRNG009</t>
  </si>
  <si>
    <t>Civil Unrest</t>
  </si>
  <si>
    <t>DREF operation n° MDRVC001</t>
  </si>
  <si>
    <t>DREF operation n° MDRRU010</t>
  </si>
  <si>
    <t>http://reliefweb.int/sites/reliefweb.int/files/resources/Full_Report_3252.pdf</t>
  </si>
  <si>
    <t>http://www.ifrc.org/docs/appeals/11/MDRKE018EA.pdf</t>
  </si>
  <si>
    <t>Emergency appeal n° MDRKE018</t>
  </si>
  <si>
    <t>http://www.ifrc.org/docs/appeals/11/MDRVN009ea.pdf</t>
  </si>
  <si>
    <t>Mekong Delta floods</t>
  </si>
  <si>
    <t>El Salvador</t>
  </si>
  <si>
    <t>http://www.ifrc.org/docs/appeals/11/MDRSV004ea.pdf</t>
  </si>
  <si>
    <t>Emergency appeal n° MDRSV004</t>
  </si>
  <si>
    <t>http://www.ifrc.org/docs/appeals/11/MDRET011ea.pdf</t>
  </si>
  <si>
    <t>Emergency appeal n° MDRET011</t>
  </si>
  <si>
    <t>http://www.ifrc.org/docs/appeals/11/MDRGT003ea.pdf</t>
  </si>
  <si>
    <t>Somalia</t>
  </si>
  <si>
    <t>http://www.ifrc.org/docs/appeals/11/MDRSO001EA.pdf</t>
  </si>
  <si>
    <t>Emergency appeal n° MDRSO001</t>
  </si>
  <si>
    <t>Emergency appeal n° MDRGT003</t>
  </si>
  <si>
    <t>http://www.ifrc.org/docs/appeals/11/MDRKP003EA.pdf</t>
  </si>
  <si>
    <t>Democratic People’s Republic of Korea</t>
  </si>
  <si>
    <t>Emergency appeal n° MDRKP003</t>
  </si>
  <si>
    <t>South Sudan</t>
  </si>
  <si>
    <t>Complex emergency</t>
  </si>
  <si>
    <t>Emergency appeal n° MDRSD011</t>
  </si>
  <si>
    <t>http://www.ifrc.org/docs/appeals/11/MDRNA006ea.pdf</t>
  </si>
  <si>
    <t>Emergency appeal n° MDRNA006</t>
  </si>
  <si>
    <t>http://www.ifrc.org/docs/appeals/11/MDRCI003ea.pdf</t>
  </si>
  <si>
    <t>Post electoral civil unrest</t>
  </si>
  <si>
    <t>Appeal n° MDRCI003</t>
  </si>
  <si>
    <t>cholera Outbreak</t>
  </si>
  <si>
    <t>http://www.ifrc.org/docs/appeals/11/MDRCM011ea.pdf</t>
  </si>
  <si>
    <t>Emergency appeal n° MDRCM011</t>
  </si>
  <si>
    <t>http://www.ifrc.org/docs/appeals/10/MDRMN003FR.pdf</t>
  </si>
  <si>
    <t>DREF operation n° MDRMN003</t>
  </si>
  <si>
    <t>Cold wave</t>
  </si>
  <si>
    <t>http://www.ifrc.org/docs/appeals/10/MDRKZ003fr.pdf</t>
  </si>
  <si>
    <t>DREF operation n° MDRKZ003</t>
  </si>
  <si>
    <t>http://www.ifrc.org/docs/appeals/10/MDRRU005dfr.pdf</t>
  </si>
  <si>
    <t>DREF operation n° MDRRU005</t>
  </si>
  <si>
    <t>http://www.ifrc.org/docs/appeals/10/MDRSD008final.pdf</t>
  </si>
  <si>
    <t>DREF operation n° MDRSD008</t>
  </si>
  <si>
    <t>Preparedness for Civil Unrest</t>
  </si>
  <si>
    <t>http://www.ifrc.org/docs/appeals/09/MDRMW005final.pdf</t>
  </si>
  <si>
    <t>DREF operation n° MDRMW005</t>
  </si>
  <si>
    <t>http://www.ifrc.org/docs/appeals/10/MDRTJ007fr.pdf</t>
  </si>
  <si>
    <t>DREF operation n° MDRTJ007</t>
  </si>
  <si>
    <t>Albania</t>
  </si>
  <si>
    <t>http://www.ifrc.org/docs/appeals/10/MDRAL002dfr.pdf</t>
  </si>
  <si>
    <t>DREF operation n° MDRAL002</t>
  </si>
  <si>
    <t>http://www.ifrc.org/docs/appeals/09/MDRCD008fr.pdf</t>
  </si>
  <si>
    <t>DREF operation n° MDRCD008</t>
  </si>
  <si>
    <t>Cholera outbreak in Katanga Province</t>
  </si>
  <si>
    <t>Argentine</t>
  </si>
  <si>
    <t>total</t>
  </si>
  <si>
    <t>Watsan balance</t>
  </si>
  <si>
    <t>Food insecurity</t>
  </si>
  <si>
    <t>DREF operation n° MDRMG005</t>
  </si>
  <si>
    <t>http://www.ifrc.org/docs/appeals/10/MDRMG005fr.pdf</t>
  </si>
  <si>
    <t>Cyclone Hubert</t>
  </si>
  <si>
    <t>DREF operation n° MDRMG006</t>
  </si>
  <si>
    <t>http://www.ifrc.org/docs/appeals/10/MDRMG006fr.pdf</t>
  </si>
  <si>
    <t>DREF operation n° MDRMZ007</t>
  </si>
  <si>
    <t>http://www.ifrc.org/docs/appeals/10/MDRMZ007fr.pdf</t>
  </si>
  <si>
    <t>http://www.ifrc.org/docs/appeals/10/MDRZM007fr.pdf</t>
  </si>
  <si>
    <t>Rubavu Landslide</t>
  </si>
  <si>
    <t>DREF operation n° MDRRW006</t>
  </si>
  <si>
    <t>http://www.ifrc.org/docs/appeals/10/MDRRW006fr.pdf</t>
  </si>
  <si>
    <t>DREF operation n° MDRRU004</t>
  </si>
  <si>
    <t>http://www.ifrc.org/docs/appeals/09/MDRRU004dfr.pdf</t>
  </si>
  <si>
    <t>DREF operation n° MDRTR001</t>
  </si>
  <si>
    <t>http://www.ifrc.org/docs/appeals/09/MDRTR001dfr.pdf</t>
  </si>
  <si>
    <t>DREF operation n° MDRKE010</t>
  </si>
  <si>
    <t>Floods 2009</t>
  </si>
  <si>
    <t xml:space="preserve">Kenya </t>
  </si>
  <si>
    <t>http://www.ifrc.org/docs/appeals/09/MDRKE010fr.pdf</t>
  </si>
  <si>
    <t>DREF operation n° MDRMN002</t>
  </si>
  <si>
    <t>http://www.ifrc.org/docs/appeals/09/MDRMN002FR.pdf</t>
  </si>
  <si>
    <t>DREF operation n° MDRIN004</t>
  </si>
  <si>
    <t>http://www.ifrc.org/docs/appeals/09/MDRIN004%20FR.pdf</t>
  </si>
  <si>
    <t>DREF operation n° MDRMX004</t>
  </si>
  <si>
    <t>http://www.ifrc.org/docs/appeals/rpts09/MDRMX004fr.pdf</t>
  </si>
  <si>
    <t>DREF operation n° MDRET006</t>
  </si>
  <si>
    <t>Acute watery diarrhoea</t>
  </si>
  <si>
    <t>http://www.ifrc.org/docs/appeals/09/MDRET006fr.pdf</t>
  </si>
  <si>
    <t>http://www.ifrc.org/docs/appeals/rpts09/MDRHN002fr.pdf</t>
  </si>
  <si>
    <t>DREF operation n° MDRHN002</t>
  </si>
  <si>
    <t>Czech Republic</t>
  </si>
  <si>
    <t>DREF operation n° MDRCZ001</t>
  </si>
  <si>
    <t>http://www.ifrc.org/docs/appeals/09/MDRCZ001dfr.pdf</t>
  </si>
  <si>
    <t>DREF operation n° MDRAR006</t>
  </si>
  <si>
    <t>http://www.ifrc.org/docs/appeals/rpts09/MDRAR006fr.pdf</t>
  </si>
  <si>
    <t>Floods and Landslides in Eastern Uganda</t>
  </si>
  <si>
    <t>DREF operation n° MDRGU015</t>
  </si>
  <si>
    <t>http://www.ifrc.org/docs/appeals/10/MDRUG015fr.pdf</t>
  </si>
  <si>
    <t>DREF operation n° MDRME002</t>
  </si>
  <si>
    <t>http://www.ifrc.org/docs/appeals/10/MDRME002fdr.pdf</t>
  </si>
  <si>
    <t>DREF operation n° MDRKE011</t>
  </si>
  <si>
    <t>http://www.ifrc.org/docs/appeals/09/MDRKE011final.pdf</t>
  </si>
  <si>
    <t>http://www.ifrc.org/docs/appeals/rpts10/MDR49005fr.pdf</t>
  </si>
  <si>
    <t>Europe</t>
  </si>
  <si>
    <t>Asia Pacific</t>
  </si>
  <si>
    <t>DREF operation n° MDR49005</t>
  </si>
  <si>
    <t>1 in food and nutrition</t>
  </si>
  <si>
    <t>http://www.ifrc.org/docs/appeals/rpts09/MDRPA005fr.pdf</t>
  </si>
  <si>
    <t>DREF operation n° MDRPA005</t>
  </si>
  <si>
    <t>http://www.ifrc.org/docs/appeals/09/MDRGH001fr.pdf</t>
  </si>
  <si>
    <t>DREF operation n° MDRGH001</t>
  </si>
  <si>
    <t>http://www.ifrc.org/docs/appeals/rpts10/MDRHT006fr.pdf</t>
  </si>
  <si>
    <t>DREF operation n° MDRHT006</t>
  </si>
  <si>
    <t>http://www.ifrc.org/docs/appeals/rpts09/MDRHT007fr.pdf</t>
  </si>
  <si>
    <t>DREF operation n° MDRHT007</t>
  </si>
  <si>
    <t>http://www.ifrc.org/docs/appeals/09/MDRRS002dfr.pdf</t>
  </si>
  <si>
    <t>DREF operation n° MDRRS002</t>
  </si>
  <si>
    <t>http://www.ifrc.org/docs/appeals/09/MDRZM005fr.pdf</t>
  </si>
  <si>
    <t>DREF operation n° MDRZM005</t>
  </si>
  <si>
    <t>http://www.ifrc.org/docs/appeals/09/MDRZM006fr.pdf</t>
  </si>
  <si>
    <t>DREF operation n° DRZM006</t>
  </si>
  <si>
    <t>Middle East and North Africa</t>
  </si>
  <si>
    <t>http://www.ifrc.org/docs/appeals/09/mdrao003final.pdf</t>
  </si>
  <si>
    <t>DREF operation n° MDRAO003</t>
  </si>
  <si>
    <t>Preliminary final report Emergency appeal n° MDRET007</t>
  </si>
  <si>
    <t>Revised Emergency Appeal n° MDRTR002</t>
  </si>
  <si>
    <t>http://www.ifrc.org/docs/appeals/10/MDRLK002EA.pdf</t>
  </si>
  <si>
    <t>Middle East and Notth Africa</t>
  </si>
  <si>
    <t>Internally displaced people</t>
  </si>
  <si>
    <t>Americas</t>
  </si>
  <si>
    <t>2 not specified</t>
  </si>
  <si>
    <t>1 not specified</t>
  </si>
  <si>
    <t>08/20121</t>
  </si>
  <si>
    <t>http://www.ifrc.org/docs/appeals/11/MDRSD011PEA.pdf</t>
  </si>
  <si>
    <t>Asia pacific</t>
  </si>
  <si>
    <t>37 training</t>
  </si>
  <si>
    <t>http://www.ifrc.org/docs/appeals/10/MDR61007rea2.pdf</t>
  </si>
  <si>
    <t xml:space="preserve">Emergency appeal n° MDR61007 </t>
  </si>
  <si>
    <t>Chile</t>
  </si>
  <si>
    <t xml:space="preserve">Emergency appeal n° MDRCL006 </t>
  </si>
  <si>
    <t>http://www.ifrc.org/docs/appeals/10/MDRCL006RevA2.pdf</t>
  </si>
  <si>
    <t>Ghana/West Africa</t>
  </si>
  <si>
    <t>Africa</t>
  </si>
  <si>
    <t>http://www.ifrc.org/en/publications-and-reports/appeals/?ac=MDRVC001&amp;at=244&amp;c=&amp;co=&amp;dt=1&amp;f=2012&amp;re=&amp;t=2012&amp;ti=&amp;zo=</t>
  </si>
  <si>
    <t xml:space="preserve">DREF operation n° MDRBF011 </t>
  </si>
  <si>
    <t>http://www.ifrc.org/docs/appeals/11/MDRBF011.pdf</t>
  </si>
  <si>
    <t>http://www.ifrc.org/docs/appeals/11/MDRBS001do.pdf</t>
  </si>
  <si>
    <t xml:space="preserve">DREF operation n° MDRBS001 </t>
  </si>
  <si>
    <t>Hurricane Irene</t>
  </si>
  <si>
    <t xml:space="preserve">DREF operation n° MDRCD009 </t>
  </si>
  <si>
    <t>Emergency appeal n° MDR82001</t>
  </si>
  <si>
    <t>http://www.ifrc.org/docs/Appeals/11/MDR82001RevEA.pdf</t>
  </si>
  <si>
    <t>http://www.ifrc.org/docs/appeals/11/MDRCD00901.pdf</t>
  </si>
  <si>
    <t>Plane Crash</t>
  </si>
  <si>
    <t>DREF operation n° MDRCD010</t>
  </si>
  <si>
    <t>http://www.ifrc.org/docs/appeals/11/MDRCD010.pdf</t>
  </si>
  <si>
    <t>Elections</t>
  </si>
  <si>
    <t>http://www.ifrc.org/docs/Appeals/11/MDRCF00901.pdf</t>
  </si>
  <si>
    <t>DREF operation n° MDRCF009</t>
  </si>
  <si>
    <t>Cholera Oubreak</t>
  </si>
  <si>
    <t>http://www.ifrc.org/docs/appeals/11/MDRCF010.pdf</t>
  </si>
  <si>
    <t>Floods in Bangui and Paoua</t>
  </si>
  <si>
    <t>DREF operation n° MDRCF010</t>
  </si>
  <si>
    <t>http://www.ifrc.org/docs/appeals/11/MDRCG00901.pdf</t>
  </si>
  <si>
    <t>DREF operation n° MDRCG009</t>
  </si>
  <si>
    <t>Severe Winter</t>
  </si>
  <si>
    <t>http://www.ifrc.org/docs/appeals/11/MDRCL007du2.pdf</t>
  </si>
  <si>
    <t>DREF operation n° MDRCL007</t>
  </si>
  <si>
    <t>Polio</t>
  </si>
  <si>
    <t>DREF operation n° MDRCM012</t>
  </si>
  <si>
    <t>http://www.ifrc.org/docs/appeals/11/MDRCM012.pdf</t>
  </si>
  <si>
    <t>Domicana</t>
  </si>
  <si>
    <t>DREF operation n° MDRCO009</t>
  </si>
  <si>
    <t>http://www.ifrc.org/docs/appeals/11/MDRCO009do.pdf</t>
  </si>
  <si>
    <t>http://www.ifrc.org/docs/appeals/11/MDRCR008do.pdf</t>
  </si>
  <si>
    <t>Tropical Depression 12-E</t>
  </si>
  <si>
    <t>DREF operation n° MDRCR008</t>
  </si>
  <si>
    <t>DREF operation n° MDRDM001</t>
  </si>
  <si>
    <t>Tropical Storm Ophelia</t>
  </si>
  <si>
    <t>http://www.ifrc.org/docs/appeals/11/MDRDM001do.pdf</t>
  </si>
  <si>
    <t xml:space="preserve">India </t>
  </si>
  <si>
    <t>Sikkim Earthquake</t>
  </si>
  <si>
    <t>DREF operation n° MDRDO003</t>
  </si>
  <si>
    <t>http://www.ifrc.org/docs/appeals/11/MDRDO003do.pdf</t>
  </si>
  <si>
    <t>DREF operation n° MDRGH005</t>
  </si>
  <si>
    <t>http://www.ifrc.org/docs/appeals/11/MDRGH005.pdf</t>
  </si>
  <si>
    <t>http://www.ifrc.org/docs/appeals/11/MDRGN00401.pdf</t>
  </si>
  <si>
    <t>DREF operation n° MDRGN004</t>
  </si>
  <si>
    <t>http://www.ifrc.org/docs/appeals/11/MDRHN005du1.pdf</t>
  </si>
  <si>
    <t>DREF operation n° MDRHN005</t>
  </si>
  <si>
    <t>http://www.ifrc.org/docs/appeals/11/MDRIN007dref3.pdf</t>
  </si>
  <si>
    <t>DREF operation n° MDRIN007</t>
  </si>
  <si>
    <t>http://www.ifrc.org/docs/appeals/11/MDRIN008dref3.pdf</t>
  </si>
  <si>
    <t>DREF operation n° MDRIN008</t>
  </si>
  <si>
    <t>http://www.ifrc.org/docs/appeals/11/MDRIQ004do.pdf</t>
  </si>
  <si>
    <t>DREF operation n° MDRIQ004</t>
  </si>
  <si>
    <t>http://www.ifrc.org/docs/appeals/11/MDRKE019.pdf</t>
  </si>
  <si>
    <t>DREF operation n° MDRKE019</t>
  </si>
  <si>
    <t>http://www.ifrc.org/docs/appeals/11/MDRKE020.pdf</t>
  </si>
  <si>
    <t>DREF operation n° MDRKE020</t>
  </si>
  <si>
    <t>http://www.ifrc.org/docs/appeals/11/MDRKH003drefou1.pdf</t>
  </si>
  <si>
    <t>DREF operation n° MDRKH003</t>
  </si>
  <si>
    <t>Shipwreck</t>
  </si>
  <si>
    <t>DREF operation n° MDRKM003</t>
  </si>
  <si>
    <t>http://www.ifrc.org/docs/appeals/11/MDRKM003dfr.pdf</t>
  </si>
  <si>
    <t>Floods and landslides</t>
  </si>
  <si>
    <t>Revised emergency appeal n° MDRLK003</t>
  </si>
  <si>
    <t>http://www.ifrc.org/docs/appeals/11/MDRML006.pdf</t>
  </si>
  <si>
    <t>DREF operation n° MDRML006</t>
  </si>
  <si>
    <t>DREF operation n° MDRML007</t>
  </si>
  <si>
    <t>http://www.ifrc.org/docs/appeals/11/MDRML007.pdf</t>
  </si>
  <si>
    <t>Magway Floods</t>
  </si>
  <si>
    <t>DREF operation n° MDRMM005</t>
  </si>
  <si>
    <t>http://www.ifrc.org/docs/appeals/11/MDRMM005dref.pdf</t>
  </si>
  <si>
    <t>Emergency appeal n° MDRMR004</t>
  </si>
  <si>
    <t>http://www.ifrc.org/docs/appeals/11/MDRMR004pea.pdf</t>
  </si>
  <si>
    <t>DREF operation n° MDRNE009</t>
  </si>
  <si>
    <t>http://www.ifrc.org/docs/appeals/11/MDRNE009.pdf</t>
  </si>
  <si>
    <t>Emergency appeal n° MDRNE010</t>
  </si>
  <si>
    <t>http://www.ifrc.org/docs/appeals/11/MDRNE010ea.pdf</t>
  </si>
  <si>
    <t>DREF operation n° MDRNI004</t>
  </si>
  <si>
    <t>http://www.ifrc.org/docs/appeals/11/MDRNI004do.pdf</t>
  </si>
  <si>
    <t>DREF operation n° MDRNP005</t>
  </si>
  <si>
    <t>http://www.ifrc.org/docs/appeals/11/MDRNP005dref.pdf</t>
  </si>
  <si>
    <t xml:space="preserve">Peru </t>
  </si>
  <si>
    <t>Moonson Floods</t>
  </si>
  <si>
    <t>http://www.ifrc.org/en/publications-and-reports/appeals/?ac=MDRHT008&amp;at=0&amp;c=&amp;co=&amp;dt=1&amp;f=&amp;re=&amp;t=&amp;ti=&amp;zo=</t>
  </si>
  <si>
    <t>http://www.ifrc.org/docs/appeals/10/MDRKE012fr.pdf</t>
  </si>
  <si>
    <t>Final report Emergency Appeal MDRKE012</t>
  </si>
  <si>
    <t>Final report Emergency appeal n° MDRKG007</t>
  </si>
  <si>
    <t>http://www.ifrc.org/docs/appeals/10/MDRKG007EAfr.pdf</t>
  </si>
  <si>
    <t>http://www.ifrc.org/docs/appeals/10/MDRME003dfr.pdf</t>
  </si>
  <si>
    <t>DREF operation MDRME003</t>
  </si>
  <si>
    <t>http://www.ifrc.org/docs/appeals/10/MDRMN004FR.pdf</t>
  </si>
  <si>
    <t>Final Report Emergency appeal n° MDRMN004</t>
  </si>
  <si>
    <t>DREF operation n° MDRPE004</t>
  </si>
  <si>
    <t>Emergency Appeal MDRPK006</t>
  </si>
  <si>
    <t>http://www.ifrc.org/docs/appeals/rpts10/MDRPE004fr.pdf</t>
  </si>
  <si>
    <t>Syria</t>
  </si>
  <si>
    <t>Population Displaced From Iraq</t>
  </si>
  <si>
    <t>Food Crisis</t>
  </si>
  <si>
    <t>Thailand</t>
  </si>
  <si>
    <t>Bomb Blast</t>
  </si>
  <si>
    <t>Uzbekistan</t>
  </si>
  <si>
    <t>Venezuela</t>
  </si>
  <si>
    <t>http://www.ifrc.org/docs/appeals/10/MDRTD004fr.pdf</t>
  </si>
  <si>
    <t>Emergency appeal n°MDRTD004</t>
  </si>
  <si>
    <t>http://www.ifrc.org/docs/appeals/10/MDRTH001fr.pdf</t>
  </si>
  <si>
    <t>DREF operation n° MDRTH001</t>
  </si>
  <si>
    <t>DREF operation n° MDRUG017</t>
  </si>
  <si>
    <t>http://www.ifrc.org/docs/appeals/10/MDRUG017fr.pdf</t>
  </si>
  <si>
    <t>http://www.ifrc.org/docs/appeals/10/MDRUZ002EAfr.pdf</t>
  </si>
  <si>
    <t>Final report Emergency appeal n° MDRUZ002</t>
  </si>
  <si>
    <t>http://www.ifrc.org/docs/appeals/10/MDRVE001eu3.pdf</t>
  </si>
  <si>
    <t>Emergency appeal n° MDRVE001</t>
  </si>
  <si>
    <t>Typhoon Nesat</t>
  </si>
  <si>
    <t>Emergency appeal n° MDRPH007</t>
  </si>
  <si>
    <t>http://www.ifrc.org/docs/appeals/11/MDRPH007REA.pdf</t>
  </si>
  <si>
    <t>Floods 2011</t>
  </si>
  <si>
    <t>Emergency appeal n° MDRPK007</t>
  </si>
  <si>
    <t>http://www.ifrc.org/docs/appeals/11/MDRPK007EA.pdf</t>
  </si>
  <si>
    <t>Floods in Thies</t>
  </si>
  <si>
    <t>DREF operation n° MDRSN005</t>
  </si>
  <si>
    <t>http://www.ifrc.org/docs/appeals/11/MDRSN005.pdf</t>
  </si>
  <si>
    <t>DREF Operation n° MDRSN006</t>
  </si>
  <si>
    <t>http://www.ifrc.org/docs/appeals/11/MDRSN006.pdf</t>
  </si>
  <si>
    <t>DREF operation n° MDRSN007</t>
  </si>
  <si>
    <t>No health data</t>
  </si>
  <si>
    <t>http://www.ifrc.org/docs/appeals/11/MDRSN007.pdf</t>
  </si>
  <si>
    <t>DREF operation n° MDRTD009</t>
  </si>
  <si>
    <t>http://www.ifrc.org/docs/appeals/11/MDRTD009.pdf</t>
  </si>
  <si>
    <t>Drought and Food insecurity</t>
  </si>
  <si>
    <t>Emergency appeal n° MDRTZ012</t>
  </si>
  <si>
    <t>http://www.ifrc.org/docs/appeals/11/MDRTZ012EA.pdf</t>
  </si>
  <si>
    <t>DREF operation n° MDRTZ013</t>
  </si>
  <si>
    <t>http://www.ifrc.org/docs/appeals/11/MDRTZ013.pdf</t>
  </si>
  <si>
    <t>021/2012</t>
  </si>
  <si>
    <t>DREF operation n° MDRUG024</t>
  </si>
  <si>
    <t>http://www.ifrc.org/docs/appeals/11/MDRUG024.pdf</t>
  </si>
  <si>
    <t>DREF operation n° MDRZW005</t>
  </si>
  <si>
    <t>http://www.ifrc.org/docs/appeals/11/MDRZW005DREF.pdf</t>
  </si>
  <si>
    <t xml:space="preserve">Earthquake </t>
  </si>
  <si>
    <t>Emergency appeal n° MDRCN003 Operations Update n° 32</t>
  </si>
  <si>
    <t>http://www.ifrc.org/docs/appeals/08/MDRCN00332.pdf</t>
  </si>
  <si>
    <t>http://www.ifrc.org/docs/appeals/10/MDRPK006_1YR.pdf</t>
  </si>
  <si>
    <t>http://www.ifrc.org/docs/appeals/08/MDRGE001dfr.pdf</t>
  </si>
  <si>
    <t>Reinforcing Response Capacity</t>
  </si>
  <si>
    <t>DREF operation n° MDRGE001</t>
  </si>
  <si>
    <t xml:space="preserve">Pakistan </t>
  </si>
  <si>
    <t>Cyclone Yemyin/Floods</t>
  </si>
  <si>
    <t>Cholera Outbreak - Response and Preparedness</t>
  </si>
  <si>
    <t>Disaster Category</t>
  </si>
  <si>
    <t>Natural Biological</t>
  </si>
  <si>
    <t>Natural Hydrometeorologic meteorological</t>
  </si>
  <si>
    <t>Natural Hydrometeorologic hydrological</t>
  </si>
  <si>
    <t>Human related</t>
  </si>
  <si>
    <t>Natural Hydrometeorologic climatological</t>
  </si>
  <si>
    <t>Natural Geophysical</t>
  </si>
  <si>
    <t>Natural Hydrological and Biological</t>
  </si>
  <si>
    <t>Odisha Floods</t>
  </si>
  <si>
    <t>Natural Hydrometeorologic hydrological and climatological</t>
  </si>
  <si>
    <t>Natural Hydrometeorologic hydrological and meteorological</t>
  </si>
  <si>
    <t xml:space="preserve">Flood and Cholera </t>
  </si>
  <si>
    <t>Natural Hydrometeorologic and Biological</t>
  </si>
  <si>
    <t>Technological Industrial accident</t>
  </si>
  <si>
    <t>Natural Hydrometeorologic climatological and Human related</t>
  </si>
  <si>
    <t xml:space="preserve">Technological Transport accident </t>
  </si>
  <si>
    <t>Technological Miscellaneous accident</t>
  </si>
  <si>
    <t xml:space="preserve">Central Africa: Chad and Cameroon </t>
  </si>
  <si>
    <t>Floods 2007</t>
  </si>
  <si>
    <t>Cyclones</t>
  </si>
  <si>
    <t>Hostage Crisis in Beslan, North Ossetia</t>
  </si>
  <si>
    <t>Floods and Landslides</t>
  </si>
  <si>
    <t>Harsh weather in Bilma</t>
  </si>
  <si>
    <t xml:space="preserve">Technological Industrial accident </t>
  </si>
  <si>
    <t>Early Warning/Early Action for climate events</t>
  </si>
  <si>
    <t>Emergency appeal n° MDR61005</t>
  </si>
  <si>
    <t>http://www.ifrc.org/docs/appeals/09/MDR61005ea.pdf</t>
  </si>
  <si>
    <t>Paraguay</t>
  </si>
  <si>
    <t>http://www.ifrc.org/en/publications-and-reports/appeals/?ac=MDRPY010&amp;at=0&amp;c=&amp;co=&amp;dt=1&amp;f=&amp;re=&amp;t=&amp;ti=&amp;zo=</t>
  </si>
  <si>
    <t>DREF operation n° MDRPY010</t>
  </si>
  <si>
    <t>Hailstorms</t>
  </si>
  <si>
    <t>http://www.ifrc.org/en/publications-and-reports/appeals/?ac=MDRRU013&amp;at=0&amp;c=&amp;co=&amp;dt=1&amp;f=&amp;re=&amp;t=&amp;ti=&amp;zo=</t>
  </si>
  <si>
    <t>DREF operation n° MDRRU013</t>
  </si>
  <si>
    <t>http://www.ifrc.org/docs/appeals/11/MDRRU011dfr.pdf</t>
  </si>
  <si>
    <t>Forest Fire Imminent Crisis</t>
  </si>
  <si>
    <t>DREF operation n° MDRRU011</t>
  </si>
  <si>
    <t>VietNam</t>
  </si>
  <si>
    <t>DREF operation n° MDRGE003</t>
  </si>
  <si>
    <t>Meningitis and Measles</t>
  </si>
  <si>
    <t>DREF operation n° MDRBF007</t>
  </si>
  <si>
    <t>http://www.ifrc.org/docs/appeals/09/MDRBF007dfr.pdf</t>
  </si>
  <si>
    <t>http://www.ifrc.org/docs/appeals/09/MDRCM007DREF-FR.pdf</t>
  </si>
  <si>
    <t>http://www.ifrc.org/docs/appeals/09/MDRNE004dfr.pdf</t>
  </si>
  <si>
    <t>http://www.ifrc.org/docs/appeals/11/MDRSY001efr.pdf</t>
  </si>
  <si>
    <t>http://www.ifrc.org/docs/appeals/09/MDRVN006fr.pdf</t>
  </si>
  <si>
    <t>DREF operation n° MDRNE004</t>
  </si>
  <si>
    <t>Emergency appeal n° MDRSY001</t>
  </si>
  <si>
    <t>Floods and typhoons</t>
  </si>
  <si>
    <t>Final report Emergency appeal n° MDRVN006</t>
  </si>
  <si>
    <t>Exceptional Food Security Crisis</t>
  </si>
  <si>
    <t>Emergency appeal n° MDR64003</t>
  </si>
  <si>
    <t>http://www.ifrc.org/docs/appeals/08/MDR6400304.pdf</t>
  </si>
  <si>
    <t>http://www.ifrc.org/docs/appeals/08/MDRZW003_final.pdf</t>
  </si>
  <si>
    <t>]5000,10000]</t>
  </si>
  <si>
    <t>≤5000</t>
  </si>
  <si>
    <t>≤ 5000</t>
  </si>
  <si>
    <t xml:space="preserve"> Africa</t>
  </si>
  <si>
    <t>Total</t>
  </si>
  <si>
    <t>Total bene. WATSAN</t>
  </si>
  <si>
    <t>Total exp. WATSAN</t>
  </si>
  <si>
    <t>BALANCE</t>
  </si>
  <si>
    <t>Year</t>
  </si>
  <si>
    <t>Event</t>
  </si>
  <si>
    <t>IFRC response - beneficiaries</t>
  </si>
  <si>
    <t>IFRC response - Exp/beneficiaries</t>
  </si>
  <si>
    <t>Haiti- Earthquake</t>
  </si>
  <si>
    <t xml:space="preserve">Chilie- Earthquake </t>
  </si>
  <si>
    <t>Pakistan Floods</t>
  </si>
  <si>
    <t>Type of disaster</t>
  </si>
  <si>
    <t>N.Geophysical</t>
  </si>
  <si>
    <t>N.biological</t>
  </si>
  <si>
    <t xml:space="preserve">N. hydrometeorological </t>
  </si>
  <si>
    <t>Technological</t>
  </si>
  <si>
    <t>TOTAL</t>
  </si>
  <si>
    <t>Total number of events</t>
  </si>
  <si>
    <t>Haiti and Dominican Republic</t>
  </si>
  <si>
    <t>IFRC response - Expenditure</t>
  </si>
  <si>
    <t>Bangladesh Moonson Floods</t>
  </si>
  <si>
    <t>Republic of Congo- Polio</t>
  </si>
  <si>
    <t>Horn of Africa- Food Crisis</t>
  </si>
  <si>
    <t>Burkina Faso- Measles</t>
  </si>
  <si>
    <t>Niger-meningitis</t>
  </si>
  <si>
    <t>Uganda- Yellow Fever</t>
  </si>
  <si>
    <t>Total number of affected people by year (does not include wars or conflict-related nor diseases or epidemics), EM-DAT, CRED</t>
  </si>
  <si>
    <t>Total number of killed people by year (does not include wars or conflict-related nor diseases or epidemics), EM-DAT, CRED</t>
  </si>
  <si>
    <t>total (EM-DAT)</t>
  </si>
  <si>
    <t>Affect people (all year round in the whole coutry)</t>
  </si>
  <si>
    <t xml:space="preserve">killed people </t>
  </si>
  <si>
    <t>Total targeted beneficiaries</t>
  </si>
  <si>
    <t>Q1</t>
  </si>
  <si>
    <t>Min</t>
  </si>
  <si>
    <t xml:space="preserve">Median </t>
  </si>
  <si>
    <t xml:space="preserve">Max </t>
  </si>
  <si>
    <t xml:space="preserve">Q3 </t>
  </si>
  <si>
    <t>Emergency appeal n° MDRHT008 Operations update n° 30</t>
  </si>
  <si>
    <t>yes, not specified</t>
  </si>
  <si>
    <t>http://www.ifrc.org/docs/appeals/10/MDR49007eu7.pdf</t>
  </si>
  <si>
    <t xml:space="preserve">Total </t>
  </si>
  <si>
    <t>Emergency appeal n° MDRSY002</t>
  </si>
  <si>
    <t>http://www.ifrc.org/docs/appeals/09/MDRSY002ea.pdf</t>
  </si>
  <si>
    <t>WATER beneficiaries</t>
  </si>
  <si>
    <t>SANITATION beneficiaries</t>
  </si>
  <si>
    <t>HYGIENE beneficiaries</t>
  </si>
  <si>
    <t>Total WatSan/HP beneficiaries</t>
  </si>
  <si>
    <t>DREF operation n° MDRTJ011</t>
  </si>
  <si>
    <t>http://www.ifrc.org/en/publications-and-reports/appeals/?ac=MDRTJ011&amp;at=0&amp;c=&amp;co=&amp;dt=1&amp;f=&amp;re=&amp;t=&amp;ti=&amp;zo=</t>
  </si>
  <si>
    <t>Total reports</t>
  </si>
  <si>
    <t>Total Appeals/ DREFs</t>
  </si>
  <si>
    <t>Clinical Treatments beneficiaries</t>
  </si>
  <si>
    <t>Total PSS, prev, clinical</t>
  </si>
  <si>
    <t>General disaster and epidemic data</t>
  </si>
  <si>
    <t>Global</t>
  </si>
  <si>
    <t>Percentage</t>
  </si>
  <si>
    <t>Distribution of epidemics in IFRC regions</t>
  </si>
  <si>
    <t>Volunteers trained on ECV</t>
  </si>
  <si>
    <t>Epidemic versus ECV</t>
  </si>
  <si>
    <t>Emergency Health data, 2005 - 2011</t>
  </si>
  <si>
    <t>W</t>
  </si>
  <si>
    <t>S</t>
  </si>
  <si>
    <t>]10000,50000]</t>
  </si>
  <si>
    <t>&gt;50000</t>
  </si>
  <si>
    <t>Average number of beneficiaries per appeal</t>
  </si>
  <si>
    <t>http://www.ifrc.org/docs/appeals/rpts09/MDRAR004fr.pdf</t>
  </si>
  <si>
    <t>Final Report DREF operation n° MDRAR004</t>
  </si>
  <si>
    <t xml:space="preserve">Landslide </t>
  </si>
  <si>
    <t>http://www.ifrc.org/docs/appeals/rpts10/MDR43006dfr.pdf</t>
  </si>
  <si>
    <t>DREF operation n° MDR43006</t>
  </si>
  <si>
    <t>Tropical Storm</t>
  </si>
  <si>
    <t>Tropical Storm Matthew</t>
  </si>
  <si>
    <t>http://www.ifrc.org/docs/appeals/rpts10/MDRAG002dfr.pdf</t>
  </si>
  <si>
    <t>Antigua and barbuda</t>
  </si>
  <si>
    <t>Hurricane Earl</t>
  </si>
  <si>
    <t>DREF operation n° MDRAG002</t>
  </si>
  <si>
    <t>americas</t>
  </si>
  <si>
    <t>DREF operation n° MDRAL003</t>
  </si>
  <si>
    <t>http://www.ifrc.org/docs/appeals/10/MDRAL003dfr.pdf</t>
  </si>
  <si>
    <t>SHKODRA FLOODS</t>
  </si>
  <si>
    <t>Azerbeijan</t>
  </si>
  <si>
    <t>DREF operation n° MDRAZ002</t>
  </si>
  <si>
    <t>http://www.ifrc.org/docs/appeals/10/DREF_MDRBD005_fr.pdf</t>
  </si>
  <si>
    <t>DREF operation n° MDRBD005</t>
  </si>
  <si>
    <t>http://www.ifrc.org/docs/appeals/10/MDRAZ002fnr.pdf</t>
  </si>
  <si>
    <t>Tropical storm</t>
  </si>
  <si>
    <t>http://www.ifrc.org/docs/appeals/10/MDRBD006_DREF_FR.pdf</t>
  </si>
  <si>
    <t>DREF operation n° MDRBD006</t>
  </si>
  <si>
    <t>http://www.ifrc.org/docs/appeals/10/MDRBD007drefFR.pdf</t>
  </si>
  <si>
    <t>DREF operation n°MDRBD007</t>
  </si>
  <si>
    <t>Landslides</t>
  </si>
  <si>
    <t>http://www.ifrc.org/docs/appeals/10/MDRBI005fr.pdf</t>
  </si>
  <si>
    <t>DREF operation n° MDRBI005</t>
  </si>
  <si>
    <t>Brazil</t>
  </si>
  <si>
    <t>DREF operation n° MDRBR005</t>
  </si>
  <si>
    <t>http://www.ifrc.org/docs/appeals/rpts10/MDRBR005dfr.pdf</t>
  </si>
  <si>
    <t>http://www.ifrc.org/docs/appeals/10/MDRCR006dfr.pdf</t>
  </si>
  <si>
    <t>DREF operation n° MDRCR006</t>
  </si>
  <si>
    <t>http://www.ifrc.org/docs/appeals/10/MDRET009fr.pdf</t>
  </si>
  <si>
    <t>DREF operation n° MDRET009</t>
  </si>
  <si>
    <t>http://www.ifrc.org/docs/appeals/rpts10/MDRHN003dfr.pdf</t>
  </si>
  <si>
    <t>DREF operation n° MDRHN003</t>
  </si>
  <si>
    <t>http://www.ifrc.org/docs/appeals/10/MDRIN006drefFR.pdf</t>
  </si>
  <si>
    <t>DREF operation n° MDRIN006</t>
  </si>
  <si>
    <t>Plain Crash</t>
  </si>
  <si>
    <t>http://www.ifrc.org/docs/appeals/10/MDRLB002dfr.pdf</t>
  </si>
  <si>
    <t>DREF operation n° MDRLB002</t>
  </si>
  <si>
    <t xml:space="preserve">Marocco </t>
  </si>
  <si>
    <t>http://www.ifrc.org/docs/appeals/10/MDRMA002dfr.pdf</t>
  </si>
  <si>
    <t>DREF operation n° MDRMA002</t>
  </si>
  <si>
    <t>Wild fire</t>
  </si>
  <si>
    <t>http://www.ifrc.org/docs/appeals/10/MDRRU008dfr.pdf</t>
  </si>
  <si>
    <t>DREF operation n° MDRRU008</t>
  </si>
  <si>
    <t>DREF operation n° DRCM007</t>
  </si>
  <si>
    <t>http://www.ifrc.org/docs/appeals/rpts08/MDRAR005fr.pdf</t>
  </si>
  <si>
    <t xml:space="preserve">Emergency appeal n° MDRVN009 </t>
  </si>
  <si>
    <t>DREF operation n° MDRAR005 Final Report</t>
  </si>
  <si>
    <t>http://www.ifrc.org/docs/appeals/09/MDRBA002dfr.pdf</t>
  </si>
  <si>
    <t>DREF operation n° MDRBA002</t>
  </si>
  <si>
    <t>http://www.ifrc.org/docs/appeals/09/MDRBA003dfr.pdf</t>
  </si>
  <si>
    <t>DREF operation n° MDRBA003</t>
  </si>
  <si>
    <t>http://www.ifrc.org/docs/appeals/09/MDRBA004dfr.pdf</t>
  </si>
  <si>
    <t>DREF operation n° MDRBA004</t>
  </si>
  <si>
    <t>http://www.ifrc.org/docs/appeals/09/MDRBF008fr.pdf</t>
  </si>
  <si>
    <t>Final report Emergency appeal n° MDRBF008</t>
  </si>
  <si>
    <t>Heavy Storm</t>
  </si>
  <si>
    <t>http://www.ifrc.org/docs/appeals/09/MDRBJ005dfr.pdf</t>
  </si>
  <si>
    <t>DREF operation n° MDRBJ005</t>
  </si>
  <si>
    <t>http://www.ifrc.org/docs/appeals/rpts09/MDRBO004fr.pdf</t>
  </si>
  <si>
    <t>DREF operation n° MDRBO004</t>
  </si>
  <si>
    <t>http://www.ifrc.org/docs/appeals/rpts09/MDRCR005fr.pdf</t>
  </si>
  <si>
    <t>DREF operation n° MDRCR005</t>
  </si>
  <si>
    <t>http://www.ifrc.org/docs/appeals/rpts09/MDRHN001fr.pdf</t>
  </si>
  <si>
    <t>DREF operation n°MDRHN001 Final Report</t>
  </si>
  <si>
    <t>Italy</t>
  </si>
  <si>
    <t>http://www.ifrc.org/docs/appeals/09/MDRIT001dfr.pdf</t>
  </si>
  <si>
    <t>Comores</t>
  </si>
  <si>
    <t>DREF operation n° MDRIT001</t>
  </si>
  <si>
    <t xml:space="preserve">Uganda </t>
  </si>
  <si>
    <t>http://www.ifrc.org/docs/appeals/09/MDRKE%20008fr.pdf</t>
  </si>
  <si>
    <t>DREF Operation n°: MDRKE008</t>
  </si>
  <si>
    <t>http://www.ifrc.org/docs/appeals/09/MDRKM002fr.pdf</t>
  </si>
  <si>
    <t>DREF operation n° MDRKM002</t>
  </si>
  <si>
    <t>Air accident</t>
  </si>
  <si>
    <t>http://www.ifrc.org/docs/appeals/09/MDRMG004fr.pdf</t>
  </si>
  <si>
    <t>DREF n° MDRMG004</t>
  </si>
  <si>
    <t>Tropical Cyclones</t>
  </si>
  <si>
    <t>Floods and Cholera</t>
  </si>
  <si>
    <t>Natural Hydrometeorologic hydrological and biological</t>
  </si>
  <si>
    <t>http://www.ifrc.org/docs/appeals/09/mdrmw004fr.pdf</t>
  </si>
  <si>
    <t>DREF operation n° MDRMW004</t>
  </si>
  <si>
    <t xml:space="preserve"> Capacity Assessment &amp; Gap Analysis</t>
  </si>
  <si>
    <t xml:space="preserve">storm </t>
  </si>
  <si>
    <t xml:space="preserve">Natural Hydrometeorologic hydrological </t>
  </si>
  <si>
    <t>http://www.ifrc.org/docs/appeals/rpts09/MDRPY006fr.pdf</t>
  </si>
  <si>
    <t>DREF operation n° MDRPY006</t>
  </si>
  <si>
    <t>http://www.ifrc.org/docs/appeals/rpts09/MDRPY007fr.pdf</t>
  </si>
  <si>
    <t>DREF operation n° MDRPY007</t>
  </si>
  <si>
    <t>http://www.ifrc.org/docs/appeals/09/MDRSD006fr.pdf</t>
  </si>
  <si>
    <t>DREF operation n° MDRSD006</t>
  </si>
  <si>
    <t>http://www.ifrc.org/docs/appeals/09/MDRSV002fr.pdf</t>
  </si>
  <si>
    <t>Final report Emergency appeal n° MDRSV002</t>
  </si>
  <si>
    <t>http://www.ifrc.org/docs/appeals/09/MDRTZ008fr.pdf</t>
  </si>
  <si>
    <t>DREF operation n° MDRTZ008</t>
  </si>
  <si>
    <t>http://www.ifrc.org/docs/appeals/09/MDRUG013fr.pdf</t>
  </si>
  <si>
    <t>DREF operation n° MDRUG013</t>
  </si>
  <si>
    <t>http://www.ifrc.org/docs/appeals/09/MDRUG014fr.pdf</t>
  </si>
  <si>
    <t>DREF operation n° MDRUG014</t>
  </si>
  <si>
    <t>http://www.ifrc.org/docs/appeals/09/MDRAZ001do.pdf</t>
  </si>
  <si>
    <t>DREF operation n° MDRAZ001</t>
  </si>
  <si>
    <t>http://www.ifrc.org/docs/appeals/09/MDRGE002do.pdf</t>
  </si>
  <si>
    <t>DREF operation n° MDRGE002</t>
  </si>
  <si>
    <t>http://www.ifrc.org/docs/appeals/rpts09/MDRGT00101.pdf</t>
  </si>
  <si>
    <t>DREF operation n° MDRGT001</t>
  </si>
  <si>
    <t>http://www.ifrc.org/docs/appeals/09/MDRKH002dref.pdf</t>
  </si>
  <si>
    <t>Typhoon Ketsana</t>
  </si>
  <si>
    <t>DREF operation n° MDRKH002</t>
  </si>
  <si>
    <t>http://www.ifrc.org/docs/appeals/rpts09/MDRMX00302.pdf</t>
  </si>
  <si>
    <t>Hurricane Jimena</t>
  </si>
  <si>
    <t>Operation DREF n° MDRMX004</t>
  </si>
  <si>
    <t>http://www.ifrc.org/docs/appeals/rpts09/MDRNI001.pdf</t>
  </si>
  <si>
    <t>DREF operation n° MDRNI001</t>
  </si>
  <si>
    <t>http://www.ifrc.org/docs/appeals/09/MDRNP003%20DU1.pdf</t>
  </si>
  <si>
    <t>DREF operation n° MDRNP003</t>
  </si>
  <si>
    <t>http://www.ifrc.org/docs/appeals/rpts09/MDRPY00801.pdf</t>
  </si>
  <si>
    <t>DREF operation n°MDRPY008</t>
  </si>
  <si>
    <t>TYPE of DISASTER</t>
  </si>
  <si>
    <t xml:space="preserve">Africa </t>
  </si>
  <si>
    <t>MENA</t>
  </si>
  <si>
    <t>floods</t>
  </si>
  <si>
    <t>epidemics</t>
  </si>
  <si>
    <t>human related</t>
  </si>
  <si>
    <t>Storms, cyclones</t>
  </si>
  <si>
    <t>watsan</t>
  </si>
  <si>
    <t>number of appeals</t>
  </si>
  <si>
    <t>sanitation</t>
  </si>
  <si>
    <t>% of appeals</t>
  </si>
  <si>
    <t>% with sanitation</t>
  </si>
  <si>
    <t>water</t>
  </si>
  <si>
    <t>% with water</t>
  </si>
  <si>
    <t xml:space="preserve">sanitation </t>
  </si>
  <si>
    <t>http://www.ifrc.org/docs/appeals/11/MDRLK003OU4.pdf</t>
  </si>
  <si>
    <t>Beneficiaries intervals</t>
  </si>
  <si>
    <t>Absolute number of appeals per interval</t>
  </si>
  <si>
    <t>Percentage of appeals per interval</t>
  </si>
  <si>
    <t>Mine Blast</t>
  </si>
  <si>
    <t>htthttp://www.ifrc.org/docs/appeals/10/MDRRO002dfr.pdf</t>
  </si>
  <si>
    <t>RATIO W/S</t>
  </si>
  <si>
    <t>W/S</t>
  </si>
  <si>
    <t>Other Expenditures</t>
  </si>
  <si>
    <t>Kinds of specific epidemics and outbreaks:</t>
  </si>
  <si>
    <t>Viral infectious</t>
  </si>
  <si>
    <t>Bacterial infectious</t>
  </si>
  <si>
    <t>Parasitic infectious</t>
  </si>
  <si>
    <t>Grand Total</t>
  </si>
  <si>
    <t>Hand, foot and mouth diseases</t>
  </si>
  <si>
    <t>Avian influenza</t>
  </si>
  <si>
    <t>Hepatitis E</t>
  </si>
  <si>
    <t>Ebola</t>
  </si>
  <si>
    <t xml:space="preserve">Measles </t>
  </si>
  <si>
    <t xml:space="preserve">Polio </t>
  </si>
  <si>
    <t>Chikunguniya</t>
  </si>
  <si>
    <t>Marburg fever</t>
  </si>
  <si>
    <t>Rift valley fever</t>
  </si>
  <si>
    <t>Total Viral</t>
  </si>
  <si>
    <t>Total Bacterial</t>
  </si>
  <si>
    <t>Malaria</t>
  </si>
  <si>
    <t>Sub-types: Viral Infectious Diseases, Bacterial Infectious Diseases, Parasitic Infectious Diseases, Fungal Infectious</t>
  </si>
  <si>
    <t>Diseases, Prion Infectious Diseases</t>
  </si>
  <si>
    <t>Epidemics by causative agents:</t>
  </si>
  <si>
    <t>Volunteers trained in Africa</t>
  </si>
  <si>
    <t xml:space="preserve">Hydrometeorological </t>
  </si>
  <si>
    <t>Geophysical</t>
  </si>
  <si>
    <t>other hydro</t>
  </si>
  <si>
    <t>Costa Rica and Nicaragua</t>
  </si>
  <si>
    <t>Tropical Storm Alma</t>
  </si>
  <si>
    <t>DREF operation n° MDR43003</t>
  </si>
  <si>
    <t>http://www.ifrc.org/docs/appeals/07/MDR61001final.pdf</t>
  </si>
  <si>
    <t>DREF operation n° MDR61001
1 April 2008</t>
  </si>
  <si>
    <t xml:space="preserve">DREF operation n° MDRAR002 </t>
  </si>
  <si>
    <t>http://www.ifrc.org/docs/appeals/rpts08/MDRAR002final.pdf</t>
  </si>
  <si>
    <t>http://www.ifrc.org/docs/appeals/07/MDRBA001final.pdf</t>
  </si>
  <si>
    <t>DREF operation n° MDRBA001</t>
  </si>
  <si>
    <t>Heatwave</t>
  </si>
  <si>
    <t>http://www.ifrc.org/docs/appeals/07/MDRBD001FR.pdf</t>
  </si>
  <si>
    <t>Coldwave</t>
  </si>
  <si>
    <t>Final Report for DREF
Bulletin no. MDRBD001</t>
  </si>
  <si>
    <t>http://www.ifrc.org/docs/appeals/07/MDRBF003final.pdf</t>
  </si>
  <si>
    <t>DREF operation n° MDRBF003</t>
  </si>
  <si>
    <t>http://www.ifrc.org/docs/appeals/rpts07/MDRBR001_final.pdf</t>
  </si>
  <si>
    <t>Final Report for
DREF Bulletin
no. MDRBR001</t>
  </si>
  <si>
    <t>http://www.ifrc.org/docs/appeals/07/MDRCG002fr2.pdf</t>
  </si>
  <si>
    <t>DREF operation n° MDRCG002</t>
  </si>
  <si>
    <t>http://www.ifrc.org/docs/appeals/rpts08/MDRCL002final.pdf</t>
  </si>
  <si>
    <t>DREF operation n° MDRCL002</t>
  </si>
  <si>
    <t xml:space="preserve">Costa Rica </t>
  </si>
  <si>
    <t>http://www.ifrc.org/docs/appeals/06/MDRCM004fr.pdf</t>
  </si>
  <si>
    <t>DREF operation n° MDRCM004</t>
  </si>
  <si>
    <t>http://www.ifrc.org/docs/appeals/07/MDRCM005fr.pdf</t>
  </si>
  <si>
    <t>DREF operation n° MDRCM005</t>
  </si>
  <si>
    <t>Floods in Mokolo and Kolofata</t>
  </si>
  <si>
    <t>http://www.ifrc.org/docs/appeals/rpts08/MDRCO002final.pdf</t>
  </si>
  <si>
    <t>DREF operation n° MDRCO002</t>
  </si>
  <si>
    <t>http://www.ifrc.org/docs/appeals/rpts08/MDRCR001_final.pdf</t>
  </si>
  <si>
    <t>DREF Bulletin no. MDRCR001</t>
  </si>
  <si>
    <t>DREF Bulletin no. MDRCR002</t>
  </si>
  <si>
    <t>http://www.ifrc.org/docs/appeals/rpts08/MDRCR002final.pdf</t>
  </si>
  <si>
    <t>http://www.ifrc.org/docs/appeals/07/MDREG004final.pdf</t>
  </si>
  <si>
    <t>DREF operation n° MDREG004</t>
  </si>
  <si>
    <t>Fire in Zeinhom Area</t>
  </si>
  <si>
    <t xml:space="preserve">Indonesia </t>
  </si>
  <si>
    <t>Palestinians Stranded on the Al-Areesh and Al-Rafah Borders</t>
  </si>
  <si>
    <t>DREF operation n° MDREG005</t>
  </si>
  <si>
    <t>http://www.ifrc.org/docs/appeals/07/MDREG005final.pdf</t>
  </si>
  <si>
    <t>http://www.ifrc.org/docs/appeals/06/MDRGA001fr.pdf</t>
  </si>
  <si>
    <t>Chikungunya Virus in Libreville</t>
  </si>
  <si>
    <t>DREF operation n° MDRGA001</t>
  </si>
  <si>
    <t>http://www.ifrc.org/docs/appeals/rpts07/MDRHT003_final.pdf</t>
  </si>
  <si>
    <t>DREF Bulletin
no. MDRHT003</t>
  </si>
  <si>
    <t>http://reliefweb.int/sites/reliefweb.int/files/resources/0CCD161F899C96B4C12573950048FC2C-Full_Report.pdf</t>
  </si>
  <si>
    <t>DREF operation n° MDRCG003</t>
  </si>
  <si>
    <t>Cyclone Clovis</t>
  </si>
  <si>
    <t>http://www.ifrc.org/docs/appeals/rpts08/MDRID003-IB05.pdf</t>
  </si>
  <si>
    <t>Information bulletin n°5 MDRID003</t>
  </si>
  <si>
    <t>Jakarta floods</t>
  </si>
  <si>
    <t>http://www.ifrc.org/docs/appeals/08/MDRIN002finalrep.pdf</t>
  </si>
  <si>
    <t>DREF operation final report n° MDRIN002</t>
  </si>
  <si>
    <t>http://www.ifrc.org/docs/appeals/07/MDRIQ002final.pdf</t>
  </si>
  <si>
    <t>Final report Emergency appeal n° MDRIQ002</t>
  </si>
  <si>
    <t>Humanitarian crisis</t>
  </si>
  <si>
    <t>http://www.ifrc.org/docs/appeals/07/MDRKE004.pdf</t>
  </si>
  <si>
    <t>Mount Elgon Clashes</t>
  </si>
  <si>
    <t>DREF bulletin n° MDRKE004</t>
  </si>
  <si>
    <t>http://www.ifrc.org/docs/appeals/07/MDRKG002Final.pdf</t>
  </si>
  <si>
    <t>DREF operation n° MDRKG002</t>
  </si>
  <si>
    <t>Socio-economic crisis</t>
  </si>
  <si>
    <t>http://ifrc.org/docs/appeals/rpts08/MDR43003dfr.pdf</t>
  </si>
  <si>
    <t>Costa Rica and Panama</t>
  </si>
  <si>
    <t>Emergency appeal n° MDR43005</t>
  </si>
  <si>
    <t>http://ifrc.org/docs/appeals/08/MDR43005fr.pdf</t>
  </si>
  <si>
    <t>DREF operation n° MDRAR003</t>
  </si>
  <si>
    <t>http://ifrc.org/docs/appeals/rpts08/MDRAR003dfr.pdf</t>
  </si>
  <si>
    <t>http://www.ifrc.org/docs/appeals/08/MDRKH001final.pdf</t>
  </si>
  <si>
    <t>DREF Bulletin no. MDRKH001</t>
  </si>
  <si>
    <t>http://www.ifrc.org/docs/appeals/07/MDRKM001fr.pdf</t>
  </si>
  <si>
    <t>DREF Operation no. MDRKM001</t>
  </si>
  <si>
    <t>http://www.ifrc.org/docs/appeals/07/MDRKV002Final.pdf</t>
  </si>
  <si>
    <t>DREF operation n° MDRKV002</t>
  </si>
  <si>
    <t>Serbia/Kosovo</t>
  </si>
  <si>
    <t>http://www.ifrc.org/docs/appeals/07/MDRME001final.pdf</t>
  </si>
  <si>
    <t>DREF operation n° MDRME001</t>
  </si>
  <si>
    <t xml:space="preserve">Niger </t>
  </si>
  <si>
    <t xml:space="preserve">Panama </t>
  </si>
  <si>
    <t>Uruguay</t>
  </si>
  <si>
    <t>http://www.ifrc.org/docs/appeals/07/MDRMG001fr.pdf</t>
  </si>
  <si>
    <t>DREF operation n° MDRMG001</t>
  </si>
  <si>
    <t>http://www.ifrc.org/docs/appeals/07/MDRML004fr.pdf</t>
  </si>
  <si>
    <t>DREF Operation no. MDRML004</t>
  </si>
  <si>
    <t>Mine Blast Kemerovo Region</t>
  </si>
  <si>
    <t>Storm</t>
  </si>
  <si>
    <t>Mine blast</t>
  </si>
  <si>
    <t xml:space="preserve">Ebola Haemorrhagic Fever </t>
  </si>
  <si>
    <t>Diarrohea Outbreak</t>
  </si>
  <si>
    <t>http://www.ifrc.org/docs/appeals/07/MDRMR002fr.pdf</t>
  </si>
  <si>
    <t>DREF operation no. MDRMR002</t>
  </si>
  <si>
    <t>http://www.ifrc.org/docs/appeals/07/MDRMW002final.pdf</t>
  </si>
  <si>
    <t>DREF operation n° MDRMW002</t>
  </si>
  <si>
    <t>http://www.ifrc.org/docs/appeals/rpts08/MDRMX001final.pdf</t>
  </si>
  <si>
    <t>DREF operation n° MDRMX001</t>
  </si>
  <si>
    <t>Djibouti, Ethiopia and Kenya</t>
  </si>
  <si>
    <t>DREF operation n° MDR64002</t>
  </si>
  <si>
    <t>http://www.ifrc.org/docs/appeals/08/MDR64002fr.pdf</t>
  </si>
  <si>
    <t>Antigua and Barbuda</t>
  </si>
  <si>
    <t>Hurricane Omar</t>
  </si>
  <si>
    <t>DREF operation n° MDRAG001</t>
  </si>
  <si>
    <t>http://www.ifrc.org/docs/appeals/rpts08/MDRAG001fdr.pdf</t>
  </si>
  <si>
    <t>DREF operation n° MDRAL001</t>
  </si>
  <si>
    <t>http://www.ifrc.org/docs/appeals/08/MDRAL001dfr.pdf</t>
  </si>
  <si>
    <t>DREF operation n° MDRBI003</t>
  </si>
  <si>
    <t>http://www.ifrc.org/docs/appeals/08/MDRBI003fr.pdf</t>
  </si>
  <si>
    <t>DREF operation n° MDRBO003</t>
  </si>
  <si>
    <t>http://www.ifrc.org/docs/appeals/rpts08/MDRBO003final.pdf</t>
  </si>
  <si>
    <t>DREF operation n° MDRBR002</t>
  </si>
  <si>
    <t>http://ifrc.org/docs/appeals/rpts08/MDRBR002final.pdf</t>
  </si>
  <si>
    <t>DREF operation n° MDRBR003</t>
  </si>
  <si>
    <t>http://ifrc.org/docs/appeals/rpts08/MDRBR003final.pdf</t>
  </si>
  <si>
    <t>DREF operation n° MDRBR004</t>
  </si>
  <si>
    <t>http://ifrc.org/docs/appeals/rpts08/MDRBR004fr.pdf</t>
  </si>
  <si>
    <t>Tropical Storm Arthur</t>
  </si>
  <si>
    <t>DREF operation n° MDRBZ001</t>
  </si>
  <si>
    <t>http://ifrc.org/docs/appeals/rpts08/MDRBZ001final.pdf</t>
  </si>
  <si>
    <t>http://www.ifrc.org/docs/appeals/07/MDRNE002final.pdf</t>
  </si>
  <si>
    <t>DREF operation n° MDRNE002</t>
  </si>
  <si>
    <t>http://www.ifrc.org/docs/appeals/07/MDRNG003final.pdf</t>
  </si>
  <si>
    <t>DREF operation n° MDRNG003</t>
  </si>
  <si>
    <t>Election Contingency plan</t>
  </si>
  <si>
    <t>http://www.ifrc.org/docs/appeals/rpts07/MDRPA003_final.pdf</t>
  </si>
  <si>
    <t>DREF Bulletin no. MDRPA003 Final Report</t>
  </si>
  <si>
    <t>http://www.ifrc.org/docs/appeals/rpts08/MDRPE002final.pdf</t>
  </si>
  <si>
    <t>DREF operation n° MDRPE002</t>
  </si>
  <si>
    <t>http://www.ifrc.org/docs/appeals/rpts07/MDRPY001_final.pdf</t>
  </si>
  <si>
    <t>Final Report DREF Bulletin no. MDRPY001</t>
  </si>
  <si>
    <t>http://www.ifrc.org/docs/appeals/rpts08/MDRPY002_final.pdf</t>
  </si>
  <si>
    <t>DREF operation n° MDRPY002</t>
  </si>
  <si>
    <t>DREF operation n° MDRCL003</t>
  </si>
  <si>
    <t>http://www.ifrc.org/docs/appeals/rpts08/MDRCL003dfr.pdf</t>
  </si>
  <si>
    <t>DREF operation n° MDRCL004</t>
  </si>
  <si>
    <t>http://www.ifrc.org/docs/appeals/rpts08/MDRCL004dfr.pdf</t>
  </si>
  <si>
    <t>DREF operation n° MDRCL005</t>
  </si>
  <si>
    <t>http://www.ifrc.org/docs/appeals/rpts08/MDRCL005dfr.pdf</t>
  </si>
  <si>
    <t>Volcano</t>
  </si>
  <si>
    <t>DREF operation n° MDRCO003</t>
  </si>
  <si>
    <t>http://www.ifrc.org/docs/appeals/rpts08/MDRCO003fr.pdf</t>
  </si>
  <si>
    <t>DREF operation n° MDRCO004</t>
  </si>
  <si>
    <t>http://www.ifrc.org/docs/appeals/rpts08/MDRCO004dfr.pdf</t>
  </si>
  <si>
    <t>DREF operation n° MDRCO005</t>
  </si>
  <si>
    <t>http://www.ifrc.org/docs/appeals/rpts08/MDRCO005fr.pdf</t>
  </si>
  <si>
    <t>DREF operation n° MDRCR003</t>
  </si>
  <si>
    <t>http://www.ifrc.org/docs/appeals/rpts08/MDRCR003dfr.pdf</t>
  </si>
  <si>
    <t>DREF operation n° MDREC003</t>
  </si>
  <si>
    <t>http://www.ifrc.org/docs/appeals/rpts08/MDREC003final.pdf</t>
  </si>
  <si>
    <t>Wind Storm</t>
  </si>
  <si>
    <t>DREF operation n° MDRGM004</t>
  </si>
  <si>
    <t>http://www.ifrc.org/docs/appeals/08/MDRGM004dfr.pdf</t>
  </si>
  <si>
    <t>Guyana</t>
  </si>
  <si>
    <t>DREF operation n° MDRGY001</t>
  </si>
  <si>
    <t>http://www.ifrc.org/docs/appeals/rpts08/MDRGY001fr.pdf</t>
  </si>
  <si>
    <t>DREF operation n° MDRIN003</t>
  </si>
  <si>
    <t>http://www.ifrc.org/docs/appeals/08/MDRIN003%20FR2.pdf</t>
  </si>
  <si>
    <t>http://www.ifrc.org/docs/appeals/07/MDRRS001final.pdf</t>
  </si>
  <si>
    <t>DREF operation n° MDRRS001</t>
  </si>
  <si>
    <t>http://www.ifrc.org/docs/appeals/07/MDRRU002final.pdf</t>
  </si>
  <si>
    <t>DREF operation n° MDRRU002</t>
  </si>
  <si>
    <t>http://www.ifrc.org/docs/appeals/07/MDRSD003fr.pdf</t>
  </si>
  <si>
    <t>DREF operation n° MDRSD003</t>
  </si>
  <si>
    <t>http://www.ifrc.org/docs/appeals/07/MDRSZ002final.pdf</t>
  </si>
  <si>
    <t>DREF operation n° MDRSZ002</t>
  </si>
  <si>
    <t>Heavy Hail Storm</t>
  </si>
  <si>
    <t>http://www.ifrc.org/en/publications-and-reports/appeals/?ac=MDRTJ003&amp;at=0&amp;c=&amp;co=&amp;dt=1&amp;f=&amp;re=&amp;t=&amp;ti=&amp;zo=</t>
  </si>
  <si>
    <t>DREF operation n°MDRTJ003</t>
  </si>
  <si>
    <t>DREF operation n° MDRKE005</t>
  </si>
  <si>
    <t>http://www.ifrc.org/docs/appeals/08/MDRKE005fr.pdf</t>
  </si>
  <si>
    <t>DREF operation n° MDRKE006</t>
  </si>
  <si>
    <t>http://www.ifrc.org/docs/appeals/08/MDRKE006fr.pdf</t>
  </si>
  <si>
    <t>Earthquakes</t>
  </si>
  <si>
    <t>DREF operation n° MDRKG003</t>
  </si>
  <si>
    <t>http://www.ifrc.org/docs/appeals/08/MDRKG003Final.pdf</t>
  </si>
  <si>
    <t>DREF operation n° MDRKG004</t>
  </si>
  <si>
    <t>http://www.ifrc.org/docs/appeals/08/MDRKG004dfr.pdf</t>
  </si>
  <si>
    <t>DREF operation n° MDRKZ001</t>
  </si>
  <si>
    <t>http://www.ifrc.org/docs/appeals/08/MDRKZ001dfr.pdf</t>
  </si>
  <si>
    <t>FLOODS</t>
  </si>
  <si>
    <t>DREF operation n° MDRKZ002</t>
  </si>
  <si>
    <t>http://www.ifrc.org/docs/appeals/08/MDRKZ002dfr.pdf</t>
  </si>
  <si>
    <t>DREF operation n° MDRMD001</t>
  </si>
  <si>
    <t>http://www.ifrc.org/docs/appeals/08/MDRMD001dfr.pdf</t>
  </si>
  <si>
    <t>Mongolia</t>
  </si>
  <si>
    <t>Hand, foot and mouth disease</t>
  </si>
  <si>
    <t>DREF operation n° MDRMN001</t>
  </si>
  <si>
    <t>http://www.ifrc.org/docs/appeals/08/MDRMN001FR.pdf</t>
  </si>
  <si>
    <t>DREF operation n° MDRMW0003</t>
  </si>
  <si>
    <t>http://www.ifrc.org/docs/appeals/08/MDRMW003final.pdf</t>
  </si>
  <si>
    <t>Cyclone Jokwe</t>
  </si>
  <si>
    <t>DREF operation n° MDRMZ003</t>
  </si>
  <si>
    <t>http://www.ifrc.org/docs/appeals/08/MDRMZ003fr.pdf</t>
  </si>
  <si>
    <t>DREF operation n° MDRMZ004</t>
  </si>
  <si>
    <t>http://www.ifrc.org/docs/appeals/08/MDRMZ004final.pdf</t>
  </si>
  <si>
    <t>DREF operation n° MDRMZ005</t>
  </si>
  <si>
    <t>http://www.ifrc.org/docs/appeals/08/MDRMZ005final.pdf</t>
  </si>
  <si>
    <t>http://www.ifrc.org/docs/appeals/07/MDRTN002final.pdf</t>
  </si>
  <si>
    <t>DREF operation n° MDRTN002</t>
  </si>
  <si>
    <t>http://www.ifrc.org/docs/appeals/07/MDRUA002final.pdf</t>
  </si>
  <si>
    <t>DREF operation n° MDRUA002</t>
  </si>
  <si>
    <t>http://www.ifrc.org/docs/appeals/07/MDRUA003dfr.pdf</t>
  </si>
  <si>
    <t>DREF operation n° MDRUA003</t>
  </si>
  <si>
    <t>http://www.ifrc.org/docs/appeals/07/MDRUG004fr.pdf</t>
  </si>
  <si>
    <t>DREF operation n° MDRUG004</t>
  </si>
  <si>
    <t>http://www.ifrc.org/docs/appeals/07/MDRUG007fr.pdf</t>
  </si>
  <si>
    <t>DREF Operation no. MDRUG007</t>
  </si>
  <si>
    <t>http://www.ifrc.org/docs/appeals/rpts08/MDRUY001final.pdf</t>
  </si>
  <si>
    <t>Final Report for DREF MDRUY001</t>
  </si>
  <si>
    <t>http://www.ifrc.org/docs/appeals/07/MDRZW001final.pdf</t>
  </si>
  <si>
    <t>DREF operation n° MDRZW001</t>
  </si>
  <si>
    <t>http://www.ifrc.org/docs/Appeals/07/MDRPK001FR.pdf</t>
  </si>
  <si>
    <t xml:space="preserve"> Emergency appeal n° MDRPK001 </t>
  </si>
  <si>
    <t>Gaza humanitarian crisis</t>
  </si>
  <si>
    <t>DREF operation n° MDRNE003</t>
  </si>
  <si>
    <t>http://www.ifrc.org/docs/appeals/08/MDRNE003.pdf</t>
  </si>
  <si>
    <t>DREF operation n° MDRPG003</t>
  </si>
  <si>
    <t>http://www.ifrc.org/docs/appeals/08/MDRPG003FR.pdf</t>
  </si>
  <si>
    <t>Dengue and Yellow Fever Outbreak</t>
  </si>
  <si>
    <t>DREF operation n° MDRPY003</t>
  </si>
  <si>
    <t>http://www.ifrc.org/docs/appeals/rpts08/MDRPY003final.pdf</t>
  </si>
  <si>
    <t>Wind and Hail Storm</t>
  </si>
  <si>
    <t>DREF operation n° MDRPY004</t>
  </si>
  <si>
    <t>http://www.ifrc.org/en/publications-and-reports/appeals/?ac=MDRPY004&amp;at=0&amp;c=&amp;co=&amp;dt=1&amp;f=&amp;re=&amp;t=&amp;ti=&amp;zo=</t>
  </si>
  <si>
    <t>DREF Operation n° MDRPY005</t>
  </si>
  <si>
    <t>http://www.ifrc.org/docs/appeals/rpts08/MDRPY005dfr.pdf</t>
  </si>
  <si>
    <t>DREF operation n° MDRRW004</t>
  </si>
  <si>
    <t>http://www.ifrc.org/docs/appeals/08/MDRRW004fr.pdf</t>
  </si>
  <si>
    <t>Acute watery diarrhoea epidemic</t>
  </si>
  <si>
    <t>DREF operation n° MDRSD005</t>
  </si>
  <si>
    <t>http://www.ifrc.org/docs/appeals/08/MDRSD005fr.pdf</t>
  </si>
  <si>
    <t>DREF operation n° MDRTZ006</t>
  </si>
  <si>
    <t>http://www.ifrc.org/docs/appeals/08/MDRTZ006fr.pdf</t>
  </si>
  <si>
    <t>Technical Accident and Floods</t>
  </si>
  <si>
    <t>DREF operation n° MDRTZ007</t>
  </si>
  <si>
    <t>http://www.ifrc.org/docs/appeals/08/MDRTZ007fr.pdf</t>
  </si>
  <si>
    <t>Population Movement from Kenya</t>
  </si>
  <si>
    <t>DREF operation n° MDRUG008</t>
  </si>
  <si>
    <t>http://www.ifrc.org/docs/appeals/08/MDRUG008fr.pdf</t>
  </si>
  <si>
    <t>Food insecurity in Kampala</t>
  </si>
  <si>
    <t>DREF operation n° MDRUG011</t>
  </si>
  <si>
    <t>http://www.ifrc.org/docs/appeals/08/MDRUG011fr.pdf</t>
  </si>
  <si>
    <t>DREF operation n° MDRUZ001</t>
  </si>
  <si>
    <t>http://www.ifrc.org/docs/appeals/08/MDRUZ001dfr.pdf</t>
  </si>
  <si>
    <t>Typhoon Kammuri</t>
  </si>
  <si>
    <t>DREF operation n° MDRVN003</t>
  </si>
  <si>
    <t>http://www.ifrc.org/docs/appeals/08/MDRVN003%20finalrpt.pdf</t>
  </si>
  <si>
    <t>DREF operation n° MDRVN004</t>
  </si>
  <si>
    <t>http://www.ifrc.org/docs/appeals/08/MDRVN004fr.pdf</t>
  </si>
  <si>
    <t>Urban disturbance</t>
  </si>
  <si>
    <t>DREF operation n° MDRZA001</t>
  </si>
  <si>
    <t>http://www.ifrc.org/docs/appeals/08/MDRZA00202.pdf</t>
  </si>
  <si>
    <t>DREF Operation n° MDRZA002</t>
  </si>
  <si>
    <t>http://www.ifrc.org/docs/appeals/08/MDRZA002final.pdf</t>
  </si>
  <si>
    <t>Earthquake in South Kivu</t>
  </si>
  <si>
    <t>Central African republic</t>
  </si>
  <si>
    <t>Emergency appeal MDRNG007</t>
  </si>
  <si>
    <t>Cambodia</t>
  </si>
  <si>
    <t>Caribbean and Mexico</t>
  </si>
  <si>
    <t>http://www.ifrc.org/docs/appeals/05/05EA001f.pdf</t>
  </si>
  <si>
    <t>Appeal No. 05EA001</t>
  </si>
  <si>
    <t>Eritrea</t>
  </si>
  <si>
    <t>DREF operation n° MDRTD002</t>
  </si>
  <si>
    <t>http://www.ifrc.org/docs/appeals/05/05EA002fr.pdf</t>
  </si>
  <si>
    <t>Emergency appeal n° 05EA002</t>
  </si>
  <si>
    <t>http://www.ifrc.org/docs/appeals/05/05EA010fr2.pdf</t>
  </si>
  <si>
    <t>Emergency appeal no. 05EA010</t>
  </si>
  <si>
    <t>Togolese refugees</t>
  </si>
  <si>
    <t>http://www.ifrc.org/docs/appeals/05/05EA020_Final.pdf</t>
  </si>
  <si>
    <t>Appeal No. 05EA020</t>
  </si>
  <si>
    <t>Floods and vulcanic activity</t>
  </si>
  <si>
    <t>http://www.ifrc.org/docs/Appeals/05/M05EA022FR.pdf</t>
  </si>
  <si>
    <t>Emergency appeal n° M05EA022</t>
  </si>
  <si>
    <t>not specialezed</t>
  </si>
  <si>
    <t>PADRU</t>
  </si>
  <si>
    <t>Final Report for DREF Bulletin no. MDR42001</t>
  </si>
  <si>
    <t>http://www.ifrc.org/docs/appeals/rpts08/MDR42001final.pdf</t>
  </si>
  <si>
    <t>Contingency planning for population movement</t>
  </si>
  <si>
    <t>DREF operation n° MDR62001</t>
  </si>
  <si>
    <t>http://www.ifrc.org/docs/appeals/06/MDR62001fr.pdf</t>
  </si>
  <si>
    <t>DREF operation n° MDR62002</t>
  </si>
  <si>
    <t>http://www.ifrc.org/docs/appeals/06/MDR62002fr.pdf</t>
  </si>
  <si>
    <t>Eastern Africa</t>
  </si>
  <si>
    <t>Regional Drought responses</t>
  </si>
  <si>
    <t>DREF operation n° MDR64001</t>
  </si>
  <si>
    <t>http://www.ifrc.org/docs/appeals/06/MDR64001fr.pdf</t>
  </si>
  <si>
    <t>Heavy rains and floods</t>
  </si>
  <si>
    <t>DREF operation n° MDRBI002</t>
  </si>
  <si>
    <t>http://www.ifrc.org/docs/appeals/06/MDRBI002fr.pdf</t>
  </si>
  <si>
    <t>DREF Bulletin no. MDRCL001</t>
  </si>
  <si>
    <t>http://www.ifrc.org/docs/appeals/rpts07/MDRCL001Final.pdf</t>
  </si>
  <si>
    <t>DREF Bulletin no. MDRCO001</t>
  </si>
  <si>
    <t>http://www.ifrc.org/docs/appeals/rpts06/MDRCO001final.pdf</t>
  </si>
  <si>
    <t>DREF Bulletin no. MDREC001</t>
  </si>
  <si>
    <t>http://www.ifrc.org/docs/appeals/rpts07/MDREC001Final.pdf</t>
  </si>
  <si>
    <t>Ferry disaster</t>
  </si>
  <si>
    <t>DREF operation n° MDREG001</t>
  </si>
  <si>
    <t>http://www.ifrc.org/docs/appeals/06/MDREG001final.pdf</t>
  </si>
  <si>
    <t>DREF operation n° MDREG002</t>
  </si>
  <si>
    <t>http://www.ifrc.org/docs/appeals/06/MDREG002final.pdf</t>
  </si>
  <si>
    <t>Dahab bomb explosions</t>
  </si>
  <si>
    <t>DREF operation n° MDREG003</t>
  </si>
  <si>
    <t>http://www.ifrc.org/docs/appeals/06/MDREG003final.pdf</t>
  </si>
  <si>
    <t>Emergency appeal n° MDRET001</t>
  </si>
  <si>
    <t>http://www.ifrc.org/docs/appeals/06/MDRET001fr%20rev.pdf</t>
  </si>
  <si>
    <t>DREF Bulletin no. MDRHT001</t>
  </si>
  <si>
    <t>http://www.ifrc.org/docs/appeals/rpts07/MDRHT001final.pdf</t>
  </si>
  <si>
    <t>Floods from tropical storm Ernesto</t>
  </si>
  <si>
    <t>Central Africa</t>
  </si>
  <si>
    <t>East Timor</t>
  </si>
  <si>
    <t>Serbia e Montenegro</t>
  </si>
  <si>
    <t xml:space="preserve">Yemen </t>
  </si>
  <si>
    <t>Padru - Hurricane Season Preparedness</t>
  </si>
  <si>
    <t>Bahamas, Cuba &amp; Mexico</t>
  </si>
  <si>
    <t>http://www.ifrc.org/docs/appeals/06/MDRNG002fr.pdf</t>
  </si>
  <si>
    <t>DREF operation n° MDRNG002</t>
  </si>
  <si>
    <t>http://www.ifrc.org/docs/appeals/05/05EA02505.pdf</t>
  </si>
  <si>
    <t>Emergency Appeal no. 05EA025</t>
  </si>
  <si>
    <t>Humanitarian assistance to returnees and affected communities</t>
  </si>
  <si>
    <t>http://www.ifrc.org/docs/appeals/rpts05/2crfl0105.pdf</t>
  </si>
  <si>
    <t>http://reliefweb.int/sites/reliefweb.int/files/resources/BC6BD24D2CDE706EC125723D003B6431-Full_Report.pdf</t>
  </si>
  <si>
    <t>Information bulletin n.M05ME001</t>
  </si>
  <si>
    <t>Spring Floods</t>
  </si>
  <si>
    <t>http://www.ifrc.org/docs/appeals/05/05ME070fr.pdf</t>
  </si>
  <si>
    <t>Jiangxi Earthquake</t>
  </si>
  <si>
    <t>Final Report M05ME070</t>
  </si>
  <si>
    <t>http://www.ifrc.org/docs/appeals/05/05ME008ifr.pdf</t>
  </si>
  <si>
    <t>ME no. 05ME008</t>
  </si>
  <si>
    <t>Congolese refugees</t>
  </si>
  <si>
    <t xml:space="preserve">http://www.ifrc.org/docs/appeals/rpts05/alsn1.pdf </t>
  </si>
  <si>
    <t>Snowfalls</t>
  </si>
  <si>
    <t>http://www.ifrc.org/docs/appeals/rpts05/vefl02.pdf</t>
  </si>
  <si>
    <t>Bulletin no. 02/05 21 February 2005</t>
  </si>
  <si>
    <t>Bulletin no. 01/2005</t>
  </si>
  <si>
    <t>http://www.ifrc.org/docs/appeals/05/05ME010final.pdf</t>
  </si>
  <si>
    <t>No. 05ME010</t>
  </si>
  <si>
    <t>Kelibia Tornado</t>
  </si>
  <si>
    <t>DREF Bulletin no. MDRIN001</t>
  </si>
  <si>
    <t>http://www.ifrc.org/docs/appeals/06/MDRIN00104.pdf</t>
  </si>
  <si>
    <t>Information Bulletin no. 3/2006 01-04-2006 (MDRIR001)</t>
  </si>
  <si>
    <t>http://www.ifrc.org/docs/appeals/rpts06/DoroudIB3.pdf</t>
  </si>
  <si>
    <t>DREF Bulletin no. MDRJM001</t>
  </si>
  <si>
    <t>http://www.ifrc.org/docs/appeals/rpts07/MDRJM001final.pdf</t>
  </si>
  <si>
    <t>Avian Flu</t>
  </si>
  <si>
    <t>MDRKE002</t>
  </si>
  <si>
    <t>DREF Bulletin no. MDRMM001</t>
  </si>
  <si>
    <t>http://www.ifrc.org/docs/appeals/07/MDRMM001FR.pdf</t>
  </si>
  <si>
    <t>No. MDRMZ001</t>
  </si>
  <si>
    <t>http://www.ifrc.org/docs/appeals/06/MDRMZ001.pdf</t>
  </si>
  <si>
    <t>Polio outbreak</t>
  </si>
  <si>
    <t>DREF operation n° MDRNA002</t>
  </si>
  <si>
    <t>http://www.ifrc.org/docs/appeals/06/MDRNA002final.pdf</t>
  </si>
  <si>
    <t>http://www.ifrc.org/docs/appeals/05/05ME016ifr.pdf</t>
  </si>
  <si>
    <t>ME no. 05ME016</t>
  </si>
  <si>
    <t>http://www.ifrc.org/docs/appeals/05/05ME017fr.pdf</t>
  </si>
  <si>
    <t>ME no. 05ME017</t>
  </si>
  <si>
    <t>http://www.ifrc.org/docs/appeals/05/M05ME071.pdf</t>
  </si>
  <si>
    <t>Spill of Toxic waste</t>
  </si>
  <si>
    <t>DREF operation no. 05ME071</t>
  </si>
  <si>
    <t>Natural biological</t>
  </si>
  <si>
    <t>http://www.ifrc.org/docs/appeals/05/05ME029final.pdf</t>
  </si>
  <si>
    <t>Social unrest</t>
  </si>
  <si>
    <t>http://www.ifrc.org/docs/appeals/rpts05/boiu03.pdf</t>
  </si>
  <si>
    <t>http://www.ifrc.org/docs/appeals/rpts05/blfr02.pdf</t>
  </si>
  <si>
    <t>http://www.ifrc.org/docs/appeals/05/05ME035final.pdf</t>
  </si>
  <si>
    <t>http://www.ifrc.org/docs/appeals/rpts05/chea03.pdf</t>
  </si>
  <si>
    <t>http://www.ifrc.org/docs/appeals/05/05ME038.pdf</t>
  </si>
  <si>
    <t>http://www.ifrc.org/docs/appeals/05/05ME044final.pdf</t>
  </si>
  <si>
    <t>http://www.ifrc.org/docs/appeals/rpts05/UShurrKatrinaIB0512.pdf</t>
  </si>
  <si>
    <t>http://www.ifrc.org/docs/appeals/annual04/015104a.pdf</t>
  </si>
  <si>
    <t>http://www.ifrc.org/docs/appeals/rpts05/meperueq2.pdf</t>
  </si>
  <si>
    <t>http://www.ifrc.org/docs/appeals/rpts05/pydr2.pdf</t>
  </si>
  <si>
    <t>http://www.ifrc.org/docs/appeals/rpts05/BetaME1.pdf</t>
  </si>
  <si>
    <t>Colombia &amp; Nicaragua</t>
  </si>
  <si>
    <t>Hurricane beta</t>
  </si>
  <si>
    <t>http://www.ifrc.org/docs/appeals/05/05ME026ifr.pdf</t>
  </si>
  <si>
    <t>Avian flu</t>
  </si>
  <si>
    <t xml:space="preserve">Preparedness </t>
  </si>
  <si>
    <t>Volcano and floods</t>
  </si>
  <si>
    <t>http://www.ifrc.org/docs/appeals/rpts05/05ME06502.pdf</t>
  </si>
  <si>
    <t>Tropical storm Gamma</t>
  </si>
  <si>
    <t>http://www.ifrc.org/docs/appeals/rpts05/hnts1.pdf</t>
  </si>
  <si>
    <t>avian flu awareness campaign</t>
  </si>
  <si>
    <t>http://www.ifrc.org/docs/appeals/rpts06/td060302.pdf</t>
  </si>
  <si>
    <t>ME no. 05ME026</t>
  </si>
  <si>
    <t>no. 05ME029</t>
  </si>
  <si>
    <t>ME no. 05ME033 Update no. 3</t>
  </si>
  <si>
    <t>ME No.05ME035</t>
  </si>
  <si>
    <t>ME no. 05ME036 Update no. 3</t>
  </si>
  <si>
    <t>MINOR EMERGENCY NO: ME038</t>
  </si>
  <si>
    <t>DREF operation n° 05ME044</t>
  </si>
  <si>
    <t>Hurricane Katrina and Rita- Ops Support</t>
  </si>
  <si>
    <t>United States</t>
  </si>
  <si>
    <t>DREF Bulletin no. MDRPA001</t>
  </si>
  <si>
    <t>http://www.ifrc.org/docs/appeals/rpts07/MDRPA001final.pdf</t>
  </si>
  <si>
    <t>DREF Bulletin no. MDRPA002</t>
  </si>
  <si>
    <t>http://www.ifrc.org/docs/appeals/rpts07/MDRPA002final.pdf</t>
  </si>
  <si>
    <t>Mount Tavurvur volcano</t>
  </si>
  <si>
    <t>DREF Bulletin no. MDRPG001</t>
  </si>
  <si>
    <t>http://www.ifrc.org/docs/appeals/06/MDRPG00102.pdf</t>
  </si>
  <si>
    <t>DREF Bulletin no. MDRSV001</t>
  </si>
  <si>
    <t>http://www.ifrc.org/docs/appeals/rpts07/MDRSV001final.pdf</t>
  </si>
  <si>
    <t>Hailstorm</t>
  </si>
  <si>
    <t>DREF operation n° MDRSZ001</t>
  </si>
  <si>
    <t>http://www.ifrc.org/docs/appeals/06/MDRSZ001final.pdf</t>
  </si>
  <si>
    <t>DREF operation n° MDRUG003</t>
  </si>
  <si>
    <t>http://www.ifrc.org/docs/appeals/06/MDRUG003fr.pdf</t>
  </si>
  <si>
    <t>Emergency appeal n° MDRVN001</t>
  </si>
  <si>
    <t>http://www.ifrc.org/docs/appeals/08/MDRVN001finalrpt.pdf</t>
  </si>
  <si>
    <t>Appeal No. 01.51/2004 (annual report)</t>
  </si>
  <si>
    <t>Final Bulletin (no. 12/2005)</t>
  </si>
  <si>
    <t>Tropical Storm Adrian</t>
  </si>
  <si>
    <t>Dp For Response Planning</t>
  </si>
  <si>
    <t>WatSan project</t>
  </si>
  <si>
    <t>Pacific</t>
  </si>
  <si>
    <t>Central African refugees</t>
  </si>
  <si>
    <t>ME no. 05ME056</t>
  </si>
  <si>
    <t>ME no. 05ME057</t>
  </si>
  <si>
    <t>ME no. 05ME060</t>
  </si>
  <si>
    <t>Doroud Earthquake</t>
  </si>
  <si>
    <t>Cyclone Mala</t>
  </si>
  <si>
    <t xml:space="preserve"> Seismic Swarm</t>
  </si>
  <si>
    <t>Hurricana season Preparedness 2006</t>
  </si>
  <si>
    <t>M05ME031</t>
  </si>
  <si>
    <t>M05ME012</t>
  </si>
  <si>
    <t>M05ME011</t>
  </si>
  <si>
    <t>M05ME018</t>
  </si>
  <si>
    <t>M05ME019</t>
  </si>
  <si>
    <t>M05ME028</t>
  </si>
  <si>
    <t>M05ME063</t>
  </si>
  <si>
    <t>M05ME072</t>
  </si>
  <si>
    <t>ME no. 05ME065</t>
  </si>
  <si>
    <t>Natural Geophysical and Hydrometeorologic hydrological</t>
  </si>
  <si>
    <t>http://www.ifrc.org/docs/appeals/04/0804fr.pdf</t>
  </si>
  <si>
    <t>Cyclone Gafilo</t>
  </si>
  <si>
    <t>http://www.ifrc.org/docs/appeals/04/1404fr.pdf</t>
  </si>
  <si>
    <t>http://www.ifrc.org/docs/appeals/04/2604frf.pdf</t>
  </si>
  <si>
    <t>Typhoon</t>
  </si>
  <si>
    <t>Cyclone</t>
  </si>
  <si>
    <t>Bulletin no. 01/2006</t>
  </si>
  <si>
    <t>http://www.ifrc.org/docs/appeals/04/0204fr.pdf</t>
  </si>
  <si>
    <t>Kazungula Floods</t>
  </si>
  <si>
    <t>DREF operation n° MDRZW002</t>
  </si>
  <si>
    <t>http://www.ifrc.org/docs/appeals/06/MDRZM002%20Final.pdf</t>
  </si>
  <si>
    <t>Appeal No. MDRKG001</t>
  </si>
  <si>
    <t>http://www.ifrc.org/docs/appeals/07/MDRKG001afinal.pdf</t>
  </si>
  <si>
    <t xml:space="preserve">Philippines </t>
  </si>
  <si>
    <t>http://www.ifrc.org/docs/appeals/04/0304fr.pdf</t>
  </si>
  <si>
    <t>Landslides and floods</t>
  </si>
  <si>
    <t>http://www.ifrc.org/docs/appeals/04/0404fr.pdf</t>
  </si>
  <si>
    <t>http://www.ifrc.org/docs/appeals/04/0504fr.pdf</t>
  </si>
  <si>
    <t>Angola returnees and host community care</t>
  </si>
  <si>
    <t>http://www.ifrc.org/docs/appeals/04/0704f.pdf</t>
  </si>
  <si>
    <t>http://www.ifrc.org/docs/appeals/04/0904fr.pdf</t>
  </si>
  <si>
    <t>http://www.ifrc.org/docs/appeals/04/1104final.pdf</t>
  </si>
  <si>
    <t>Domican Republic and Haiti</t>
  </si>
  <si>
    <t>http://www.ifrc.org/docs/appeals/04/1304f.pdf</t>
  </si>
  <si>
    <t>http://www.ifrc.org/docs/appeals/04/170410.pdf</t>
  </si>
  <si>
    <t>Carribean</t>
  </si>
  <si>
    <t>Hurricane Ivan</t>
  </si>
  <si>
    <t>http://www.ifrc.org/docs/appeals/04/2104f.pdf</t>
  </si>
  <si>
    <t>Huricanne Jeanne</t>
  </si>
  <si>
    <t>http://www.ifrc.org/docs/appeals/04/2304f.pdf</t>
  </si>
  <si>
    <t>http://www.ifrc.org/docs/appeals/04/2404f.pdf</t>
  </si>
  <si>
    <t>http://www.ifrc.org/docs/appeals/04/250401.pdf</t>
  </si>
  <si>
    <t>Population movements</t>
  </si>
  <si>
    <t>http://www.ifrc.org/docs/appeals/04/2704ifr.pdf</t>
  </si>
  <si>
    <t>Tornado</t>
  </si>
  <si>
    <t>http://www.ifrc.org/docs/appeals/rpts04/BDtd220404.pdf</t>
  </si>
  <si>
    <t xml:space="preserve">Asia </t>
  </si>
  <si>
    <t xml:space="preserve">Tsumani </t>
  </si>
  <si>
    <t>cholera</t>
  </si>
  <si>
    <t>Madrid</t>
  </si>
  <si>
    <t>Food emergency</t>
  </si>
  <si>
    <t>civil violence</t>
  </si>
  <si>
    <t>Blasts</t>
  </si>
  <si>
    <t>Appeal No. 08/2004 Final Report</t>
  </si>
  <si>
    <t>2004-2011</t>
  </si>
  <si>
    <t>Beneficiaries</t>
  </si>
  <si>
    <t>Expenditure</t>
  </si>
  <si>
    <t>Health</t>
  </si>
  <si>
    <t>http://www.ifrc.org/docs/appeals/rpts04/zm040427.pdf</t>
  </si>
  <si>
    <t>Information Bulletin 03/2004</t>
  </si>
  <si>
    <t>http://www.ifrc.org/docs/appeals/rpts04/cofl3.pdf</t>
  </si>
  <si>
    <t>Information Bulletin (no. 2/2004)</t>
  </si>
  <si>
    <t>http://www.ifrc.org/docs/appeals/rpts04/ke040520.pdf</t>
  </si>
  <si>
    <t>Information Bulletin (no. 06/2004)</t>
  </si>
  <si>
    <t>http://www.ifrc.org/docs/appeals/rpts04/nimd06.pdf</t>
  </si>
  <si>
    <t>Information Bulletin (no. 09/2004)</t>
  </si>
  <si>
    <t>http://www.ifrc.org/docs/appeals/rpts04/CNfl10090409.pdf</t>
  </si>
  <si>
    <t>Appeal No. 02/04 Final Report</t>
  </si>
  <si>
    <t>Appeal No. 26/04 Final Report</t>
  </si>
  <si>
    <t>Flooding</t>
  </si>
  <si>
    <t>Information Bulletin (no. 01/2004)</t>
  </si>
  <si>
    <t>http://www.ifrc.org/docs/appeals/rpts04/pafl201.pdf</t>
  </si>
  <si>
    <t>http://www.ifrc.org/docs/appeals/rpts04/carjeanne2.pdf</t>
  </si>
  <si>
    <t>People fleeing Burndi</t>
  </si>
  <si>
    <t>http://www.ifrc.org/docs/appeals/rpts04/RW041014.pdf</t>
  </si>
  <si>
    <t>Guinea &amp; Sierra Leone</t>
  </si>
  <si>
    <t>Water &amp; Sanitation</t>
  </si>
  <si>
    <t xml:space="preserve"> Fire</t>
  </si>
  <si>
    <t>Appeal No. 25/04</t>
  </si>
  <si>
    <t>Explosion Of Ammunition Depot</t>
  </si>
  <si>
    <t>Palestinian Refugees</t>
  </si>
  <si>
    <t>darfur</t>
  </si>
  <si>
    <t>Youth Alliance</t>
  </si>
  <si>
    <t>Hurricane Frances</t>
  </si>
  <si>
    <t>Information Bulletin (no. 02/2004)</t>
  </si>
  <si>
    <t>Information Bulletin (no. 3/2004)</t>
  </si>
  <si>
    <t>https://www.ifrc.org/docs/appeals/rpts04/dj040507.pdf</t>
  </si>
  <si>
    <t>https://www.ifrc.org/docs/appeals/rpts04/spainexplosionib0404.pdf</t>
  </si>
  <si>
    <t>https://www.ifrc.org/docs/appeals/rpts04/tg040531.pdf</t>
  </si>
  <si>
    <t>https://www.ifrc.org/docs/appeals/rpts04/TZ040407.pdf</t>
  </si>
  <si>
    <t>https://www.ifrc.org/docs/appeals/rpts04/kosovounrestib0204.pdf</t>
  </si>
  <si>
    <t>Appeal No. 23/04. Final report</t>
  </si>
  <si>
    <t>Appeal No. 14/04. Final report</t>
  </si>
  <si>
    <t>Appeal No. 03/04 Final Report</t>
  </si>
  <si>
    <t>Appeal No. 04/2004 Final Report</t>
  </si>
  <si>
    <t>Appeal No. 05/2004 Final Report</t>
  </si>
  <si>
    <t>Appeal No. 07/04 Final Report</t>
  </si>
  <si>
    <t>Appeal No. 09/2004 Final Report</t>
  </si>
  <si>
    <t>Appeal No. 11/2004 Final Report</t>
  </si>
  <si>
    <t>Appeal No. 13/04 Final Report</t>
  </si>
  <si>
    <t>Appeal No. 17/2004; Final Report</t>
  </si>
  <si>
    <t>Appeal No. 21/2004 Final Report</t>
  </si>
  <si>
    <t xml:space="preserve">Appeal No. 24/04. Final report </t>
  </si>
  <si>
    <t>Appeal No. 27/2004. Interim final report</t>
  </si>
  <si>
    <t>https://www.ifrc.org/docs/appeals/rpts04/ukraineexplosionib0204.pdf</t>
  </si>
  <si>
    <t>https://www.ifrc.org/docs/appeals/rpts04/eg040804.pdf</t>
  </si>
  <si>
    <t>https://www.ifrc.org/docs/appeals/rpts04/hucarib6.pdf</t>
  </si>
  <si>
    <t>Hurricane Jeanne</t>
  </si>
  <si>
    <t>https://www.ifrc.org/docs/appeals/rpts04/gn040903.pdf</t>
  </si>
  <si>
    <t>https://www.ifrc.org/docs/appeals/rpts04/prfi02.pdf</t>
  </si>
  <si>
    <t>Information Bulletin (no. 03/2004)</t>
  </si>
  <si>
    <t>Natural Hydrometeorologic Meteorological</t>
  </si>
  <si>
    <t>Information Bulletin No.1/2004</t>
  </si>
  <si>
    <t>Information Bulletin (no. 1/2004)</t>
  </si>
  <si>
    <t>http://www.ifrc.org/docs/appeals/rpts04/sn041027.pdf</t>
  </si>
  <si>
    <t>Information Bulletin (No. 2/2004)</t>
  </si>
  <si>
    <t>http://www.ifrc.org/docs/appeals/rpts04/cf041125.pdf</t>
  </si>
  <si>
    <t>http://www.ifrc.org/docs/appeals/rpts04/crfl01.pdf</t>
  </si>
  <si>
    <t>http://www.ifrc.org/docs/appeals/rpts04/pafl01.pdf</t>
  </si>
  <si>
    <t>Bulletin No. 2/2004</t>
  </si>
  <si>
    <t>http://www.ifrc.org/docs/appeals/rpts04/alfl1.pdf</t>
  </si>
  <si>
    <t>Information Bulletin no. 02/2004</t>
  </si>
  <si>
    <t>http://www.ifrc.org/docs/appeals/rpts04/cm040914.pdf</t>
  </si>
  <si>
    <t>Malaria and Measles</t>
  </si>
  <si>
    <t>Appeal 10/2004 Focus on Action in Togo Programme Update no. 1</t>
  </si>
  <si>
    <t>http://www.ifrc.org/docs/appeals/annual04/100401Togo.pdf</t>
  </si>
  <si>
    <t>Earthquake Edan</t>
  </si>
  <si>
    <t>Information Bulletin N° 2/2004</t>
  </si>
  <si>
    <t>http://www.ifrc.org/docs/appeals/rpts04/zm040113.pdf</t>
  </si>
  <si>
    <t>Information Bulletin 02/2004</t>
  </si>
  <si>
    <t>http://www.ifrc.org/docs/appeals/rpts04/coeq2.pdf</t>
  </si>
  <si>
    <t>Appeal No. M04EA028</t>
  </si>
  <si>
    <t>http://www.ifrc.org/docs/appeals/04/PoAOct11.pdf and http://www.ifrc.org/docs/appeals/04/2804FWR5.5.pdf</t>
  </si>
  <si>
    <t xml:space="preserve">Number of appeals </t>
  </si>
  <si>
    <t>missing number</t>
  </si>
  <si>
    <t xml:space="preserve">http://www.ifrc.org/docs/appeals/08/05EA013fr.pdf </t>
  </si>
  <si>
    <t>Appeals per zone ZONE</t>
  </si>
  <si>
    <t>2004-2007</t>
  </si>
  <si>
    <t>2008-2011</t>
  </si>
  <si>
    <t>Cost per beneficiary</t>
  </si>
  <si>
    <t>Average cost/beneficiary per interval</t>
  </si>
  <si>
    <t xml:space="preserve">Algeria </t>
  </si>
  <si>
    <t>DRC</t>
  </si>
  <si>
    <t>COUNTRY</t>
  </si>
  <si>
    <t>Belarus</t>
  </si>
  <si>
    <t>Central America (Nicaragua, Honduras, Belize, Guatemala and Mexico)</t>
  </si>
  <si>
    <t>Central America (Belize, Guatemala, Honduras and Nicaragua)</t>
  </si>
  <si>
    <t>Central America (Guatemala, Honduras and Nicaragua)</t>
  </si>
  <si>
    <t>Carribean (Grenada, Jamaica, the Cayman Islands and Cuba)</t>
  </si>
  <si>
    <t xml:space="preserve">Central Africa </t>
  </si>
  <si>
    <t>Central Africa (Democratic Republic of the Congo (DRC), Gabon, Sao Tome and Principe and the Central African Republic (CAR))</t>
  </si>
  <si>
    <t>cook Islands</t>
  </si>
  <si>
    <t xml:space="preserve">Cuba </t>
  </si>
  <si>
    <t>W/S Ratio</t>
  </si>
  <si>
    <t>N. Of Appeal with WatSan beneficiaries</t>
  </si>
  <si>
    <t>With Sanitation</t>
  </si>
  <si>
    <t>YEAR</t>
  </si>
  <si>
    <t>Total appeals</t>
  </si>
  <si>
    <t>#</t>
  </si>
  <si>
    <t>%</t>
  </si>
  <si>
    <t>AWD</t>
  </si>
  <si>
    <t>Others</t>
  </si>
  <si>
    <t>volunteers trained elsewhere</t>
  </si>
  <si>
    <t>Separate report collected from Ben</t>
  </si>
  <si>
    <t>Region</t>
  </si>
  <si>
    <t># of trainers</t>
  </si>
  <si>
    <t>CBV trained</t>
  </si>
  <si>
    <t>Operation/Programme</t>
  </si>
  <si>
    <t>Appeal/ DREF</t>
  </si>
  <si>
    <t>Period</t>
  </si>
  <si>
    <t>Appeal</t>
  </si>
  <si>
    <t>DREF</t>
  </si>
  <si>
    <t>Congo, Republic of</t>
  </si>
  <si>
    <t>Measles Outbreak</t>
  </si>
  <si>
    <t xml:space="preserve">Country </t>
  </si>
  <si>
    <t>population Movement</t>
  </si>
  <si>
    <t xml:space="preserve"> NS funding</t>
  </si>
  <si>
    <t>Floods/cholera</t>
  </si>
  <si>
    <t>RVF</t>
  </si>
  <si>
    <t>Dref</t>
  </si>
  <si>
    <t>West Coast</t>
  </si>
  <si>
    <t>Meningitis Out break</t>
  </si>
  <si>
    <t>Flood operation</t>
  </si>
  <si>
    <t>yellow Fever and Meningitis Outbreak</t>
  </si>
  <si>
    <t>Lassa Fever Outbreak</t>
  </si>
  <si>
    <t>CB Volunteers</t>
  </si>
  <si>
    <t>MCH</t>
  </si>
  <si>
    <t>CBHFA</t>
  </si>
  <si>
    <t>Male condom</t>
  </si>
  <si>
    <t>Other operations</t>
  </si>
  <si>
    <t>Epidemic/ Outbreaks</t>
  </si>
  <si>
    <t>Total operations</t>
  </si>
  <si>
    <t>% of epidemic</t>
  </si>
  <si>
    <t>Epidemics/ no ECV</t>
  </si>
  <si>
    <t>Epidemics/ ECV</t>
  </si>
  <si>
    <t>Total epidemics</t>
  </si>
  <si>
    <t>average</t>
  </si>
  <si>
    <t xml:space="preserve">W/S ratio (2004-2011) </t>
  </si>
  <si>
    <t>EXPENDITURE</t>
  </si>
  <si>
    <t>HEALTH beneficiaries</t>
  </si>
  <si>
    <t>Cost/beneficiary (Watsan)</t>
  </si>
  <si>
    <t>East Africa (Uganda, Tanzania, Kenya)</t>
  </si>
  <si>
    <t>Africa (Togo)</t>
  </si>
  <si>
    <t>Eastern Africa (Kenya, Ethiopia, Tanzania, Southern Sudan, Eritreia)</t>
  </si>
  <si>
    <t>Eritreia</t>
  </si>
  <si>
    <t>Dominica</t>
  </si>
  <si>
    <t xml:space="preserve">Ecuador </t>
  </si>
  <si>
    <t>Sierra Leone</t>
  </si>
  <si>
    <t>North Africa and Middle East (Syria, Jordan, Lebanon)</t>
  </si>
  <si>
    <t>West and Central Africa (Liberia, Guinea, Burkina Faso, Niger, Gambia, Gabon, Togo, Mali, Central African Republic, Ghana, Benin, Mauritania, Côte d'Ivoire, Sierra Leone and Senegal)</t>
  </si>
  <si>
    <t>West and Central Africa (Benin, Cameroon, Chad, Côte d’Ivoire,Gambia, Ghana, Guinea, Guinea Bissau, Liberia, Mali, Mauritania, Niger, Nigeria, Senegal, Sierra Leone and Togo)</t>
  </si>
  <si>
    <t>Horn of Africa (Ethiopia, Djibouti, Kenya and Somalia)</t>
  </si>
  <si>
    <t>Southern Africa (Lesotho, Malawi, Mozambique, Namibia, Swaziland, Zambia and Zimbabwe)</t>
  </si>
  <si>
    <t>West Africa (Togo, Ghana, Burkina Faso)</t>
  </si>
  <si>
    <t>West and Central Africa (Benin, Burkina Faso, Côte d'Ivoire, Ghana, Mali, Niger, Nigeria and Chad)</t>
  </si>
  <si>
    <t>Southern Africa (South Africa)</t>
  </si>
  <si>
    <t>West Africa (Ghana, Burkina Faso, Guinea, Liberia, Cote d'Ivoire)</t>
  </si>
  <si>
    <t>Jordan</t>
  </si>
  <si>
    <t>Malli</t>
  </si>
  <si>
    <t>West and Central Africa (Benin, Togo, Gambia,  Ghana, Central African Republic, Cameroon, Burkina Faso, Niger, Guinea Bissau, Mali, Guinea, Liberia, Chad, Republic of Congo)</t>
  </si>
  <si>
    <t>West Africa  (Liberia, Burkina Faso, Ghana, Guinea-Conakry and Mali)</t>
  </si>
  <si>
    <t xml:space="preserve">Italy </t>
  </si>
  <si>
    <t>DREFs</t>
  </si>
  <si>
    <t>Emergency Appeals</t>
  </si>
  <si>
    <t>DISASTER TYPE</t>
  </si>
  <si>
    <t>&gt;50.000 beneficiaries</t>
  </si>
  <si>
    <t>&lt;5.000 beneficiaries</t>
  </si>
  <si>
    <t>216/774</t>
  </si>
  <si>
    <t>218/774</t>
  </si>
  <si>
    <t>BENEFICIARIES</t>
  </si>
  <si>
    <t xml:space="preserve">AVERAGE </t>
  </si>
  <si>
    <t>Median</t>
  </si>
  <si>
    <t>MAX</t>
  </si>
  <si>
    <t>MIN</t>
  </si>
  <si>
    <t>Average of Appeals COVERAGE</t>
  </si>
  <si>
    <t>DREFs with WatSan</t>
  </si>
  <si>
    <t>DREFs with Sanitation</t>
  </si>
  <si>
    <t>176/479</t>
  </si>
  <si>
    <t>89/479</t>
  </si>
  <si>
    <t>189/295</t>
  </si>
  <si>
    <t>98/295</t>
  </si>
  <si>
    <t>151/295</t>
  </si>
  <si>
    <t>EA with Watsan</t>
  </si>
  <si>
    <t>EA with Sanitation</t>
  </si>
  <si>
    <t>EA with Water</t>
  </si>
  <si>
    <t>Middle East (Syria and Jordan)</t>
  </si>
  <si>
    <t>Middle East (Lebanon, Syria, Egypt and Cyprus)</t>
  </si>
  <si>
    <t>Moldova and Ukraine</t>
  </si>
  <si>
    <t xml:space="preserve">Russia </t>
  </si>
  <si>
    <t xml:space="preserve">2005-2011 - Average per year </t>
  </si>
  <si>
    <t>St Vicent and the Grenadines</t>
  </si>
  <si>
    <t>Timor- Leste</t>
  </si>
  <si>
    <t xml:space="preserve">Vanautu </t>
  </si>
  <si>
    <t>Average number of WatSAN beneficiaries per appeal by year</t>
  </si>
  <si>
    <t>TOTAL expenditure by year</t>
  </si>
  <si>
    <t>TOTAL beneficiaries</t>
  </si>
  <si>
    <t>Watsan EXPENDITURE</t>
  </si>
  <si>
    <t>WATSAN BENEFICIARIES</t>
  </si>
  <si>
    <t>SANITATION BENEFICIARIES</t>
  </si>
  <si>
    <t>EXPENDITURES</t>
  </si>
  <si>
    <t>COST/BENEFICIARIES</t>
  </si>
  <si>
    <t>W/S ratio per year (average)</t>
  </si>
  <si>
    <t>CAR</t>
  </si>
  <si>
    <r>
      <t xml:space="preserve">Operations with </t>
    </r>
    <r>
      <rPr>
        <b/>
        <sz val="10"/>
        <rFont val="Arial"/>
        <family val="2"/>
      </rPr>
      <t>WatSan</t>
    </r>
    <r>
      <rPr>
        <sz val="10"/>
        <rFont val="Arial"/>
        <family val="2"/>
      </rPr>
      <t xml:space="preserve"> activities</t>
    </r>
  </si>
  <si>
    <r>
      <t xml:space="preserve">Operations with </t>
    </r>
    <r>
      <rPr>
        <b/>
        <sz val="10"/>
        <rFont val="Arial"/>
        <family val="2"/>
      </rPr>
      <t>Sanitation</t>
    </r>
    <r>
      <rPr>
        <sz val="10"/>
        <rFont val="Arial"/>
        <family val="2"/>
      </rPr>
      <t xml:space="preserve"> activities</t>
    </r>
  </si>
  <si>
    <t>Majority hydrometeorological</t>
  </si>
  <si>
    <t>Most affected according to EM-DAT</t>
  </si>
  <si>
    <t>Philippines, Indonesia, India, China and USA</t>
  </si>
  <si>
    <t>PERCENTAGE</t>
  </si>
  <si>
    <t>Africa 14 countries</t>
  </si>
  <si>
    <t xml:space="preserve">Burkina Faso- Yellow Fever </t>
  </si>
  <si>
    <t>Burkina Faso- Meningitis</t>
  </si>
  <si>
    <t>WATER BENEFICIARIES</t>
  </si>
  <si>
    <t>AVERAGE</t>
  </si>
  <si>
    <t>WatSan Finances</t>
  </si>
  <si>
    <t>Medical and First Aid Finances</t>
  </si>
  <si>
    <t>Appeal Code</t>
  </si>
  <si>
    <t>Final report Appeal No.MDRZW003</t>
  </si>
  <si>
    <t>Emergency appeal</t>
  </si>
  <si>
    <t xml:space="preserve">Type of response </t>
  </si>
  <si>
    <t>Information bulletin</t>
  </si>
  <si>
    <t>Report not found</t>
  </si>
  <si>
    <t xml:space="preserve"> WatSan (hardware)</t>
  </si>
  <si>
    <t>Water  Beneficiaries</t>
  </si>
  <si>
    <t>Sanitation  Beneficiaries</t>
  </si>
  <si>
    <t>WatSan (Hygiene Promotion)</t>
  </si>
  <si>
    <t>Cost/beneficiary (health)</t>
  </si>
  <si>
    <t>Total budget</t>
  </si>
  <si>
    <t>Total income</t>
  </si>
  <si>
    <t>Total Health (PSS, Prevention, clinical)</t>
  </si>
  <si>
    <t>Cost per beneficiary (CHF)</t>
  </si>
  <si>
    <t>AVERAGE per ZONE (2004-2011)</t>
  </si>
  <si>
    <t>Average targeted beneficiaries</t>
  </si>
  <si>
    <t>Average appeals</t>
  </si>
  <si>
    <t>Average  budget</t>
  </si>
  <si>
    <t>Average  income</t>
  </si>
  <si>
    <t>Average expenditure</t>
  </si>
  <si>
    <t>Average Cost per beneficiary (CHF)</t>
  </si>
  <si>
    <t>Average Water  Beneficiaries</t>
  </si>
  <si>
    <t>Average per year</t>
  </si>
  <si>
    <t>Total expenditures</t>
  </si>
  <si>
    <t>Total health expenditures</t>
  </si>
  <si>
    <t>Total health beneficiaries</t>
  </si>
  <si>
    <t>Health Expenditure per beneficiary (CHF)</t>
  </si>
  <si>
    <t>Health expenditure</t>
  </si>
  <si>
    <t>Health expenditure (%)</t>
  </si>
  <si>
    <t>Health beneficiaries</t>
  </si>
  <si>
    <t>Health beneficiaries (%)</t>
  </si>
  <si>
    <t>Total Expenditure per beneficiary (CHF)</t>
  </si>
  <si>
    <t>not known</t>
  </si>
  <si>
    <t>(All)</t>
  </si>
  <si>
    <t>Row Labels</t>
  </si>
  <si>
    <t>Sum of Total Expenditure (CHF)</t>
  </si>
  <si>
    <t xml:space="preserve">Sum of Total Targeted Beneficiaries </t>
  </si>
  <si>
    <t>Sum of Water  Beneficiaries</t>
  </si>
  <si>
    <t>Emergency Health</t>
  </si>
  <si>
    <t>Sum of Cost per beneficiary</t>
  </si>
  <si>
    <t>Sum of Sanitation  Beneficiaries</t>
  </si>
  <si>
    <t>Sum of Total WatSan/HP</t>
  </si>
  <si>
    <t xml:space="preserve">Sum of Total Trained Volunteers </t>
  </si>
  <si>
    <t>Sum of Water, Sanitation &amp; Hygene Expenditures (CHF)</t>
  </si>
  <si>
    <t>Average of Appeal Coverage (%)</t>
  </si>
  <si>
    <t>Average of Cost per beneficiary</t>
  </si>
  <si>
    <t>Average of Cost/beneficiary (Watsan)</t>
  </si>
  <si>
    <t>Sum of Psychosocial Programs' Beneficiaries</t>
  </si>
  <si>
    <t>Sum of Health Promotion/Prevention Beneficiaries</t>
  </si>
  <si>
    <t xml:space="preserve">Sum of  No. of Volunteers </t>
  </si>
  <si>
    <t>Sum of No. of Distributed Mosquito Nets</t>
  </si>
  <si>
    <t>Sum of Clinical Treatments</t>
  </si>
  <si>
    <t>Sum of Medical &amp; First Aid Expenditures (CHF)</t>
  </si>
  <si>
    <t xml:space="preserve">Average of Total Targeted Beneficiaries </t>
  </si>
  <si>
    <t>SUM Values</t>
  </si>
  <si>
    <t>AVERAGE Values</t>
  </si>
  <si>
    <t>Average of Total Expenditure (CHF)</t>
  </si>
  <si>
    <t>Average of Water  Beneficiaries</t>
  </si>
  <si>
    <t>Average of Sanitation  Beneficiaries</t>
  </si>
  <si>
    <t>Average of Total WatSan/HP</t>
  </si>
  <si>
    <t xml:space="preserve">Average of Total Trained Volunteers </t>
  </si>
  <si>
    <t>Average of Water, Sanitation &amp; Hygene Expenditures (CHF)</t>
  </si>
  <si>
    <t>Average of Psychosocial Programs' Beneficiaries</t>
  </si>
  <si>
    <t>Average of Health Promotion/Prevention Beneficiaries</t>
  </si>
  <si>
    <t>Average of Medical &amp; First Aid Expenditures (CHF)</t>
  </si>
  <si>
    <t>Average of Clinical Treatments</t>
  </si>
  <si>
    <t>Average of No. of Distributed Mosquito Nets</t>
  </si>
  <si>
    <t xml:space="preserve">Average of  No. of Volunteers </t>
  </si>
  <si>
    <t>THIS COULOR MEANS NOT UP DATED</t>
  </si>
  <si>
    <t>AVERAGE PER YEAR</t>
  </si>
  <si>
    <t>Total (PSS, prev, clinical)</t>
  </si>
  <si>
    <t xml:space="preserve">Total  HP Beneficiaries </t>
  </si>
  <si>
    <t xml:space="preserve">Sum of Total  HP Beneficiaries </t>
  </si>
  <si>
    <t>Sum of Total (PSS, prev, clinical)</t>
  </si>
  <si>
    <t xml:space="preserve">Average of Total  HP Beneficiaries </t>
  </si>
  <si>
    <t>Average of Total (PSS, prev, clinical)</t>
  </si>
  <si>
    <t>Column Labels</t>
  </si>
  <si>
    <t>Medical and First Aid Expenditure</t>
  </si>
  <si>
    <t>2005-2011</t>
  </si>
  <si>
    <t>2004-2011 without DREFs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</si>
</sst>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dd/mm/yy;@"/>
    <numFmt numFmtId="166" formatCode="0.0"/>
    <numFmt numFmtId="167" formatCode="#,##0.0"/>
  </numFmts>
  <fonts count="6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2"/>
      <color indexed="81"/>
      <name val="Tahoma"/>
      <family val="2"/>
    </font>
    <font>
      <b/>
      <sz val="12"/>
      <color indexed="81"/>
      <name val="Tahoma"/>
      <family val="2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color indexed="81"/>
      <name val="Calibri"/>
      <family val="2"/>
    </font>
    <font>
      <sz val="12"/>
      <color indexed="81"/>
      <name val="Calibri"/>
      <family val="2"/>
    </font>
    <font>
      <u/>
      <sz val="7.7"/>
      <color theme="10"/>
      <name val="Calibri"/>
      <family val="2"/>
    </font>
    <font>
      <u/>
      <sz val="11"/>
      <color theme="10"/>
      <name val="Calibri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0"/>
      <color theme="5" tint="-0.249977111117893"/>
      <name val="Arial"/>
      <family val="2"/>
    </font>
    <font>
      <sz val="10"/>
      <color rgb="FF0000CC"/>
      <name val="Arial"/>
      <family val="2"/>
    </font>
    <font>
      <b/>
      <sz val="10"/>
      <color rgb="FF0000CC"/>
      <name val="Arial"/>
      <family val="2"/>
    </font>
    <font>
      <sz val="10"/>
      <color rgb="FF0000FF"/>
      <name val="Arial"/>
      <family val="2"/>
    </font>
    <font>
      <u/>
      <sz val="10"/>
      <color theme="11"/>
      <name val="Arial"/>
      <family val="2"/>
    </font>
    <font>
      <sz val="11"/>
      <color theme="0"/>
      <name val="Calibri"/>
      <family val="2"/>
      <scheme val="minor"/>
    </font>
    <font>
      <b/>
      <sz val="10"/>
      <color rgb="FF0000FF"/>
      <name val="Arial"/>
      <family val="2"/>
    </font>
    <font>
      <i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17365D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color rgb="FFC00000"/>
      <name val="Arial"/>
      <family val="2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u/>
      <sz val="7.7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u/>
      <sz val="7.7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00CC"/>
      <name val="Arial"/>
      <family val="2"/>
    </font>
    <font>
      <b/>
      <sz val="10"/>
      <color rgb="FF202AEC"/>
      <name val="Arial"/>
      <family val="2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sz val="11"/>
      <name val="Calibri"/>
      <scheme val="minor"/>
    </font>
    <font>
      <sz val="11"/>
      <color theme="1"/>
      <name val="Calibri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14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</cellStyleXfs>
  <cellXfs count="1078">
    <xf numFmtId="0" fontId="0" fillId="0" borderId="0" xfId="0"/>
    <xf numFmtId="3" fontId="0" fillId="0" borderId="0" xfId="0" applyNumberFormat="1"/>
    <xf numFmtId="0" fontId="0" fillId="0" borderId="0" xfId="0" applyFill="1"/>
    <xf numFmtId="0" fontId="0" fillId="0" borderId="0" xfId="0" applyAlignment="1">
      <alignment horizontal="left"/>
    </xf>
    <xf numFmtId="0" fontId="12" fillId="0" borderId="0" xfId="0" applyFont="1"/>
    <xf numFmtId="0" fontId="12" fillId="0" borderId="0" xfId="0" applyFont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1" fontId="12" fillId="0" borderId="0" xfId="0" applyNumberFormat="1" applyFont="1" applyFill="1" applyBorder="1" applyAlignment="1">
      <alignment horizontal="left" vertical="center"/>
    </xf>
    <xf numFmtId="3" fontId="12" fillId="0" borderId="0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1" fontId="12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1" fontId="0" fillId="0" borderId="0" xfId="0" applyNumberFormat="1"/>
    <xf numFmtId="1" fontId="12" fillId="0" borderId="0" xfId="0" applyNumberFormat="1" applyFont="1" applyFill="1" applyBorder="1" applyAlignment="1">
      <alignment horizontal="left" wrapText="1"/>
    </xf>
    <xf numFmtId="1" fontId="12" fillId="0" borderId="0" xfId="0" applyNumberFormat="1" applyFont="1" applyBorder="1" applyAlignment="1">
      <alignment horizontal="left" wrapText="1"/>
    </xf>
    <xf numFmtId="1" fontId="0" fillId="0" borderId="0" xfId="0" applyNumberFormat="1" applyFill="1"/>
    <xf numFmtId="0" fontId="25" fillId="0" borderId="0" xfId="1" applyNumberFormat="1" applyFill="1" applyAlignment="1" applyProtection="1">
      <alignment horizontal="left" wrapText="1"/>
    </xf>
    <xf numFmtId="0" fontId="0" fillId="11" borderId="0" xfId="0" applyFill="1"/>
    <xf numFmtId="164" fontId="0" fillId="0" borderId="0" xfId="0" applyNumberFormat="1"/>
    <xf numFmtId="0" fontId="0" fillId="2" borderId="0" xfId="0" applyFill="1"/>
    <xf numFmtId="0" fontId="0" fillId="4" borderId="0" xfId="0" applyFill="1"/>
    <xf numFmtId="0" fontId="25" fillId="0" borderId="0" xfId="1" applyFill="1" applyAlignment="1" applyProtection="1">
      <alignment horizontal="left"/>
    </xf>
    <xf numFmtId="1" fontId="27" fillId="0" borderId="0" xfId="0" applyNumberFormat="1" applyFont="1" applyFill="1" applyBorder="1" applyAlignment="1">
      <alignment horizontal="left"/>
    </xf>
    <xf numFmtId="1" fontId="27" fillId="0" borderId="0" xfId="0" applyNumberFormat="1" applyFont="1" applyFill="1" applyAlignment="1">
      <alignment horizontal="left"/>
    </xf>
    <xf numFmtId="0" fontId="18" fillId="12" borderId="0" xfId="0" applyFont="1" applyFill="1"/>
    <xf numFmtId="0" fontId="28" fillId="0" borderId="0" xfId="0" applyFont="1"/>
    <xf numFmtId="0" fontId="30" fillId="2" borderId="0" xfId="0" applyFont="1" applyFill="1"/>
    <xf numFmtId="0" fontId="0" fillId="9" borderId="0" xfId="0" applyFill="1"/>
    <xf numFmtId="0" fontId="0" fillId="0" borderId="0" xfId="0" applyAlignment="1">
      <alignment wrapText="1"/>
    </xf>
    <xf numFmtId="0" fontId="18" fillId="0" borderId="0" xfId="0" applyFont="1"/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left"/>
    </xf>
    <xf numFmtId="0" fontId="18" fillId="0" borderId="0" xfId="0" applyFont="1" applyBorder="1" applyAlignment="1">
      <alignment horizontal="left"/>
    </xf>
    <xf numFmtId="0" fontId="19" fillId="0" borderId="0" xfId="0" applyFont="1"/>
    <xf numFmtId="0" fontId="28" fillId="0" borderId="0" xfId="0" applyFont="1"/>
    <xf numFmtId="0" fontId="19" fillId="4" borderId="0" xfId="0" applyFont="1" applyFill="1"/>
    <xf numFmtId="0" fontId="25" fillId="0" borderId="0" xfId="1" applyFill="1" applyAlignment="1" applyProtection="1"/>
    <xf numFmtId="1" fontId="28" fillId="0" borderId="0" xfId="0" applyNumberFormat="1" applyFont="1"/>
    <xf numFmtId="1" fontId="29" fillId="0" borderId="0" xfId="0" applyNumberFormat="1" applyFont="1"/>
    <xf numFmtId="0" fontId="0" fillId="19" borderId="0" xfId="0" applyFill="1"/>
    <xf numFmtId="0" fontId="19" fillId="0" borderId="0" xfId="0" applyFont="1" applyFill="1"/>
    <xf numFmtId="3" fontId="29" fillId="0" borderId="0" xfId="0" applyNumberFormat="1" applyFont="1"/>
    <xf numFmtId="0" fontId="29" fillId="0" borderId="0" xfId="0" applyFont="1"/>
    <xf numFmtId="0" fontId="0" fillId="0" borderId="0" xfId="0" applyFont="1" applyFill="1"/>
    <xf numFmtId="0" fontId="19" fillId="0" borderId="1" xfId="0" applyFont="1" applyFill="1" applyBorder="1"/>
    <xf numFmtId="0" fontId="0" fillId="0" borderId="0" xfId="0" applyBorder="1"/>
    <xf numFmtId="0" fontId="0" fillId="2" borderId="0" xfId="0" applyFont="1" applyFill="1"/>
    <xf numFmtId="0" fontId="20" fillId="0" borderId="1" xfId="0" applyFont="1" applyFill="1" applyBorder="1"/>
    <xf numFmtId="0" fontId="20" fillId="0" borderId="0" xfId="0" applyFont="1" applyFill="1"/>
    <xf numFmtId="0" fontId="0" fillId="0" borderId="0" xfId="0" applyFont="1"/>
    <xf numFmtId="0" fontId="0" fillId="0" borderId="0" xfId="0" applyFill="1" applyBorder="1"/>
    <xf numFmtId="0" fontId="14" fillId="0" borderId="0" xfId="0" applyFont="1" applyFill="1"/>
    <xf numFmtId="0" fontId="14" fillId="0" borderId="0" xfId="0" applyFont="1"/>
    <xf numFmtId="0" fontId="14" fillId="22" borderId="0" xfId="0" applyFont="1" applyFill="1"/>
    <xf numFmtId="0" fontId="0" fillId="0" borderId="5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4" fillId="2" borderId="0" xfId="0" applyFont="1" applyFill="1"/>
    <xf numFmtId="0" fontId="14" fillId="0" borderId="0" xfId="15"/>
    <xf numFmtId="0" fontId="14" fillId="0" borderId="0" xfId="15" applyBorder="1" applyAlignment="1">
      <alignment horizontal="left" wrapText="1"/>
    </xf>
    <xf numFmtId="0" fontId="18" fillId="0" borderId="0" xfId="15" applyFont="1"/>
    <xf numFmtId="0" fontId="14" fillId="0" borderId="0" xfId="15" applyFill="1" applyBorder="1"/>
    <xf numFmtId="0" fontId="14" fillId="0" borderId="0" xfId="15" applyBorder="1" applyAlignment="1">
      <alignment horizontal="left"/>
    </xf>
    <xf numFmtId="0" fontId="14" fillId="0" borderId="0" xfId="15" applyBorder="1"/>
    <xf numFmtId="0" fontId="14" fillId="0" borderId="0" xfId="15" applyFont="1" applyFill="1" applyBorder="1" applyAlignment="1">
      <alignment horizontal="left" wrapText="1"/>
    </xf>
    <xf numFmtId="0" fontId="14" fillId="0" borderId="0" xfId="15" applyFill="1" applyBorder="1" applyAlignment="1">
      <alignment horizontal="left" wrapText="1"/>
    </xf>
    <xf numFmtId="0" fontId="14" fillId="0" borderId="0" xfId="15" applyFont="1" applyFill="1" applyBorder="1" applyAlignment="1">
      <alignment wrapText="1"/>
    </xf>
    <xf numFmtId="0" fontId="14" fillId="0" borderId="0" xfId="15" applyFont="1" applyBorder="1" applyAlignment="1">
      <alignment wrapText="1"/>
    </xf>
    <xf numFmtId="0" fontId="31" fillId="0" borderId="0" xfId="15" applyFont="1" applyBorder="1" applyAlignment="1">
      <alignment horizontal="left" wrapText="1"/>
    </xf>
    <xf numFmtId="0" fontId="31" fillId="0" borderId="0" xfId="15" applyFont="1" applyFill="1" applyBorder="1" applyAlignment="1">
      <alignment horizontal="left" wrapText="1"/>
    </xf>
    <xf numFmtId="0" fontId="14" fillId="0" borderId="0" xfId="15" applyAlignment="1">
      <alignment wrapText="1"/>
    </xf>
    <xf numFmtId="0" fontId="18" fillId="0" borderId="0" xfId="15" applyFont="1" applyAlignment="1">
      <alignment wrapText="1"/>
    </xf>
    <xf numFmtId="0" fontId="14" fillId="0" borderId="0" xfId="15" applyFont="1" applyFill="1" applyBorder="1" applyAlignment="1">
      <alignment horizontal="left"/>
    </xf>
    <xf numFmtId="0" fontId="14" fillId="0" borderId="0" xfId="15" applyFont="1" applyFill="1" applyBorder="1"/>
    <xf numFmtId="0" fontId="14" fillId="0" borderId="0" xfId="15" applyFont="1" applyBorder="1" applyAlignment="1">
      <alignment horizontal="left"/>
    </xf>
    <xf numFmtId="0" fontId="31" fillId="0" borderId="0" xfId="15" applyFont="1" applyBorder="1" applyAlignment="1">
      <alignment horizontal="left"/>
    </xf>
    <xf numFmtId="0" fontId="14" fillId="0" borderId="0" xfId="15" applyFill="1" applyBorder="1" applyAlignment="1">
      <alignment horizontal="left"/>
    </xf>
    <xf numFmtId="0" fontId="31" fillId="0" borderId="0" xfId="15" applyFont="1" applyBorder="1"/>
    <xf numFmtId="0" fontId="18" fillId="0" borderId="0" xfId="15" applyFont="1" applyBorder="1" applyAlignment="1">
      <alignment horizontal="left"/>
    </xf>
    <xf numFmtId="0" fontId="18" fillId="0" borderId="0" xfId="15" applyFont="1" applyFill="1" applyBorder="1" applyAlignment="1">
      <alignment horizontal="left"/>
    </xf>
    <xf numFmtId="0" fontId="32" fillId="0" borderId="0" xfId="15" applyFont="1" applyBorder="1" applyAlignment="1">
      <alignment horizontal="left"/>
    </xf>
    <xf numFmtId="4" fontId="18" fillId="0" borderId="0" xfId="15" applyNumberFormat="1" applyFont="1" applyBorder="1" applyAlignment="1">
      <alignment horizontal="left"/>
    </xf>
    <xf numFmtId="4" fontId="18" fillId="0" borderId="0" xfId="15" applyNumberFormat="1" applyFont="1" applyFill="1" applyBorder="1" applyAlignment="1">
      <alignment horizontal="left"/>
    </xf>
    <xf numFmtId="4" fontId="32" fillId="0" borderId="0" xfId="15" applyNumberFormat="1" applyFont="1" applyBorder="1" applyAlignment="1">
      <alignment horizontal="left"/>
    </xf>
    <xf numFmtId="0" fontId="18" fillId="0" borderId="0" xfId="15" applyFont="1" applyBorder="1"/>
    <xf numFmtId="0" fontId="18" fillId="0" borderId="0" xfId="15" applyFont="1" applyBorder="1" applyAlignment="1">
      <alignment horizontal="left" wrapText="1"/>
    </xf>
    <xf numFmtId="0" fontId="14" fillId="0" borderId="3" xfId="15" applyBorder="1" applyAlignment="1">
      <alignment horizontal="left"/>
    </xf>
    <xf numFmtId="0" fontId="14" fillId="0" borderId="0" xfId="15" applyFill="1"/>
    <xf numFmtId="0" fontId="14" fillId="0" borderId="0" xfId="15" applyAlignment="1">
      <alignment horizontal="left"/>
    </xf>
    <xf numFmtId="4" fontId="14" fillId="0" borderId="0" xfId="15" applyNumberFormat="1" applyAlignment="1">
      <alignment horizontal="left"/>
    </xf>
    <xf numFmtId="0" fontId="14" fillId="0" borderId="0" xfId="15" applyBorder="1" applyAlignment="1">
      <alignment wrapText="1"/>
    </xf>
    <xf numFmtId="0" fontId="17" fillId="0" borderId="0" xfId="15" applyFont="1" applyFill="1" applyBorder="1" applyAlignment="1">
      <alignment horizontal="left" vertical="top" wrapText="1"/>
    </xf>
    <xf numFmtId="3" fontId="14" fillId="0" borderId="0" xfId="15" applyNumberFormat="1" applyBorder="1" applyAlignment="1">
      <alignment horizontal="left"/>
    </xf>
    <xf numFmtId="3" fontId="14" fillId="0" borderId="0" xfId="15" applyNumberFormat="1" applyFont="1" applyBorder="1" applyAlignment="1">
      <alignment horizontal="left"/>
    </xf>
    <xf numFmtId="0" fontId="14" fillId="0" borderId="0" xfId="15" applyFont="1" applyBorder="1" applyAlignment="1">
      <alignment horizontal="left" wrapText="1"/>
    </xf>
    <xf numFmtId="4" fontId="14" fillId="0" borderId="0" xfId="15" applyNumberFormat="1" applyBorder="1" applyAlignment="1">
      <alignment horizontal="left"/>
    </xf>
    <xf numFmtId="3" fontId="14" fillId="0" borderId="0" xfId="15" applyNumberFormat="1" applyFont="1" applyFill="1" applyBorder="1" applyAlignment="1">
      <alignment horizontal="left" wrapText="1"/>
    </xf>
    <xf numFmtId="3" fontId="18" fillId="0" borderId="0" xfId="15" applyNumberFormat="1" applyFont="1" applyBorder="1" applyAlignment="1">
      <alignment horizontal="left"/>
    </xf>
    <xf numFmtId="0" fontId="14" fillId="0" borderId="0" xfId="15" applyFont="1" applyBorder="1"/>
    <xf numFmtId="2" fontId="35" fillId="23" borderId="21" xfId="0" applyNumberFormat="1" applyFont="1" applyFill="1" applyBorder="1" applyAlignment="1">
      <alignment horizontal="left" wrapText="1"/>
    </xf>
    <xf numFmtId="2" fontId="35" fillId="23" borderId="22" xfId="0" applyNumberFormat="1" applyFont="1" applyFill="1" applyBorder="1" applyAlignment="1">
      <alignment horizontal="left" wrapText="1"/>
    </xf>
    <xf numFmtId="2" fontId="35" fillId="23" borderId="23" xfId="0" applyNumberFormat="1" applyFont="1" applyFill="1" applyBorder="1" applyAlignment="1">
      <alignment horizontal="left" wrapText="1"/>
    </xf>
    <xf numFmtId="2" fontId="0" fillId="0" borderId="24" xfId="0" applyNumberFormat="1" applyBorder="1" applyAlignment="1">
      <alignment horizontal="left" wrapText="1"/>
    </xf>
    <xf numFmtId="2" fontId="0" fillId="0" borderId="25" xfId="0" applyNumberFormat="1" applyBorder="1" applyAlignment="1">
      <alignment horizontal="left" wrapText="1"/>
    </xf>
    <xf numFmtId="2" fontId="0" fillId="0" borderId="26" xfId="0" applyNumberFormat="1" applyBorder="1" applyAlignment="1">
      <alignment horizontal="left" wrapText="1"/>
    </xf>
    <xf numFmtId="1" fontId="0" fillId="0" borderId="26" xfId="0" applyNumberFormat="1" applyBorder="1" applyAlignment="1">
      <alignment horizontal="left" wrapText="1"/>
    </xf>
    <xf numFmtId="2" fontId="0" fillId="0" borderId="27" xfId="0" applyNumberFormat="1" applyFill="1" applyBorder="1" applyAlignment="1">
      <alignment horizontal="left" wrapText="1"/>
    </xf>
    <xf numFmtId="2" fontId="0" fillId="0" borderId="5" xfId="0" applyNumberFormat="1" applyFill="1" applyBorder="1" applyAlignment="1">
      <alignment horizontal="left" wrapText="1"/>
    </xf>
    <xf numFmtId="1" fontId="0" fillId="0" borderId="3" xfId="0" applyNumberFormat="1" applyFont="1" applyBorder="1" applyAlignment="1">
      <alignment horizontal="left" wrapText="1"/>
    </xf>
    <xf numFmtId="2" fontId="0" fillId="0" borderId="28" xfId="0" applyNumberFormat="1" applyBorder="1" applyAlignment="1">
      <alignment horizontal="left" wrapText="1"/>
    </xf>
    <xf numFmtId="2" fontId="0" fillId="0" borderId="29" xfId="0" applyNumberFormat="1" applyBorder="1" applyAlignment="1">
      <alignment horizontal="left" wrapText="1"/>
    </xf>
    <xf numFmtId="2" fontId="0" fillId="0" borderId="12" xfId="0" applyNumberFormat="1" applyBorder="1" applyAlignment="1">
      <alignment horizontal="left" wrapText="1"/>
    </xf>
    <xf numFmtId="1" fontId="0" fillId="0" borderId="30" xfId="0" applyNumberFormat="1" applyBorder="1" applyAlignment="1">
      <alignment horizontal="left" wrapText="1"/>
    </xf>
    <xf numFmtId="2" fontId="38" fillId="0" borderId="27" xfId="0" applyNumberFormat="1" applyFont="1" applyBorder="1" applyAlignment="1">
      <alignment horizontal="left" wrapText="1"/>
    </xf>
    <xf numFmtId="2" fontId="38" fillId="0" borderId="5" xfId="0" applyNumberFormat="1" applyFont="1" applyBorder="1" applyAlignment="1">
      <alignment horizontal="left" wrapText="1"/>
    </xf>
    <xf numFmtId="2" fontId="38" fillId="0" borderId="11" xfId="0" applyNumberFormat="1" applyFont="1" applyBorder="1" applyAlignment="1">
      <alignment horizontal="left" wrapText="1"/>
    </xf>
    <xf numFmtId="1" fontId="39" fillId="0" borderId="11" xfId="0" applyNumberFormat="1" applyFont="1" applyBorder="1" applyAlignment="1">
      <alignment horizontal="left" wrapText="1"/>
    </xf>
    <xf numFmtId="2" fontId="40" fillId="0" borderId="28" xfId="0" applyNumberFormat="1" applyFont="1" applyBorder="1" applyAlignment="1">
      <alignment horizontal="left" wrapText="1"/>
    </xf>
    <xf numFmtId="2" fontId="38" fillId="0" borderId="31" xfId="0" applyNumberFormat="1" applyFont="1" applyBorder="1" applyAlignment="1">
      <alignment horizontal="left" wrapText="1"/>
    </xf>
    <xf numFmtId="2" fontId="38" fillId="0" borderId="0" xfId="0" applyNumberFormat="1" applyFont="1" applyBorder="1" applyAlignment="1">
      <alignment horizontal="left" wrapText="1"/>
    </xf>
    <xf numFmtId="2" fontId="0" fillId="0" borderId="32" xfId="0" applyNumberFormat="1" applyBorder="1" applyAlignment="1">
      <alignment horizontal="left" wrapText="1"/>
    </xf>
    <xf numFmtId="1" fontId="0" fillId="0" borderId="33" xfId="0" applyNumberFormat="1" applyBorder="1" applyAlignment="1">
      <alignment horizontal="left" wrapText="1"/>
    </xf>
    <xf numFmtId="2" fontId="0" fillId="0" borderId="34" xfId="0" applyNumberFormat="1" applyBorder="1" applyAlignment="1">
      <alignment horizontal="left" wrapText="1"/>
    </xf>
    <xf numFmtId="2" fontId="0" fillId="0" borderId="33" xfId="0" applyNumberFormat="1" applyBorder="1" applyAlignment="1">
      <alignment horizontal="left" wrapText="1"/>
    </xf>
    <xf numFmtId="2" fontId="0" fillId="0" borderId="35" xfId="0" applyNumberFormat="1" applyBorder="1" applyAlignment="1">
      <alignment horizontal="left" wrapText="1"/>
    </xf>
    <xf numFmtId="1" fontId="0" fillId="0" borderId="35" xfId="0" applyNumberFormat="1" applyBorder="1" applyAlignment="1">
      <alignment horizontal="left" wrapText="1"/>
    </xf>
    <xf numFmtId="2" fontId="0" fillId="0" borderId="31" xfId="0" applyNumberFormat="1" applyBorder="1" applyAlignment="1">
      <alignment horizontal="left" wrapText="1"/>
    </xf>
    <xf numFmtId="1" fontId="14" fillId="0" borderId="0" xfId="15" applyNumberFormat="1"/>
    <xf numFmtId="2" fontId="0" fillId="0" borderId="30" xfId="0" applyNumberFormat="1" applyBorder="1" applyAlignment="1">
      <alignment horizontal="left" wrapText="1"/>
    </xf>
    <xf numFmtId="2" fontId="0" fillId="0" borderId="3" xfId="0" applyNumberFormat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3" fontId="18" fillId="0" borderId="0" xfId="0" applyNumberFormat="1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18" fillId="24" borderId="1" xfId="0" applyFont="1" applyFill="1" applyBorder="1"/>
    <xf numFmtId="0" fontId="18" fillId="24" borderId="13" xfId="0" applyFont="1" applyFill="1" applyBorder="1"/>
    <xf numFmtId="0" fontId="0" fillId="24" borderId="8" xfId="0" applyFill="1" applyBorder="1"/>
    <xf numFmtId="0" fontId="0" fillId="24" borderId="9" xfId="0" applyFill="1" applyBorder="1"/>
    <xf numFmtId="0" fontId="0" fillId="25" borderId="7" xfId="0" applyFill="1" applyBorder="1"/>
    <xf numFmtId="0" fontId="0" fillId="25" borderId="6" xfId="0" applyFill="1" applyBorder="1"/>
    <xf numFmtId="0" fontId="0" fillId="25" borderId="18" xfId="0" applyFill="1" applyBorder="1"/>
    <xf numFmtId="0" fontId="0" fillId="25" borderId="2" xfId="0" applyFill="1" applyBorder="1"/>
    <xf numFmtId="0" fontId="0" fillId="25" borderId="1" xfId="0" applyFill="1" applyBorder="1"/>
    <xf numFmtId="0" fontId="0" fillId="25" borderId="3" xfId="0" applyFill="1" applyBorder="1"/>
    <xf numFmtId="0" fontId="0" fillId="25" borderId="15" xfId="0" applyFill="1" applyBorder="1"/>
    <xf numFmtId="0" fontId="0" fillId="4" borderId="17" xfId="0" applyFill="1" applyBorder="1"/>
    <xf numFmtId="0" fontId="0" fillId="4" borderId="18" xfId="0" applyFill="1" applyBorder="1"/>
    <xf numFmtId="0" fontId="0" fillId="4" borderId="19" xfId="0" applyFill="1" applyBorder="1"/>
    <xf numFmtId="0" fontId="0" fillId="0" borderId="30" xfId="0" applyBorder="1"/>
    <xf numFmtId="0" fontId="0" fillId="0" borderId="3" xfId="0" applyBorder="1"/>
    <xf numFmtId="0" fontId="0" fillId="14" borderId="16" xfId="0" applyFill="1" applyBorder="1"/>
    <xf numFmtId="1" fontId="0" fillId="14" borderId="30" xfId="0" applyNumberFormat="1" applyFill="1" applyBorder="1"/>
    <xf numFmtId="0" fontId="0" fillId="14" borderId="30" xfId="0" applyFill="1" applyBorder="1"/>
    <xf numFmtId="0" fontId="0" fillId="14" borderId="3" xfId="0" applyFill="1" applyBorder="1"/>
    <xf numFmtId="0" fontId="0" fillId="9" borderId="15" xfId="0" applyFill="1" applyBorder="1"/>
    <xf numFmtId="3" fontId="0" fillId="0" borderId="13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14" xfId="0" applyNumberFormat="1" applyBorder="1"/>
    <xf numFmtId="3" fontId="0" fillId="0" borderId="0" xfId="0" applyNumberFormat="1" applyBorder="1"/>
    <xf numFmtId="3" fontId="0" fillId="0" borderId="12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3" fontId="0" fillId="0" borderId="5" xfId="0" applyNumberFormat="1" applyBorder="1"/>
    <xf numFmtId="3" fontId="0" fillId="0" borderId="17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27" borderId="18" xfId="0" applyFill="1" applyBorder="1"/>
    <xf numFmtId="0" fontId="0" fillId="27" borderId="15" xfId="0" applyFill="1" applyBorder="1"/>
    <xf numFmtId="0" fontId="0" fillId="27" borderId="17" xfId="0" applyFill="1" applyBorder="1"/>
    <xf numFmtId="0" fontId="0" fillId="14" borderId="15" xfId="0" applyFill="1" applyBorder="1"/>
    <xf numFmtId="0" fontId="18" fillId="4" borderId="15" xfId="0" applyFont="1" applyFill="1" applyBorder="1"/>
    <xf numFmtId="0" fontId="0" fillId="4" borderId="15" xfId="0" applyFill="1" applyBorder="1"/>
    <xf numFmtId="0" fontId="18" fillId="28" borderId="15" xfId="0" applyFont="1" applyFill="1" applyBorder="1"/>
    <xf numFmtId="0" fontId="0" fillId="28" borderId="15" xfId="0" applyFill="1" applyBorder="1"/>
    <xf numFmtId="0" fontId="18" fillId="26" borderId="15" xfId="0" applyFont="1" applyFill="1" applyBorder="1"/>
    <xf numFmtId="0" fontId="0" fillId="26" borderId="15" xfId="0" applyFill="1" applyBorder="1"/>
    <xf numFmtId="3" fontId="0" fillId="0" borderId="0" xfId="0" applyNumberFormat="1" applyFill="1" applyBorder="1"/>
    <xf numFmtId="0" fontId="18" fillId="0" borderId="0" xfId="0" applyFont="1" applyFill="1"/>
    <xf numFmtId="1" fontId="0" fillId="0" borderId="14" xfId="0" applyNumberFormat="1" applyBorder="1"/>
    <xf numFmtId="1" fontId="0" fillId="0" borderId="0" xfId="0" applyNumberFormat="1" applyBorder="1"/>
    <xf numFmtId="1" fontId="0" fillId="0" borderId="12" xfId="0" applyNumberFormat="1" applyBorder="1"/>
    <xf numFmtId="0" fontId="0" fillId="0" borderId="12" xfId="0" applyFill="1" applyBorder="1"/>
    <xf numFmtId="0" fontId="0" fillId="0" borderId="11" xfId="0" applyFill="1" applyBorder="1"/>
    <xf numFmtId="0" fontId="0" fillId="0" borderId="5" xfId="0" applyFill="1" applyBorder="1"/>
    <xf numFmtId="0" fontId="0" fillId="3" borderId="16" xfId="0" applyFill="1" applyBorder="1"/>
    <xf numFmtId="0" fontId="0" fillId="3" borderId="30" xfId="0" applyFill="1" applyBorder="1"/>
    <xf numFmtId="0" fontId="0" fillId="3" borderId="3" xfId="0" applyFill="1" applyBorder="1"/>
    <xf numFmtId="0" fontId="0" fillId="2" borderId="17" xfId="0" applyFill="1" applyBorder="1" applyAlignment="1">
      <alignment horizontal="left"/>
    </xf>
    <xf numFmtId="0" fontId="0" fillId="2" borderId="18" xfId="0" applyFill="1" applyBorder="1"/>
    <xf numFmtId="0" fontId="14" fillId="2" borderId="18" xfId="0" applyFont="1" applyFill="1" applyBorder="1"/>
    <xf numFmtId="0" fontId="20" fillId="2" borderId="18" xfId="0" applyFont="1" applyFill="1" applyBorder="1"/>
    <xf numFmtId="0" fontId="21" fillId="2" borderId="18" xfId="0" applyFont="1" applyFill="1" applyBorder="1"/>
    <xf numFmtId="1" fontId="0" fillId="0" borderId="0" xfId="0" applyNumberFormat="1" applyFill="1" applyBorder="1"/>
    <xf numFmtId="0" fontId="14" fillId="0" borderId="0" xfId="0" applyFont="1" applyAlignment="1">
      <alignment horizontal="right"/>
    </xf>
    <xf numFmtId="0" fontId="14" fillId="0" borderId="0" xfId="0" applyFont="1" applyBorder="1" applyAlignment="1">
      <alignment horizontal="right"/>
    </xf>
    <xf numFmtId="0" fontId="18" fillId="9" borderId="15" xfId="0" applyFont="1" applyFill="1" applyBorder="1"/>
    <xf numFmtId="0" fontId="18" fillId="27" borderId="15" xfId="0" applyFont="1" applyFill="1" applyBorder="1"/>
    <xf numFmtId="0" fontId="14" fillId="14" borderId="17" xfId="0" applyFont="1" applyFill="1" applyBorder="1"/>
    <xf numFmtId="0" fontId="18" fillId="16" borderId="15" xfId="0" applyFont="1" applyFill="1" applyBorder="1"/>
    <xf numFmtId="0" fontId="0" fillId="0" borderId="0" xfId="0" applyFont="1" applyAlignment="1">
      <alignment horizontal="right"/>
    </xf>
    <xf numFmtId="0" fontId="14" fillId="3" borderId="17" xfId="0" applyFont="1" applyFill="1" applyBorder="1"/>
    <xf numFmtId="0" fontId="0" fillId="3" borderId="17" xfId="0" applyFill="1" applyBorder="1"/>
    <xf numFmtId="0" fontId="0" fillId="16" borderId="16" xfId="0" applyFill="1" applyBorder="1"/>
    <xf numFmtId="166" fontId="0" fillId="0" borderId="20" xfId="0" applyNumberFormat="1" applyBorder="1"/>
    <xf numFmtId="166" fontId="0" fillId="0" borderId="8" xfId="0" applyNumberFormat="1" applyBorder="1"/>
    <xf numFmtId="166" fontId="0" fillId="0" borderId="9" xfId="0" applyNumberFormat="1" applyBorder="1"/>
    <xf numFmtId="166" fontId="0" fillId="0" borderId="14" xfId="0" applyNumberFormat="1" applyBorder="1"/>
    <xf numFmtId="166" fontId="0" fillId="0" borderId="0" xfId="0" applyNumberFormat="1" applyBorder="1"/>
    <xf numFmtId="166" fontId="0" fillId="0" borderId="12" xfId="0" applyNumberFormat="1" applyBorder="1"/>
    <xf numFmtId="166" fontId="0" fillId="0" borderId="10" xfId="0" applyNumberFormat="1" applyBorder="1"/>
    <xf numFmtId="166" fontId="0" fillId="0" borderId="11" xfId="0" applyNumberFormat="1" applyBorder="1"/>
    <xf numFmtId="166" fontId="0" fillId="0" borderId="5" xfId="0" applyNumberFormat="1" applyBorder="1"/>
    <xf numFmtId="0" fontId="28" fillId="0" borderId="0" xfId="0" applyFont="1" applyBorder="1"/>
    <xf numFmtId="0" fontId="0" fillId="0" borderId="41" xfId="0" applyBorder="1"/>
    <xf numFmtId="0" fontId="0" fillId="0" borderId="36" xfId="0" applyBorder="1"/>
    <xf numFmtId="0" fontId="14" fillId="0" borderId="36" xfId="0" applyFont="1" applyFill="1" applyBorder="1"/>
    <xf numFmtId="0" fontId="0" fillId="8" borderId="41" xfId="0" applyFill="1" applyBorder="1"/>
    <xf numFmtId="0" fontId="0" fillId="13" borderId="41" xfId="0" applyFill="1" applyBorder="1"/>
    <xf numFmtId="0" fontId="0" fillId="17" borderId="36" xfId="0" applyFill="1" applyBorder="1"/>
    <xf numFmtId="0" fontId="18" fillId="10" borderId="40" xfId="0" applyFont="1" applyFill="1" applyBorder="1"/>
    <xf numFmtId="0" fontId="18" fillId="8" borderId="40" xfId="0" applyFont="1" applyFill="1" applyBorder="1"/>
    <xf numFmtId="0" fontId="18" fillId="13" borderId="40" xfId="0" applyFont="1" applyFill="1" applyBorder="1"/>
    <xf numFmtId="0" fontId="0" fillId="17" borderId="43" xfId="0" applyFont="1" applyFill="1" applyBorder="1"/>
    <xf numFmtId="0" fontId="28" fillId="0" borderId="0" xfId="0" applyFont="1" applyFill="1"/>
    <xf numFmtId="1" fontId="29" fillId="0" borderId="0" xfId="0" applyNumberFormat="1" applyFont="1" applyFill="1"/>
    <xf numFmtId="3" fontId="0" fillId="9" borderId="0" xfId="0" applyNumberFormat="1" applyFill="1"/>
    <xf numFmtId="3" fontId="29" fillId="0" borderId="0" xfId="0" applyNumberFormat="1" applyFont="1" applyFill="1" applyAlignment="1">
      <alignment horizontal="left" wrapText="1"/>
    </xf>
    <xf numFmtId="3" fontId="14" fillId="0" borderId="0" xfId="0" applyNumberFormat="1" applyFont="1"/>
    <xf numFmtId="0" fontId="14" fillId="4" borderId="15" xfId="0" applyFont="1" applyFill="1" applyBorder="1"/>
    <xf numFmtId="0" fontId="14" fillId="26" borderId="15" xfId="0" applyFont="1" applyFill="1" applyBorder="1"/>
    <xf numFmtId="166" fontId="0" fillId="0" borderId="0" xfId="0" applyNumberFormat="1" applyFill="1" applyBorder="1"/>
    <xf numFmtId="166" fontId="0" fillId="0" borderId="37" xfId="0" applyNumberFormat="1" applyBorder="1"/>
    <xf numFmtId="166" fontId="0" fillId="0" borderId="39" xfId="0" applyNumberFormat="1" applyBorder="1"/>
    <xf numFmtId="0" fontId="18" fillId="30" borderId="15" xfId="0" applyFont="1" applyFill="1" applyBorder="1"/>
    <xf numFmtId="0" fontId="0" fillId="30" borderId="43" xfId="0" applyFill="1" applyBorder="1"/>
    <xf numFmtId="0" fontId="14" fillId="12" borderId="17" xfId="0" applyFont="1" applyFill="1" applyBorder="1"/>
    <xf numFmtId="0" fontId="0" fillId="12" borderId="17" xfId="0" applyFill="1" applyBorder="1"/>
    <xf numFmtId="3" fontId="29" fillId="0" borderId="0" xfId="0" applyNumberFormat="1" applyFont="1" applyFill="1"/>
    <xf numFmtId="0" fontId="44" fillId="31" borderId="1" xfId="0" applyFont="1" applyFill="1" applyBorder="1" applyAlignment="1">
      <alignment horizontal="left" vertical="center"/>
    </xf>
    <xf numFmtId="0" fontId="44" fillId="31" borderId="36" xfId="0" applyFont="1" applyFill="1" applyBorder="1" applyAlignment="1">
      <alignment horizontal="left" vertical="center"/>
    </xf>
    <xf numFmtId="1" fontId="44" fillId="20" borderId="1" xfId="0" applyNumberFormat="1" applyFont="1" applyFill="1" applyBorder="1" applyAlignment="1">
      <alignment horizontal="left" vertical="center"/>
    </xf>
    <xf numFmtId="14" fontId="44" fillId="3" borderId="1" xfId="0" applyNumberFormat="1" applyFont="1" applyFill="1" applyBorder="1" applyAlignment="1">
      <alignment horizontal="left" vertical="center"/>
    </xf>
    <xf numFmtId="1" fontId="44" fillId="8" borderId="1" xfId="0" applyNumberFormat="1" applyFont="1" applyFill="1" applyBorder="1" applyAlignment="1">
      <alignment horizontal="left" vertical="center" wrapText="1"/>
    </xf>
    <xf numFmtId="1" fontId="44" fillId="8" borderId="1" xfId="0" applyNumberFormat="1" applyFont="1" applyFill="1" applyBorder="1" applyAlignment="1">
      <alignment horizontal="left" vertical="center"/>
    </xf>
    <xf numFmtId="1" fontId="44" fillId="20" borderId="1" xfId="0" applyNumberFormat="1" applyFont="1" applyFill="1" applyBorder="1" applyAlignment="1" applyProtection="1">
      <alignment horizontal="left" vertical="center"/>
      <protection locked="0"/>
    </xf>
    <xf numFmtId="0" fontId="44" fillId="31" borderId="45" xfId="0" applyFont="1" applyFill="1" applyBorder="1" applyAlignment="1">
      <alignment horizontal="left" vertical="center"/>
    </xf>
    <xf numFmtId="0" fontId="39" fillId="0" borderId="0" xfId="0" applyFont="1"/>
    <xf numFmtId="0" fontId="39" fillId="31" borderId="46" xfId="0" applyFont="1" applyFill="1" applyBorder="1"/>
    <xf numFmtId="0" fontId="39" fillId="0" borderId="0" xfId="0" applyFont="1" applyFill="1" applyAlignment="1">
      <alignment horizontal="left"/>
    </xf>
    <xf numFmtId="14" fontId="39" fillId="0" borderId="0" xfId="0" applyNumberFormat="1" applyFont="1" applyFill="1" applyAlignment="1">
      <alignment horizontal="left"/>
    </xf>
    <xf numFmtId="1" fontId="39" fillId="0" borderId="0" xfId="0" applyNumberFormat="1" applyFont="1" applyFill="1" applyAlignment="1">
      <alignment horizontal="left"/>
    </xf>
    <xf numFmtId="1" fontId="39" fillId="0" borderId="0" xfId="0" applyNumberFormat="1" applyFont="1" applyFill="1" applyBorder="1" applyAlignment="1" applyProtection="1">
      <alignment horizontal="left"/>
      <protection locked="0"/>
    </xf>
    <xf numFmtId="0" fontId="45" fillId="0" borderId="0" xfId="1" applyFont="1" applyFill="1" applyAlignment="1" applyProtection="1">
      <alignment horizontal="left"/>
    </xf>
    <xf numFmtId="0" fontId="39" fillId="0" borderId="0" xfId="0" applyFont="1" applyAlignment="1">
      <alignment horizontal="left"/>
    </xf>
    <xf numFmtId="0" fontId="39" fillId="31" borderId="12" xfId="0" applyFont="1" applyFill="1" applyBorder="1"/>
    <xf numFmtId="0" fontId="39" fillId="0" borderId="0" xfId="0" applyFont="1" applyFill="1" applyBorder="1" applyAlignment="1">
      <alignment horizontal="left"/>
    </xf>
    <xf numFmtId="14" fontId="39" fillId="0" borderId="0" xfId="0" applyNumberFormat="1" applyFont="1" applyFill="1" applyBorder="1" applyAlignment="1">
      <alignment horizontal="left"/>
    </xf>
    <xf numFmtId="1" fontId="39" fillId="0" borderId="0" xfId="0" applyNumberFormat="1" applyFont="1" applyFill="1" applyBorder="1" applyAlignment="1">
      <alignment horizontal="left"/>
    </xf>
    <xf numFmtId="3" fontId="39" fillId="0" borderId="0" xfId="0" applyNumberFormat="1" applyFont="1" applyFill="1" applyBorder="1" applyAlignment="1">
      <alignment horizontal="left"/>
    </xf>
    <xf numFmtId="3" fontId="46" fillId="0" borderId="0" xfId="1" applyNumberFormat="1" applyFont="1" applyFill="1" applyBorder="1" applyAlignment="1" applyProtection="1">
      <alignment horizontal="left"/>
    </xf>
    <xf numFmtId="0" fontId="39" fillId="0" borderId="0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left"/>
    </xf>
    <xf numFmtId="3" fontId="39" fillId="0" borderId="0" xfId="0" applyNumberFormat="1" applyFont="1" applyFill="1" applyBorder="1" applyAlignment="1" applyProtection="1">
      <alignment horizontal="left"/>
      <protection locked="0"/>
    </xf>
    <xf numFmtId="1" fontId="39" fillId="0" borderId="0" xfId="0" applyNumberFormat="1" applyFont="1"/>
    <xf numFmtId="1" fontId="39" fillId="0" borderId="0" xfId="0" applyNumberFormat="1" applyFont="1" applyFill="1"/>
    <xf numFmtId="0" fontId="39" fillId="5" borderId="0" xfId="0" applyFont="1" applyFill="1" applyBorder="1" applyAlignment="1">
      <alignment horizontal="left"/>
    </xf>
    <xf numFmtId="14" fontId="39" fillId="0" borderId="0" xfId="0" applyNumberFormat="1" applyFont="1" applyFill="1" applyBorder="1" applyAlignment="1">
      <alignment horizontal="left" vertical="center"/>
    </xf>
    <xf numFmtId="0" fontId="39" fillId="0" borderId="0" xfId="0" applyFont="1" applyFill="1"/>
    <xf numFmtId="1" fontId="43" fillId="0" borderId="0" xfId="0" applyNumberFormat="1" applyFont="1" applyFill="1" applyBorder="1" applyAlignment="1">
      <alignment horizontal="left"/>
    </xf>
    <xf numFmtId="3" fontId="45" fillId="0" borderId="0" xfId="1" applyNumberFormat="1" applyFont="1" applyFill="1" applyBorder="1" applyAlignment="1" applyProtection="1">
      <alignment horizontal="left"/>
    </xf>
    <xf numFmtId="0" fontId="46" fillId="0" borderId="0" xfId="1" applyFont="1" applyFill="1" applyBorder="1" applyAlignment="1" applyProtection="1">
      <alignment horizontal="left"/>
    </xf>
    <xf numFmtId="0" fontId="46" fillId="0" borderId="0" xfId="1" applyFont="1" applyAlignment="1" applyProtection="1"/>
    <xf numFmtId="0" fontId="39" fillId="0" borderId="0" xfId="0" applyFont="1" applyFill="1" applyBorder="1" applyAlignment="1">
      <alignment horizontal="left" vertical="center"/>
    </xf>
    <xf numFmtId="1" fontId="39" fillId="0" borderId="0" xfId="0" applyNumberFormat="1" applyFont="1" applyFill="1" applyBorder="1" applyAlignment="1">
      <alignment horizontal="left" vertical="center"/>
    </xf>
    <xf numFmtId="3" fontId="39" fillId="0" borderId="0" xfId="0" applyNumberFormat="1" applyFont="1" applyFill="1" applyBorder="1" applyAlignment="1">
      <alignment horizontal="left" vertical="center"/>
    </xf>
    <xf numFmtId="3" fontId="46" fillId="0" borderId="0" xfId="1" applyNumberFormat="1" applyFont="1" applyFill="1" applyBorder="1" applyAlignment="1" applyProtection="1">
      <alignment horizontal="left" vertical="center"/>
    </xf>
    <xf numFmtId="0" fontId="45" fillId="0" borderId="0" xfId="1" applyFont="1" applyAlignment="1" applyProtection="1"/>
    <xf numFmtId="1" fontId="43" fillId="0" borderId="0" xfId="0" applyNumberFormat="1" applyFont="1" applyFill="1" applyBorder="1" applyAlignment="1">
      <alignment horizontal="left" vertical="center"/>
    </xf>
    <xf numFmtId="0" fontId="47" fillId="0" borderId="0" xfId="0" applyFont="1" applyFill="1"/>
    <xf numFmtId="0" fontId="47" fillId="0" borderId="0" xfId="0" applyFont="1"/>
    <xf numFmtId="1" fontId="39" fillId="0" borderId="0" xfId="0" applyNumberFormat="1" applyFont="1" applyFill="1" applyAlignment="1" applyProtection="1">
      <alignment horizontal="left"/>
      <protection locked="0"/>
    </xf>
    <xf numFmtId="0" fontId="39" fillId="0" borderId="0" xfId="0" applyFont="1" applyFill="1" applyBorder="1" applyAlignment="1">
      <alignment horizontal="center"/>
    </xf>
    <xf numFmtId="3" fontId="39" fillId="0" borderId="0" xfId="0" applyNumberFormat="1" applyFont="1" applyFill="1" applyAlignment="1">
      <alignment horizontal="left"/>
    </xf>
    <xf numFmtId="3" fontId="39" fillId="0" borderId="0" xfId="0" applyNumberFormat="1" applyFont="1" applyFill="1" applyAlignment="1" applyProtection="1">
      <alignment horizontal="left"/>
      <protection locked="0"/>
    </xf>
    <xf numFmtId="1" fontId="47" fillId="0" borderId="0" xfId="0" applyNumberFormat="1" applyFont="1"/>
    <xf numFmtId="3" fontId="45" fillId="0" borderId="0" xfId="1" applyNumberFormat="1" applyFont="1" applyFill="1" applyAlignment="1" applyProtection="1">
      <alignment horizontal="left"/>
    </xf>
    <xf numFmtId="1" fontId="43" fillId="0" borderId="0" xfId="0" applyNumberFormat="1" applyFont="1" applyFill="1" applyAlignment="1">
      <alignment horizontal="left"/>
    </xf>
    <xf numFmtId="0" fontId="45" fillId="0" borderId="0" xfId="1" applyFont="1" applyFill="1" applyBorder="1" applyAlignment="1" applyProtection="1">
      <alignment horizontal="left"/>
    </xf>
    <xf numFmtId="1" fontId="43" fillId="0" borderId="0" xfId="0" applyNumberFormat="1" applyFont="1" applyFill="1" applyBorder="1" applyAlignment="1" applyProtection="1">
      <alignment horizontal="left"/>
      <protection locked="0"/>
    </xf>
    <xf numFmtId="3" fontId="43" fillId="0" borderId="0" xfId="0" applyNumberFormat="1" applyFont="1" applyFill="1" applyBorder="1" applyAlignment="1">
      <alignment horizontal="left"/>
    </xf>
    <xf numFmtId="1" fontId="3" fillId="0" borderId="0" xfId="0" applyNumberFormat="1" applyFont="1" applyFill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1" fontId="39" fillId="0" borderId="0" xfId="0" applyNumberFormat="1" applyFont="1" applyAlignment="1">
      <alignment horizontal="left"/>
    </xf>
    <xf numFmtId="3" fontId="45" fillId="0" borderId="0" xfId="1" applyNumberFormat="1" applyFont="1" applyFill="1" applyBorder="1" applyAlignment="1" applyProtection="1">
      <alignment horizontal="left" vertical="center"/>
    </xf>
    <xf numFmtId="0" fontId="39" fillId="0" borderId="0" xfId="0" applyFont="1" applyAlignment="1">
      <alignment vertical="center"/>
    </xf>
    <xf numFmtId="3" fontId="39" fillId="0" borderId="0" xfId="0" applyNumberFormat="1" applyFont="1" applyAlignment="1">
      <alignment horizontal="left"/>
    </xf>
    <xf numFmtId="0" fontId="39" fillId="0" borderId="0" xfId="0" applyFont="1" applyFill="1" applyAlignment="1">
      <alignment vertical="center"/>
    </xf>
    <xf numFmtId="0" fontId="46" fillId="0" borderId="0" xfId="1" applyFont="1" applyFill="1" applyAlignment="1" applyProtection="1"/>
    <xf numFmtId="0" fontId="39" fillId="0" borderId="0" xfId="0" applyFont="1" applyFill="1" applyBorder="1" applyAlignment="1">
      <alignment horizontal="left" vertical="center" wrapText="1"/>
    </xf>
    <xf numFmtId="1" fontId="3" fillId="0" borderId="0" xfId="0" applyNumberFormat="1" applyFont="1" applyFill="1" applyBorder="1" applyAlignment="1">
      <alignment horizontal="left" vertical="center"/>
    </xf>
    <xf numFmtId="0" fontId="48" fillId="0" borderId="0" xfId="0" applyFont="1" applyFill="1" applyBorder="1" applyAlignment="1">
      <alignment horizontal="left" vertical="center"/>
    </xf>
    <xf numFmtId="1" fontId="48" fillId="0" borderId="0" xfId="0" applyNumberFormat="1" applyFont="1" applyFill="1" applyBorder="1" applyAlignment="1">
      <alignment horizontal="left" vertical="center"/>
    </xf>
    <xf numFmtId="1" fontId="39" fillId="0" borderId="0" xfId="0" applyNumberFormat="1" applyFont="1" applyFill="1" applyBorder="1" applyAlignment="1" applyProtection="1">
      <alignment horizontal="left" vertical="center"/>
      <protection locked="0"/>
    </xf>
    <xf numFmtId="0" fontId="39" fillId="5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14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 applyProtection="1">
      <alignment horizontal="left"/>
      <protection locked="0"/>
    </xf>
    <xf numFmtId="0" fontId="39" fillId="0" borderId="0" xfId="0" applyFont="1" applyFill="1" applyAlignment="1">
      <alignment horizontal="left" vertical="center"/>
    </xf>
    <xf numFmtId="0" fontId="39" fillId="0" borderId="0" xfId="0" applyNumberFormat="1" applyFont="1" applyFill="1" applyBorder="1" applyAlignment="1">
      <alignment horizontal="left" vertical="center" wrapText="1"/>
    </xf>
    <xf numFmtId="14" fontId="39" fillId="0" borderId="0" xfId="0" applyNumberFormat="1" applyFont="1" applyFill="1" applyBorder="1" applyAlignment="1">
      <alignment horizontal="left" wrapText="1"/>
    </xf>
    <xf numFmtId="1" fontId="39" fillId="0" borderId="0" xfId="0" applyNumberFormat="1" applyFont="1" applyFill="1" applyBorder="1" applyAlignment="1">
      <alignment horizontal="left" wrapText="1"/>
    </xf>
    <xf numFmtId="3" fontId="39" fillId="0" borderId="0" xfId="0" applyNumberFormat="1" applyFont="1" applyFill="1" applyBorder="1" applyAlignment="1">
      <alignment horizontal="left" wrapText="1"/>
    </xf>
    <xf numFmtId="3" fontId="46" fillId="0" borderId="0" xfId="1" applyNumberFormat="1" applyFont="1" applyFill="1" applyBorder="1" applyAlignment="1" applyProtection="1">
      <alignment horizontal="left" wrapText="1"/>
    </xf>
    <xf numFmtId="3" fontId="43" fillId="0" borderId="0" xfId="0" applyNumberFormat="1" applyFont="1" applyFill="1" applyBorder="1" applyAlignment="1">
      <alignment horizontal="left" wrapText="1"/>
    </xf>
    <xf numFmtId="3" fontId="45" fillId="0" borderId="0" xfId="1" applyNumberFormat="1" applyFont="1" applyFill="1" applyBorder="1" applyAlignment="1" applyProtection="1">
      <alignment horizontal="left" wrapText="1"/>
    </xf>
    <xf numFmtId="0" fontId="45" fillId="0" borderId="0" xfId="1" applyNumberFormat="1" applyFont="1" applyFill="1" applyBorder="1" applyAlignment="1" applyProtection="1">
      <alignment horizontal="left" wrapText="1"/>
    </xf>
    <xf numFmtId="0" fontId="39" fillId="0" borderId="0" xfId="0" applyNumberFormat="1" applyFont="1" applyBorder="1" applyAlignment="1">
      <alignment horizontal="left" vertical="center" wrapText="1"/>
    </xf>
    <xf numFmtId="14" fontId="39" fillId="0" borderId="0" xfId="0" applyNumberFormat="1" applyFont="1" applyBorder="1" applyAlignment="1">
      <alignment horizontal="left" wrapText="1"/>
    </xf>
    <xf numFmtId="0" fontId="39" fillId="0" borderId="0" xfId="0" applyNumberFormat="1" applyFont="1" applyBorder="1" applyAlignment="1">
      <alignment horizontal="left" wrapText="1"/>
    </xf>
    <xf numFmtId="1" fontId="39" fillId="0" borderId="0" xfId="0" applyNumberFormat="1" applyFont="1" applyBorder="1" applyAlignment="1">
      <alignment horizontal="left" wrapText="1"/>
    </xf>
    <xf numFmtId="3" fontId="39" fillId="0" borderId="0" xfId="0" applyNumberFormat="1" applyFont="1" applyBorder="1" applyAlignment="1">
      <alignment horizontal="left" wrapText="1"/>
    </xf>
    <xf numFmtId="0" fontId="45" fillId="0" borderId="0" xfId="1" applyNumberFormat="1" applyFont="1" applyBorder="1" applyAlignment="1" applyProtection="1">
      <alignment horizontal="left" wrapText="1"/>
    </xf>
    <xf numFmtId="1" fontId="39" fillId="0" borderId="0" xfId="0" applyNumberFormat="1" applyFont="1" applyFill="1" applyBorder="1" applyAlignment="1">
      <alignment horizontal="left" vertical="center" wrapText="1"/>
    </xf>
    <xf numFmtId="0" fontId="47" fillId="0" borderId="0" xfId="0" applyNumberFormat="1" applyFont="1" applyFill="1" applyAlignment="1">
      <alignment horizontal="left" vertical="center" wrapText="1"/>
    </xf>
    <xf numFmtId="14" fontId="47" fillId="0" borderId="0" xfId="0" applyNumberFormat="1" applyFont="1" applyFill="1" applyAlignment="1">
      <alignment horizontal="left" wrapText="1"/>
    </xf>
    <xf numFmtId="0" fontId="47" fillId="0" borderId="0" xfId="0" applyNumberFormat="1" applyFont="1" applyFill="1" applyAlignment="1">
      <alignment horizontal="left" wrapText="1"/>
    </xf>
    <xf numFmtId="1" fontId="39" fillId="0" borderId="0" xfId="0" applyNumberFormat="1" applyFont="1" applyFill="1" applyAlignment="1">
      <alignment horizontal="left" wrapText="1"/>
    </xf>
    <xf numFmtId="1" fontId="47" fillId="0" borderId="0" xfId="0" applyNumberFormat="1" applyFont="1" applyFill="1" applyAlignment="1">
      <alignment horizontal="left" wrapText="1"/>
    </xf>
    <xf numFmtId="0" fontId="45" fillId="0" borderId="0" xfId="1" applyNumberFormat="1" applyFont="1" applyFill="1" applyAlignment="1" applyProtection="1">
      <alignment horizontal="left" wrapText="1"/>
    </xf>
    <xf numFmtId="0" fontId="39" fillId="0" borderId="0" xfId="0" applyNumberFormat="1" applyFont="1" applyFill="1" applyAlignment="1">
      <alignment horizontal="left" vertical="center" wrapText="1"/>
    </xf>
    <xf numFmtId="14" fontId="39" fillId="0" borderId="0" xfId="0" applyNumberFormat="1" applyFont="1" applyFill="1" applyAlignment="1">
      <alignment horizontal="left" wrapText="1"/>
    </xf>
    <xf numFmtId="0" fontId="39" fillId="0" borderId="0" xfId="0" applyNumberFormat="1" applyFont="1" applyFill="1" applyAlignment="1">
      <alignment horizontal="left" wrapText="1"/>
    </xf>
    <xf numFmtId="1" fontId="43" fillId="0" borderId="0" xfId="0" applyNumberFormat="1" applyFont="1" applyFill="1" applyAlignment="1">
      <alignment horizontal="left" wrapText="1"/>
    </xf>
    <xf numFmtId="1" fontId="49" fillId="0" borderId="0" xfId="0" applyNumberFormat="1" applyFont="1" applyFill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46" fillId="0" borderId="0" xfId="1" applyNumberFormat="1" applyFont="1" applyFill="1" applyBorder="1" applyAlignment="1" applyProtection="1">
      <alignment horizontal="left" wrapText="1"/>
    </xf>
    <xf numFmtId="0" fontId="46" fillId="0" borderId="0" xfId="2" applyFont="1" applyFill="1" applyBorder="1" applyAlignment="1" applyProtection="1">
      <alignment horizontal="left"/>
    </xf>
    <xf numFmtId="0" fontId="38" fillId="0" borderId="0" xfId="0" applyFont="1" applyFill="1" applyBorder="1" applyAlignment="1">
      <alignment horizontal="left"/>
    </xf>
    <xf numFmtId="0" fontId="46" fillId="0" borderId="0" xfId="1" applyFont="1" applyFill="1" applyAlignment="1" applyProtection="1">
      <alignment horizontal="left"/>
    </xf>
    <xf numFmtId="0" fontId="38" fillId="0" borderId="0" xfId="0" applyNumberFormat="1" applyFont="1" applyFill="1" applyBorder="1" applyAlignment="1">
      <alignment horizontal="left" wrapText="1"/>
    </xf>
    <xf numFmtId="1" fontId="43" fillId="0" borderId="0" xfId="0" applyNumberFormat="1" applyFont="1" applyFill="1" applyBorder="1" applyAlignment="1">
      <alignment horizontal="left" wrapText="1"/>
    </xf>
    <xf numFmtId="2" fontId="39" fillId="0" borderId="0" xfId="0" applyNumberFormat="1" applyFont="1" applyFill="1" applyAlignment="1">
      <alignment horizontal="left"/>
    </xf>
    <xf numFmtId="0" fontId="38" fillId="0" borderId="0" xfId="0" applyFont="1" applyAlignment="1">
      <alignment horizontal="left"/>
    </xf>
    <xf numFmtId="14" fontId="39" fillId="0" borderId="0" xfId="0" applyNumberFormat="1" applyFont="1" applyAlignment="1">
      <alignment horizontal="left"/>
    </xf>
    <xf numFmtId="0" fontId="46" fillId="0" borderId="0" xfId="1" applyFont="1" applyAlignment="1" applyProtection="1">
      <alignment horizontal="left"/>
    </xf>
    <xf numFmtId="0" fontId="3" fillId="0" borderId="0" xfId="0" applyFont="1" applyFill="1" applyBorder="1" applyAlignment="1">
      <alignment horizontal="left" wrapText="1"/>
    </xf>
    <xf numFmtId="14" fontId="48" fillId="0" borderId="4" xfId="0" applyNumberFormat="1" applyFont="1" applyFill="1" applyBorder="1" applyAlignment="1">
      <alignment horizontal="left"/>
    </xf>
    <xf numFmtId="0" fontId="39" fillId="0" borderId="0" xfId="0" applyFont="1" applyFill="1" applyBorder="1" applyAlignment="1">
      <alignment vertical="center" wrapText="1"/>
    </xf>
    <xf numFmtId="0" fontId="45" fillId="0" borderId="0" xfId="1" applyFont="1" applyFill="1" applyBorder="1" applyAlignment="1" applyProtection="1">
      <alignment horizontal="left" wrapText="1"/>
    </xf>
    <xf numFmtId="0" fontId="39" fillId="0" borderId="0" xfId="0" applyFont="1" applyFill="1" applyBorder="1" applyAlignment="1">
      <alignment wrapText="1"/>
    </xf>
    <xf numFmtId="0" fontId="39" fillId="0" borderId="0" xfId="0" applyFont="1" applyFill="1" applyBorder="1"/>
    <xf numFmtId="0" fontId="46" fillId="0" borderId="0" xfId="2" applyFont="1" applyFill="1" applyBorder="1" applyAlignment="1" applyProtection="1">
      <alignment horizontal="left" wrapText="1"/>
    </xf>
    <xf numFmtId="3" fontId="39" fillId="0" borderId="0" xfId="0" applyNumberFormat="1" applyFont="1" applyFill="1" applyBorder="1" applyAlignment="1">
      <alignment horizontal="left" vertical="center" wrapText="1"/>
    </xf>
    <xf numFmtId="165" fontId="39" fillId="0" borderId="0" xfId="0" applyNumberFormat="1" applyFont="1" applyFill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6" fillId="0" borderId="0" xfId="1" applyFont="1" applyFill="1" applyBorder="1" applyAlignment="1" applyProtection="1">
      <alignment horizontal="left" wrapText="1"/>
    </xf>
    <xf numFmtId="17" fontId="39" fillId="0" borderId="0" xfId="0" applyNumberFormat="1" applyFont="1" applyFill="1" applyBorder="1" applyAlignment="1">
      <alignment horizontal="left" wrapText="1"/>
    </xf>
    <xf numFmtId="17" fontId="39" fillId="0" borderId="0" xfId="0" applyNumberFormat="1" applyFont="1" applyFill="1" applyBorder="1" applyAlignment="1">
      <alignment horizontal="left" vertical="center" wrapText="1"/>
    </xf>
    <xf numFmtId="0" fontId="47" fillId="0" borderId="0" xfId="0" applyFont="1" applyFill="1" applyBorder="1"/>
    <xf numFmtId="0" fontId="47" fillId="0" borderId="0" xfId="0" applyFont="1" applyFill="1" applyBorder="1" applyAlignment="1">
      <alignment horizontal="left" vertical="center" wrapText="1"/>
    </xf>
    <xf numFmtId="14" fontId="47" fillId="0" borderId="0" xfId="0" applyNumberFormat="1" applyFont="1" applyFill="1" applyBorder="1" applyAlignment="1">
      <alignment horizontal="left" wrapText="1"/>
    </xf>
    <xf numFmtId="0" fontId="47" fillId="0" borderId="0" xfId="0" applyFont="1" applyFill="1" applyBorder="1" applyAlignment="1">
      <alignment horizontal="left" wrapText="1"/>
    </xf>
    <xf numFmtId="3" fontId="47" fillId="0" borderId="0" xfId="0" applyNumberFormat="1" applyFont="1" applyFill="1" applyBorder="1" applyAlignment="1">
      <alignment horizontal="left" wrapText="1"/>
    </xf>
    <xf numFmtId="0" fontId="47" fillId="0" borderId="0" xfId="0" applyFont="1" applyFill="1" applyBorder="1" applyAlignment="1">
      <alignment horizontal="left"/>
    </xf>
    <xf numFmtId="0" fontId="47" fillId="0" borderId="0" xfId="0" applyFont="1" applyFill="1" applyAlignment="1">
      <alignment horizontal="left"/>
    </xf>
    <xf numFmtId="14" fontId="47" fillId="0" borderId="0" xfId="0" applyNumberFormat="1" applyFont="1" applyFill="1" applyAlignment="1">
      <alignment horizontal="left"/>
    </xf>
    <xf numFmtId="0" fontId="47" fillId="0" borderId="0" xfId="0" applyFont="1" applyAlignment="1">
      <alignment horizontal="left"/>
    </xf>
    <xf numFmtId="14" fontId="47" fillId="0" borderId="0" xfId="0" applyNumberFormat="1" applyFont="1" applyAlignment="1">
      <alignment horizontal="left"/>
    </xf>
    <xf numFmtId="0" fontId="45" fillId="0" borderId="0" xfId="1" applyFont="1" applyAlignment="1" applyProtection="1">
      <alignment horizontal="left"/>
    </xf>
    <xf numFmtId="0" fontId="39" fillId="0" borderId="0" xfId="0" applyFont="1" applyBorder="1" applyAlignment="1">
      <alignment horizontal="left" vertical="center" wrapText="1"/>
    </xf>
    <xf numFmtId="3" fontId="47" fillId="0" borderId="0" xfId="0" applyNumberFormat="1" applyFont="1" applyFill="1" applyAlignment="1">
      <alignment horizontal="left"/>
    </xf>
    <xf numFmtId="165" fontId="39" fillId="0" borderId="0" xfId="0" applyNumberFormat="1" applyFont="1" applyFill="1" applyAlignment="1">
      <alignment horizontal="left"/>
    </xf>
    <xf numFmtId="3" fontId="46" fillId="0" borderId="0" xfId="1" applyNumberFormat="1" applyFont="1" applyFill="1" applyAlignment="1" applyProtection="1">
      <alignment horizontal="left"/>
    </xf>
    <xf numFmtId="165" fontId="47" fillId="0" borderId="0" xfId="0" applyNumberFormat="1" applyFont="1" applyFill="1" applyAlignment="1">
      <alignment horizontal="left"/>
    </xf>
    <xf numFmtId="15" fontId="39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0" fontId="39" fillId="0" borderId="0" xfId="0" applyFont="1" applyFill="1" applyAlignment="1">
      <alignment horizontal="left" wrapText="1"/>
    </xf>
    <xf numFmtId="0" fontId="39" fillId="0" borderId="0" xfId="0" applyFont="1" applyAlignment="1">
      <alignment horizontal="left" wrapText="1"/>
    </xf>
    <xf numFmtId="0" fontId="39" fillId="18" borderId="0" xfId="0" applyFont="1" applyFill="1" applyBorder="1" applyAlignment="1">
      <alignment horizontal="left"/>
    </xf>
    <xf numFmtId="0" fontId="39" fillId="6" borderId="0" xfId="0" applyFont="1" applyFill="1" applyBorder="1" applyAlignment="1">
      <alignment horizontal="left"/>
    </xf>
    <xf numFmtId="0" fontId="39" fillId="0" borderId="0" xfId="0" applyFont="1" applyBorder="1" applyAlignment="1">
      <alignment horizontal="left" wrapText="1"/>
    </xf>
    <xf numFmtId="0" fontId="39" fillId="18" borderId="0" xfId="0" applyFont="1" applyFill="1" applyAlignment="1">
      <alignment horizontal="left"/>
    </xf>
    <xf numFmtId="1" fontId="43" fillId="0" borderId="0" xfId="0" applyNumberFormat="1" applyFont="1" applyAlignment="1">
      <alignment horizontal="left"/>
    </xf>
    <xf numFmtId="14" fontId="3" fillId="0" borderId="0" xfId="0" applyNumberFormat="1" applyFont="1" applyFill="1" applyBorder="1" applyAlignment="1">
      <alignment horizontal="left" wrapText="1"/>
    </xf>
    <xf numFmtId="1" fontId="3" fillId="0" borderId="0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left" wrapText="1"/>
    </xf>
    <xf numFmtId="0" fontId="3" fillId="0" borderId="0" xfId="0" applyFont="1" applyFill="1" applyAlignment="1">
      <alignment horizontal="left"/>
    </xf>
    <xf numFmtId="14" fontId="3" fillId="0" borderId="0" xfId="0" applyNumberFormat="1" applyFont="1" applyFill="1" applyAlignment="1">
      <alignment horizontal="left"/>
    </xf>
    <xf numFmtId="3" fontId="46" fillId="0" borderId="0" xfId="2" applyNumberFormat="1" applyFont="1" applyFill="1" applyBorder="1" applyAlignment="1" applyProtection="1">
      <alignment horizontal="left"/>
    </xf>
    <xf numFmtId="165" fontId="39" fillId="0" borderId="0" xfId="0" applyNumberFormat="1" applyFont="1" applyFill="1" applyBorder="1" applyAlignment="1">
      <alignment horizontal="left" wrapText="1"/>
    </xf>
    <xf numFmtId="3" fontId="46" fillId="0" borderId="0" xfId="2" applyNumberFormat="1" applyFont="1" applyFill="1" applyBorder="1" applyAlignment="1" applyProtection="1">
      <alignment horizontal="left" wrapText="1"/>
    </xf>
    <xf numFmtId="0" fontId="39" fillId="4" borderId="0" xfId="0" applyFont="1" applyFill="1" applyBorder="1" applyAlignment="1">
      <alignment horizontal="left"/>
    </xf>
    <xf numFmtId="0" fontId="38" fillId="0" borderId="0" xfId="0" applyFont="1" applyBorder="1" applyAlignment="1">
      <alignment horizontal="left" vertical="center"/>
    </xf>
    <xf numFmtId="0" fontId="39" fillId="0" borderId="0" xfId="0" applyFont="1" applyBorder="1" applyAlignment="1">
      <alignment horizontal="left" vertical="center"/>
    </xf>
    <xf numFmtId="1" fontId="39" fillId="0" borderId="0" xfId="0" applyNumberFormat="1" applyFont="1" applyBorder="1" applyAlignment="1">
      <alignment horizontal="left"/>
    </xf>
    <xf numFmtId="0" fontId="46" fillId="0" borderId="0" xfId="1" applyFont="1" applyBorder="1" applyAlignment="1" applyProtection="1">
      <alignment horizontal="left"/>
    </xf>
    <xf numFmtId="0" fontId="46" fillId="0" borderId="0" xfId="1" applyFont="1" applyBorder="1" applyAlignment="1" applyProtection="1">
      <alignment horizontal="left" vertical="center" wrapText="1"/>
    </xf>
    <xf numFmtId="0" fontId="47" fillId="0" borderId="0" xfId="0" applyFont="1" applyFill="1" applyAlignment="1">
      <alignment horizontal="left" wrapText="1"/>
    </xf>
    <xf numFmtId="0" fontId="45" fillId="0" borderId="0" xfId="1" applyFont="1" applyFill="1" applyAlignment="1" applyProtection="1">
      <alignment horizontal="left" wrapText="1"/>
    </xf>
    <xf numFmtId="0" fontId="46" fillId="0" borderId="0" xfId="1" applyFont="1" applyFill="1" applyBorder="1" applyAlignment="1" applyProtection="1">
      <alignment horizontal="left" vertical="center" wrapText="1"/>
    </xf>
    <xf numFmtId="1" fontId="39" fillId="0" borderId="0" xfId="0" applyNumberFormat="1" applyFont="1" applyFill="1" applyBorder="1" applyAlignment="1">
      <alignment horizontal="left" vertical="top" wrapText="1"/>
    </xf>
    <xf numFmtId="1" fontId="39" fillId="0" borderId="0" xfId="0" applyNumberFormat="1" applyFont="1" applyBorder="1" applyAlignment="1">
      <alignment horizontal="left" vertical="center"/>
    </xf>
    <xf numFmtId="0" fontId="39" fillId="6" borderId="0" xfId="0" applyFont="1" applyFill="1" applyBorder="1"/>
    <xf numFmtId="1" fontId="39" fillId="0" borderId="0" xfId="0" applyNumberFormat="1" applyFont="1" applyBorder="1" applyAlignment="1">
      <alignment horizontal="left" vertical="center" wrapText="1"/>
    </xf>
    <xf numFmtId="0" fontId="39" fillId="0" borderId="0" xfId="0" applyFont="1" applyFill="1" applyAlignment="1">
      <alignment horizontal="left" vertical="center" wrapText="1"/>
    </xf>
    <xf numFmtId="0" fontId="50" fillId="0" borderId="0" xfId="2" applyFont="1" applyFill="1" applyBorder="1" applyAlignment="1" applyProtection="1">
      <alignment horizontal="left"/>
    </xf>
    <xf numFmtId="0" fontId="45" fillId="0" borderId="0" xfId="1" applyFont="1" applyBorder="1" applyAlignment="1" applyProtection="1">
      <alignment horizontal="left"/>
    </xf>
    <xf numFmtId="0" fontId="45" fillId="0" borderId="0" xfId="1" applyFont="1" applyFill="1" applyBorder="1" applyAlignment="1" applyProtection="1">
      <alignment horizontal="left" vertical="center" wrapText="1"/>
    </xf>
    <xf numFmtId="0" fontId="50" fillId="0" borderId="0" xfId="2" applyFont="1" applyFill="1" applyBorder="1" applyAlignment="1" applyProtection="1">
      <alignment horizontal="left" wrapText="1"/>
    </xf>
    <xf numFmtId="0" fontId="51" fillId="0" borderId="0" xfId="0" applyFont="1" applyFill="1" applyAlignment="1">
      <alignment horizontal="left" wrapText="1"/>
    </xf>
    <xf numFmtId="0" fontId="48" fillId="22" borderId="44" xfId="0" applyFont="1" applyFill="1" applyBorder="1" applyAlignment="1">
      <alignment horizontal="left"/>
    </xf>
    <xf numFmtId="0" fontId="47" fillId="22" borderId="0" xfId="0" applyFont="1" applyFill="1" applyAlignment="1">
      <alignment horizontal="left" wrapText="1"/>
    </xf>
    <xf numFmtId="0" fontId="52" fillId="22" borderId="4" xfId="0" applyFont="1" applyFill="1" applyBorder="1" applyAlignment="1">
      <alignment horizontal="left"/>
    </xf>
    <xf numFmtId="0" fontId="39" fillId="22" borderId="0" xfId="0" applyFont="1" applyFill="1" applyAlignment="1">
      <alignment horizontal="left"/>
    </xf>
    <xf numFmtId="1" fontId="39" fillId="22" borderId="0" xfId="0" applyNumberFormat="1" applyFont="1" applyFill="1" applyAlignment="1">
      <alignment horizontal="left" wrapText="1"/>
    </xf>
    <xf numFmtId="0" fontId="45" fillId="22" borderId="0" xfId="1" applyFont="1" applyFill="1" applyAlignment="1" applyProtection="1">
      <alignment horizontal="left" wrapText="1"/>
    </xf>
    <xf numFmtId="15" fontId="47" fillId="0" borderId="0" xfId="0" applyNumberFormat="1" applyFont="1" applyFill="1" applyAlignment="1">
      <alignment horizontal="left" wrapText="1"/>
    </xf>
    <xf numFmtId="165" fontId="47" fillId="0" borderId="0" xfId="0" applyNumberFormat="1" applyFont="1" applyFill="1" applyAlignment="1">
      <alignment horizontal="left" wrapText="1"/>
    </xf>
    <xf numFmtId="0" fontId="43" fillId="0" borderId="0" xfId="0" applyFont="1" applyFill="1" applyBorder="1" applyAlignment="1">
      <alignment horizontal="left"/>
    </xf>
    <xf numFmtId="0" fontId="47" fillId="0" borderId="0" xfId="0" applyFont="1" applyAlignment="1">
      <alignment vertical="center"/>
    </xf>
    <xf numFmtId="0" fontId="39" fillId="2" borderId="0" xfId="0" applyFont="1" applyFill="1" applyBorder="1" applyAlignment="1">
      <alignment horizontal="left" vertical="center" wrapText="1"/>
    </xf>
    <xf numFmtId="0" fontId="39" fillId="2" borderId="0" xfId="0" applyFont="1" applyFill="1" applyBorder="1" applyAlignment="1">
      <alignment horizontal="left" wrapText="1"/>
    </xf>
    <xf numFmtId="0" fontId="47" fillId="0" borderId="0" xfId="0" applyFont="1" applyFill="1" applyAlignment="1">
      <alignment vertical="center"/>
    </xf>
    <xf numFmtId="0" fontId="43" fillId="0" borderId="0" xfId="0" applyFont="1" applyBorder="1" applyAlignment="1">
      <alignment horizontal="left"/>
    </xf>
    <xf numFmtId="0" fontId="45" fillId="0" borderId="0" xfId="1" applyFont="1" applyBorder="1" applyAlignment="1" applyProtection="1">
      <alignment horizontal="left" vertical="center" wrapText="1"/>
    </xf>
    <xf numFmtId="0" fontId="45" fillId="0" borderId="0" xfId="1" applyFont="1" applyFill="1" applyAlignment="1" applyProtection="1"/>
    <xf numFmtId="0" fontId="39" fillId="22" borderId="0" xfId="0" applyFont="1" applyFill="1" applyBorder="1" applyAlignment="1">
      <alignment horizontal="left" vertical="center"/>
    </xf>
    <xf numFmtId="0" fontId="39" fillId="22" borderId="0" xfId="0" applyFont="1" applyFill="1" applyBorder="1" applyAlignment="1">
      <alignment horizontal="left"/>
    </xf>
    <xf numFmtId="0" fontId="47" fillId="22" borderId="0" xfId="0" applyFont="1" applyFill="1"/>
    <xf numFmtId="0" fontId="47" fillId="22" borderId="0" xfId="0" applyFont="1" applyFill="1" applyAlignment="1">
      <alignment vertical="center"/>
    </xf>
    <xf numFmtId="1" fontId="39" fillId="22" borderId="0" xfId="0" applyNumberFormat="1" applyFont="1" applyFill="1" applyBorder="1" applyAlignment="1">
      <alignment horizontal="left" wrapText="1"/>
    </xf>
    <xf numFmtId="1" fontId="39" fillId="22" borderId="0" xfId="0" applyNumberFormat="1" applyFont="1" applyFill="1" applyAlignment="1">
      <alignment horizontal="left"/>
    </xf>
    <xf numFmtId="3" fontId="39" fillId="22" borderId="0" xfId="0" applyNumberFormat="1" applyFont="1" applyFill="1" applyAlignment="1">
      <alignment horizontal="left"/>
    </xf>
    <xf numFmtId="0" fontId="39" fillId="0" borderId="0" xfId="4" applyFont="1" applyFill="1" applyBorder="1" applyAlignment="1">
      <alignment horizontal="left" wrapText="1"/>
    </xf>
    <xf numFmtId="14" fontId="39" fillId="0" borderId="0" xfId="4" applyNumberFormat="1" applyFont="1" applyFill="1" applyBorder="1" applyAlignment="1">
      <alignment horizontal="left" wrapText="1"/>
    </xf>
    <xf numFmtId="0" fontId="3" fillId="0" borderId="0" xfId="4" applyFont="1" applyFill="1" applyBorder="1" applyAlignment="1">
      <alignment horizontal="left" wrapText="1"/>
    </xf>
    <xf numFmtId="0" fontId="39" fillId="0" borderId="0" xfId="4" applyFont="1" applyAlignment="1">
      <alignment horizontal="left"/>
    </xf>
    <xf numFmtId="1" fontId="39" fillId="0" borderId="0" xfId="4" applyNumberFormat="1" applyFont="1" applyFill="1" applyBorder="1" applyAlignment="1">
      <alignment horizontal="left" wrapText="1"/>
    </xf>
    <xf numFmtId="3" fontId="39" fillId="0" borderId="0" xfId="4" applyNumberFormat="1" applyFont="1" applyFill="1" applyBorder="1" applyAlignment="1">
      <alignment horizontal="left" wrapText="1"/>
    </xf>
    <xf numFmtId="3" fontId="39" fillId="0" borderId="0" xfId="4" applyNumberFormat="1" applyFont="1" applyAlignment="1">
      <alignment horizontal="left"/>
    </xf>
    <xf numFmtId="0" fontId="39" fillId="0" borderId="0" xfId="4" applyFont="1" applyFill="1" applyBorder="1" applyAlignment="1">
      <alignment horizontal="left"/>
    </xf>
    <xf numFmtId="0" fontId="39" fillId="0" borderId="0" xfId="4" applyFont="1" applyBorder="1" applyAlignment="1">
      <alignment horizontal="left"/>
    </xf>
    <xf numFmtId="14" fontId="39" fillId="0" borderId="0" xfId="4" applyNumberFormat="1" applyFont="1" applyBorder="1" applyAlignment="1">
      <alignment horizontal="left"/>
    </xf>
    <xf numFmtId="1" fontId="39" fillId="0" borderId="0" xfId="4" applyNumberFormat="1" applyFont="1" applyFill="1" applyBorder="1" applyAlignment="1">
      <alignment horizontal="left"/>
    </xf>
    <xf numFmtId="1" fontId="39" fillId="0" borderId="0" xfId="4" applyNumberFormat="1" applyFont="1" applyBorder="1" applyAlignment="1">
      <alignment horizontal="left"/>
    </xf>
    <xf numFmtId="3" fontId="39" fillId="0" borderId="0" xfId="4" applyNumberFormat="1" applyFont="1" applyBorder="1" applyAlignment="1">
      <alignment horizontal="left"/>
    </xf>
    <xf numFmtId="0" fontId="39" fillId="0" borderId="0" xfId="4" applyFont="1" applyFill="1" applyAlignment="1">
      <alignment horizontal="left"/>
    </xf>
    <xf numFmtId="3" fontId="39" fillId="0" borderId="0" xfId="4" applyNumberFormat="1" applyFont="1" applyFill="1" applyBorder="1" applyAlignment="1">
      <alignment horizontal="left"/>
    </xf>
    <xf numFmtId="14" fontId="39" fillId="0" borderId="0" xfId="4" applyNumberFormat="1" applyFont="1" applyFill="1" applyBorder="1" applyAlignment="1">
      <alignment horizontal="left"/>
    </xf>
    <xf numFmtId="3" fontId="43" fillId="0" borderId="0" xfId="4" applyNumberFormat="1" applyFont="1" applyFill="1" applyBorder="1" applyAlignment="1">
      <alignment horizontal="left"/>
    </xf>
    <xf numFmtId="14" fontId="39" fillId="0" borderId="0" xfId="4" applyNumberFormat="1" applyFont="1" applyAlignment="1">
      <alignment horizontal="left"/>
    </xf>
    <xf numFmtId="1" fontId="39" fillId="0" borderId="0" xfId="4" applyNumberFormat="1" applyFont="1" applyAlignment="1">
      <alignment horizontal="left"/>
    </xf>
    <xf numFmtId="1" fontId="3" fillId="0" borderId="0" xfId="4" applyNumberFormat="1" applyFont="1" applyFill="1" applyBorder="1" applyAlignment="1">
      <alignment horizontal="left"/>
    </xf>
    <xf numFmtId="14" fontId="39" fillId="0" borderId="0" xfId="4" applyNumberFormat="1" applyFont="1" applyFill="1" applyAlignment="1">
      <alignment horizontal="left"/>
    </xf>
    <xf numFmtId="1" fontId="39" fillId="0" borderId="0" xfId="4" applyNumberFormat="1" applyFont="1" applyFill="1" applyAlignment="1">
      <alignment horizontal="left"/>
    </xf>
    <xf numFmtId="3" fontId="39" fillId="0" borderId="0" xfId="4" applyNumberFormat="1" applyFont="1" applyFill="1" applyAlignment="1">
      <alignment horizontal="left"/>
    </xf>
    <xf numFmtId="1" fontId="43" fillId="0" borderId="0" xfId="4" applyNumberFormat="1" applyFont="1" applyFill="1" applyAlignment="1">
      <alignment horizontal="left"/>
    </xf>
    <xf numFmtId="0" fontId="53" fillId="0" borderId="0" xfId="1" applyFont="1" applyFill="1" applyAlignment="1" applyProtection="1">
      <alignment horizontal="left"/>
    </xf>
    <xf numFmtId="0" fontId="39" fillId="22" borderId="0" xfId="4" applyFont="1" applyFill="1" applyAlignment="1">
      <alignment horizontal="left"/>
    </xf>
    <xf numFmtId="14" fontId="39" fillId="22" borderId="0" xfId="4" applyNumberFormat="1" applyFont="1" applyFill="1" applyAlignment="1">
      <alignment horizontal="left"/>
    </xf>
    <xf numFmtId="1" fontId="39" fillId="22" borderId="0" xfId="4" applyNumberFormat="1" applyFont="1" applyFill="1" applyAlignment="1">
      <alignment horizontal="left"/>
    </xf>
    <xf numFmtId="3" fontId="39" fillId="22" borderId="0" xfId="4" applyNumberFormat="1" applyFont="1" applyFill="1" applyAlignment="1">
      <alignment horizontal="left"/>
    </xf>
    <xf numFmtId="0" fontId="46" fillId="22" borderId="0" xfId="1" applyFont="1" applyFill="1" applyAlignment="1" applyProtection="1">
      <alignment horizontal="left"/>
    </xf>
    <xf numFmtId="1" fontId="44" fillId="29" borderId="1" xfId="0" applyNumberFormat="1" applyFont="1" applyFill="1" applyBorder="1" applyAlignment="1">
      <alignment horizontal="left" vertical="center" wrapText="1"/>
    </xf>
    <xf numFmtId="0" fontId="44" fillId="29" borderId="1" xfId="0" applyFont="1" applyFill="1" applyBorder="1" applyAlignment="1">
      <alignment horizontal="left" vertical="center"/>
    </xf>
    <xf numFmtId="0" fontId="20" fillId="0" borderId="0" xfId="0" applyFont="1" applyFill="1" applyBorder="1"/>
    <xf numFmtId="0" fontId="0" fillId="0" borderId="0" xfId="0" applyFont="1" applyFill="1" applyBorder="1"/>
    <xf numFmtId="3" fontId="0" fillId="0" borderId="50" xfId="0" applyNumberFormat="1" applyBorder="1"/>
    <xf numFmtId="0" fontId="39" fillId="0" borderId="36" xfId="0" applyFont="1" applyBorder="1"/>
    <xf numFmtId="1" fontId="44" fillId="29" borderId="1" xfId="0" applyNumberFormat="1" applyFont="1" applyFill="1" applyBorder="1" applyAlignment="1">
      <alignment horizontal="left" vertical="center"/>
    </xf>
    <xf numFmtId="1" fontId="44" fillId="8" borderId="1" xfId="0" applyNumberFormat="1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left" vertical="center"/>
    </xf>
    <xf numFmtId="0" fontId="44" fillId="6" borderId="1" xfId="0" applyFont="1" applyFill="1" applyBorder="1" applyAlignment="1">
      <alignment horizontal="left" vertical="center" wrapText="1"/>
    </xf>
    <xf numFmtId="0" fontId="47" fillId="0" borderId="0" xfId="0" applyNumberFormat="1" applyFont="1" applyFill="1" applyAlignment="1">
      <alignment horizontal="left" vertical="top" wrapText="1"/>
    </xf>
    <xf numFmtId="0" fontId="39" fillId="0" borderId="0" xfId="0" applyFont="1" applyFill="1" applyBorder="1" applyAlignment="1">
      <alignment vertical="top" wrapText="1"/>
    </xf>
    <xf numFmtId="0" fontId="39" fillId="0" borderId="0" xfId="0" applyFont="1" applyAlignment="1">
      <alignment horizontal="left" vertical="center" wrapText="1"/>
    </xf>
    <xf numFmtId="0" fontId="47" fillId="0" borderId="0" xfId="0" applyFont="1" applyFill="1" applyAlignment="1">
      <alignment horizontal="left" vertical="center" wrapText="1"/>
    </xf>
    <xf numFmtId="14" fontId="39" fillId="0" borderId="0" xfId="0" applyNumberFormat="1" applyFont="1" applyBorder="1" applyAlignment="1">
      <alignment horizontal="left"/>
    </xf>
    <xf numFmtId="14" fontId="39" fillId="22" borderId="0" xfId="0" applyNumberFormat="1" applyFont="1" applyFill="1" applyAlignment="1">
      <alignment horizontal="left" wrapText="1"/>
    </xf>
    <xf numFmtId="14" fontId="39" fillId="22" borderId="0" xfId="0" applyNumberFormat="1" applyFont="1" applyFill="1" applyAlignment="1">
      <alignment horizontal="left"/>
    </xf>
    <xf numFmtId="0" fontId="39" fillId="0" borderId="0" xfId="0" applyFont="1" applyAlignment="1">
      <alignment horizontal="left" vertical="center"/>
    </xf>
    <xf numFmtId="0" fontId="47" fillId="22" borderId="0" xfId="0" applyFont="1" applyFill="1" applyAlignment="1">
      <alignment horizontal="left"/>
    </xf>
    <xf numFmtId="1" fontId="47" fillId="0" borderId="0" xfId="0" applyNumberFormat="1" applyFont="1" applyAlignment="1">
      <alignment horizontal="left"/>
    </xf>
    <xf numFmtId="1" fontId="47" fillId="0" borderId="0" xfId="0" applyNumberFormat="1" applyFont="1" applyFill="1" applyAlignment="1">
      <alignment horizontal="left"/>
    </xf>
    <xf numFmtId="0" fontId="54" fillId="31" borderId="1" xfId="0" applyFont="1" applyFill="1" applyBorder="1" applyAlignment="1">
      <alignment horizontal="left" vertical="center"/>
    </xf>
    <xf numFmtId="0" fontId="54" fillId="3" borderId="1" xfId="0" applyFont="1" applyFill="1" applyBorder="1" applyAlignment="1">
      <alignment horizontal="left" vertical="center"/>
    </xf>
    <xf numFmtId="0" fontId="54" fillId="6" borderId="1" xfId="0" applyFont="1" applyFill="1" applyBorder="1" applyAlignment="1">
      <alignment horizontal="left" vertical="center"/>
    </xf>
    <xf numFmtId="0" fontId="54" fillId="0" borderId="0" xfId="0" applyFont="1"/>
    <xf numFmtId="0" fontId="44" fillId="0" borderId="0" xfId="0" applyFont="1"/>
    <xf numFmtId="0" fontId="54" fillId="31" borderId="1" xfId="0" applyFont="1" applyFill="1" applyBorder="1" applyAlignment="1">
      <alignment horizontal="center" vertical="center"/>
    </xf>
    <xf numFmtId="0" fontId="54" fillId="31" borderId="36" xfId="0" applyFont="1" applyFill="1" applyBorder="1" applyAlignment="1">
      <alignment horizontal="center" vertical="center"/>
    </xf>
    <xf numFmtId="0" fontId="54" fillId="31" borderId="50" xfId="0" applyFont="1" applyFill="1" applyBorder="1" applyAlignment="1">
      <alignment horizontal="center" vertical="center"/>
    </xf>
    <xf numFmtId="2" fontId="44" fillId="20" borderId="45" xfId="0" applyNumberFormat="1" applyFont="1" applyFill="1" applyBorder="1" applyAlignment="1">
      <alignment horizontal="left" vertical="center"/>
    </xf>
    <xf numFmtId="1" fontId="44" fillId="8" borderId="45" xfId="0" applyNumberFormat="1" applyFont="1" applyFill="1" applyBorder="1" applyAlignment="1">
      <alignment horizontal="left" vertical="center"/>
    </xf>
    <xf numFmtId="0" fontId="12" fillId="7" borderId="0" xfId="0" applyFont="1" applyFill="1" applyBorder="1" applyAlignment="1">
      <alignment horizontal="left"/>
    </xf>
    <xf numFmtId="0" fontId="39" fillId="7" borderId="0" xfId="0" applyFont="1" applyFill="1" applyBorder="1" applyAlignment="1">
      <alignment horizontal="left" wrapText="1"/>
    </xf>
    <xf numFmtId="0" fontId="39" fillId="7" borderId="0" xfId="0" applyFont="1" applyFill="1" applyBorder="1" applyAlignment="1">
      <alignment horizontal="left" vertical="center" wrapText="1"/>
    </xf>
    <xf numFmtId="14" fontId="39" fillId="7" borderId="0" xfId="0" applyNumberFormat="1" applyFont="1" applyFill="1" applyBorder="1" applyAlignment="1">
      <alignment horizontal="left" wrapText="1"/>
    </xf>
    <xf numFmtId="1" fontId="39" fillId="7" borderId="0" xfId="0" applyNumberFormat="1" applyFont="1" applyFill="1" applyBorder="1" applyAlignment="1">
      <alignment horizontal="left" wrapText="1"/>
    </xf>
    <xf numFmtId="1" fontId="39" fillId="7" borderId="0" xfId="0" applyNumberFormat="1" applyFont="1" applyFill="1" applyBorder="1" applyAlignment="1">
      <alignment horizontal="left"/>
    </xf>
    <xf numFmtId="1" fontId="43" fillId="7" borderId="0" xfId="0" applyNumberFormat="1" applyFont="1" applyFill="1" applyBorder="1" applyAlignment="1">
      <alignment horizontal="left" wrapText="1"/>
    </xf>
    <xf numFmtId="3" fontId="39" fillId="7" borderId="0" xfId="0" applyNumberFormat="1" applyFont="1" applyFill="1" applyBorder="1" applyAlignment="1">
      <alignment horizontal="left" wrapText="1"/>
    </xf>
    <xf numFmtId="0" fontId="46" fillId="7" borderId="0" xfId="1" applyFont="1" applyFill="1" applyBorder="1" applyAlignment="1" applyProtection="1">
      <alignment horizontal="left" wrapText="1"/>
    </xf>
    <xf numFmtId="3" fontId="0" fillId="31" borderId="0" xfId="0" applyNumberFormat="1" applyFill="1"/>
    <xf numFmtId="1" fontId="44" fillId="29" borderId="36" xfId="0" applyNumberFormat="1" applyFont="1" applyFill="1" applyBorder="1" applyAlignment="1">
      <alignment horizontal="left" vertical="center"/>
    </xf>
    <xf numFmtId="3" fontId="0" fillId="0" borderId="0" xfId="0" applyNumberFormat="1" applyBorder="1" applyAlignment="1">
      <alignment horizontal="left"/>
    </xf>
    <xf numFmtId="3" fontId="0" fillId="0" borderId="12" xfId="0" applyNumberFormat="1" applyBorder="1" applyAlignment="1">
      <alignment horizontal="left"/>
    </xf>
    <xf numFmtId="3" fontId="0" fillId="0" borderId="11" xfId="0" applyNumberFormat="1" applyBorder="1" applyAlignment="1">
      <alignment horizontal="left"/>
    </xf>
    <xf numFmtId="3" fontId="0" fillId="0" borderId="5" xfId="0" applyNumberFormat="1" applyBorder="1" applyAlignment="1">
      <alignment horizontal="left"/>
    </xf>
    <xf numFmtId="3" fontId="0" fillId="0" borderId="13" xfId="0" applyNumberFormat="1" applyBorder="1" applyAlignment="1"/>
    <xf numFmtId="3" fontId="0" fillId="0" borderId="8" xfId="0" applyNumberFormat="1" applyBorder="1" applyAlignment="1"/>
    <xf numFmtId="3" fontId="0" fillId="0" borderId="9" xfId="0" applyNumberFormat="1" applyBorder="1" applyAlignment="1"/>
    <xf numFmtId="3" fontId="0" fillId="0" borderId="14" xfId="0" applyNumberFormat="1" applyBorder="1" applyAlignment="1"/>
    <xf numFmtId="3" fontId="0" fillId="0" borderId="0" xfId="0" applyNumberFormat="1" applyBorder="1" applyAlignment="1"/>
    <xf numFmtId="3" fontId="0" fillId="0" borderId="0" xfId="0" applyNumberFormat="1" applyFill="1" applyBorder="1" applyAlignment="1"/>
    <xf numFmtId="3" fontId="0" fillId="0" borderId="12" xfId="0" applyNumberFormat="1" applyBorder="1" applyAlignment="1"/>
    <xf numFmtId="3" fontId="20" fillId="0" borderId="0" xfId="0" applyNumberFormat="1" applyFont="1" applyBorder="1" applyAlignment="1"/>
    <xf numFmtId="3" fontId="0" fillId="0" borderId="10" xfId="0" applyNumberFormat="1" applyBorder="1" applyAlignment="1"/>
    <xf numFmtId="3" fontId="0" fillId="0" borderId="11" xfId="0" applyNumberFormat="1" applyBorder="1" applyAlignment="1"/>
    <xf numFmtId="3" fontId="20" fillId="0" borderId="11" xfId="0" applyNumberFormat="1" applyFont="1" applyBorder="1" applyAlignment="1"/>
    <xf numFmtId="3" fontId="0" fillId="0" borderId="5" xfId="0" applyNumberFormat="1" applyBorder="1" applyAlignment="1"/>
    <xf numFmtId="0" fontId="14" fillId="9" borderId="18" xfId="0" applyFont="1" applyFill="1" applyBorder="1"/>
    <xf numFmtId="0" fontId="0" fillId="9" borderId="19" xfId="0" applyFill="1" applyBorder="1"/>
    <xf numFmtId="0" fontId="39" fillId="10" borderId="15" xfId="0" applyFont="1" applyFill="1" applyBorder="1"/>
    <xf numFmtId="0" fontId="39" fillId="0" borderId="15" xfId="0" applyFont="1" applyBorder="1"/>
    <xf numFmtId="0" fontId="39" fillId="3" borderId="49" xfId="0" applyFont="1" applyFill="1" applyBorder="1"/>
    <xf numFmtId="3" fontId="39" fillId="0" borderId="50" xfId="0" applyNumberFormat="1" applyFont="1" applyBorder="1"/>
    <xf numFmtId="3" fontId="39" fillId="0" borderId="51" xfId="0" applyNumberFormat="1" applyFont="1" applyBorder="1"/>
    <xf numFmtId="3" fontId="39" fillId="0" borderId="46" xfId="0" applyNumberFormat="1" applyFont="1" applyBorder="1"/>
    <xf numFmtId="3" fontId="39" fillId="0" borderId="14" xfId="0" applyNumberFormat="1" applyFont="1" applyBorder="1"/>
    <xf numFmtId="3" fontId="39" fillId="0" borderId="0" xfId="0" applyNumberFormat="1" applyFont="1" applyBorder="1"/>
    <xf numFmtId="3" fontId="39" fillId="0" borderId="12" xfId="0" applyNumberFormat="1" applyFont="1" applyBorder="1"/>
    <xf numFmtId="3" fontId="39" fillId="0" borderId="14" xfId="0" applyNumberFormat="1" applyFont="1" applyFill="1" applyBorder="1"/>
    <xf numFmtId="3" fontId="39" fillId="0" borderId="0" xfId="0" applyNumberFormat="1" applyFont="1" applyFill="1" applyBorder="1"/>
    <xf numFmtId="3" fontId="39" fillId="0" borderId="10" xfId="0" applyNumberFormat="1" applyFont="1" applyBorder="1"/>
    <xf numFmtId="3" fontId="39" fillId="0" borderId="11" xfId="0" applyNumberFormat="1" applyFont="1" applyBorder="1"/>
    <xf numFmtId="3" fontId="39" fillId="0" borderId="5" xfId="0" applyNumberFormat="1" applyFont="1" applyBorder="1"/>
    <xf numFmtId="0" fontId="0" fillId="0" borderId="0" xfId="0" applyAlignment="1">
      <alignment horizontal="left" vertical="center"/>
    </xf>
    <xf numFmtId="0" fontId="39" fillId="20" borderId="47" xfId="0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1" fontId="39" fillId="29" borderId="36" xfId="0" applyNumberFormat="1" applyFont="1" applyFill="1" applyBorder="1" applyAlignment="1">
      <alignment horizontal="left" vertical="center"/>
    </xf>
    <xf numFmtId="0" fontId="39" fillId="0" borderId="3" xfId="0" applyFont="1" applyBorder="1"/>
    <xf numFmtId="0" fontId="39" fillId="3" borderId="10" xfId="0" applyFont="1" applyFill="1" applyBorder="1"/>
    <xf numFmtId="0" fontId="39" fillId="0" borderId="36" xfId="0" applyFont="1" applyBorder="1" applyAlignment="1">
      <alignment horizontal="left" vertical="center"/>
    </xf>
    <xf numFmtId="0" fontId="39" fillId="20" borderId="36" xfId="0" applyFont="1" applyFill="1" applyBorder="1" applyAlignment="1">
      <alignment horizontal="left" vertical="center"/>
    </xf>
    <xf numFmtId="1" fontId="39" fillId="8" borderId="36" xfId="0" applyNumberFormat="1" applyFont="1" applyFill="1" applyBorder="1" applyAlignment="1">
      <alignment horizontal="left" vertical="center" wrapText="1"/>
    </xf>
    <xf numFmtId="1" fontId="39" fillId="8" borderId="36" xfId="0" applyNumberFormat="1" applyFont="1" applyFill="1" applyBorder="1" applyAlignment="1">
      <alignment horizontal="left" vertical="center"/>
    </xf>
    <xf numFmtId="1" fontId="39" fillId="29" borderId="36" xfId="0" applyNumberFormat="1" applyFont="1" applyFill="1" applyBorder="1" applyAlignment="1">
      <alignment horizontal="left" vertical="center" wrapText="1"/>
    </xf>
    <xf numFmtId="0" fontId="39" fillId="29" borderId="36" xfId="0" applyFont="1" applyFill="1" applyBorder="1" applyAlignment="1">
      <alignment horizontal="left" vertical="center"/>
    </xf>
    <xf numFmtId="0" fontId="14" fillId="29" borderId="36" xfId="0" applyFont="1" applyFill="1" applyBorder="1" applyAlignment="1">
      <alignment horizontal="left" vertical="center"/>
    </xf>
    <xf numFmtId="1" fontId="39" fillId="8" borderId="47" xfId="0" applyNumberFormat="1" applyFont="1" applyFill="1" applyBorder="1" applyAlignment="1">
      <alignment horizontal="left" vertical="center" wrapText="1"/>
    </xf>
    <xf numFmtId="1" fontId="39" fillId="8" borderId="47" xfId="0" applyNumberFormat="1" applyFont="1" applyFill="1" applyBorder="1" applyAlignment="1">
      <alignment horizontal="left" vertical="center"/>
    </xf>
    <xf numFmtId="1" fontId="39" fillId="29" borderId="47" xfId="0" applyNumberFormat="1" applyFont="1" applyFill="1" applyBorder="1" applyAlignment="1">
      <alignment horizontal="left" vertical="center" wrapText="1"/>
    </xf>
    <xf numFmtId="0" fontId="39" fillId="29" borderId="47" xfId="0" applyFont="1" applyFill="1" applyBorder="1" applyAlignment="1">
      <alignment horizontal="left" vertical="center"/>
    </xf>
    <xf numFmtId="0" fontId="14" fillId="29" borderId="47" xfId="0" applyFont="1" applyFill="1" applyBorder="1" applyAlignment="1">
      <alignment horizontal="left" vertical="center"/>
    </xf>
    <xf numFmtId="1" fontId="39" fillId="29" borderId="47" xfId="0" applyNumberFormat="1" applyFont="1" applyFill="1" applyBorder="1" applyAlignment="1">
      <alignment horizontal="left" vertical="center"/>
    </xf>
    <xf numFmtId="1" fontId="39" fillId="8" borderId="46" xfId="0" applyNumberFormat="1" applyFont="1" applyFill="1" applyBorder="1" applyAlignment="1">
      <alignment horizontal="left" vertical="center" wrapText="1"/>
    </xf>
    <xf numFmtId="0" fontId="39" fillId="31" borderId="36" xfId="0" applyFont="1" applyFill="1" applyBorder="1" applyAlignment="1">
      <alignment horizontal="left" vertical="center"/>
    </xf>
    <xf numFmtId="0" fontId="39" fillId="3" borderId="14" xfId="0" applyFont="1" applyFill="1" applyBorder="1"/>
    <xf numFmtId="0" fontId="39" fillId="31" borderId="36" xfId="0" applyFont="1" applyFill="1" applyBorder="1"/>
    <xf numFmtId="3" fontId="39" fillId="0" borderId="3" xfId="0" applyNumberFormat="1" applyFont="1" applyBorder="1"/>
    <xf numFmtId="3" fontId="39" fillId="0" borderId="15" xfId="0" applyNumberFormat="1" applyFont="1" applyBorder="1"/>
    <xf numFmtId="3" fontId="0" fillId="0" borderId="48" xfId="0" applyNumberFormat="1" applyBorder="1"/>
    <xf numFmtId="0" fontId="18" fillId="0" borderId="0" xfId="0" applyFont="1" applyFill="1" applyBorder="1"/>
    <xf numFmtId="0" fontId="14" fillId="0" borderId="0" xfId="0" applyFont="1" applyFill="1" applyBorder="1"/>
    <xf numFmtId="0" fontId="0" fillId="12" borderId="36" xfId="0" applyFill="1" applyBorder="1"/>
    <xf numFmtId="0" fontId="14" fillId="12" borderId="36" xfId="0" applyFont="1" applyFill="1" applyBorder="1"/>
    <xf numFmtId="1" fontId="39" fillId="8" borderId="52" xfId="0" applyNumberFormat="1" applyFont="1" applyFill="1" applyBorder="1" applyAlignment="1">
      <alignment horizontal="left" vertical="center" wrapText="1"/>
    </xf>
    <xf numFmtId="0" fontId="43" fillId="0" borderId="0" xfId="0" applyFont="1"/>
    <xf numFmtId="0" fontId="39" fillId="11" borderId="0" xfId="0" applyFont="1" applyFill="1"/>
    <xf numFmtId="0" fontId="39" fillId="2" borderId="47" xfId="0" applyFont="1" applyFill="1" applyBorder="1"/>
    <xf numFmtId="0" fontId="39" fillId="12" borderId="47" xfId="0" applyFont="1" applyFill="1" applyBorder="1"/>
    <xf numFmtId="0" fontId="44" fillId="4" borderId="36" xfId="0" applyFont="1" applyFill="1" applyBorder="1"/>
    <xf numFmtId="0" fontId="39" fillId="4" borderId="41" xfId="0" applyFont="1" applyFill="1" applyBorder="1"/>
    <xf numFmtId="0" fontId="39" fillId="4" borderId="42" xfId="0" applyFont="1" applyFill="1" applyBorder="1"/>
    <xf numFmtId="164" fontId="39" fillId="0" borderId="0" xfId="0" applyNumberFormat="1" applyFont="1"/>
    <xf numFmtId="1" fontId="43" fillId="0" borderId="0" xfId="0" applyNumberFormat="1" applyFont="1"/>
    <xf numFmtId="0" fontId="39" fillId="0" borderId="51" xfId="0" applyFont="1" applyBorder="1"/>
    <xf numFmtId="0" fontId="39" fillId="0" borderId="50" xfId="0" applyFont="1" applyBorder="1"/>
    <xf numFmtId="0" fontId="39" fillId="0" borderId="46" xfId="0" applyFont="1" applyBorder="1"/>
    <xf numFmtId="0" fontId="39" fillId="0" borderId="0" xfId="0" applyFont="1" applyBorder="1"/>
    <xf numFmtId="0" fontId="44" fillId="12" borderId="0" xfId="0" applyFont="1" applyFill="1"/>
    <xf numFmtId="0" fontId="39" fillId="12" borderId="30" xfId="0" applyFont="1" applyFill="1" applyBorder="1"/>
    <xf numFmtId="0" fontId="39" fillId="0" borderId="37" xfId="0" applyFont="1" applyBorder="1"/>
    <xf numFmtId="0" fontId="39" fillId="0" borderId="38" xfId="0" applyFont="1" applyBorder="1"/>
    <xf numFmtId="0" fontId="39" fillId="0" borderId="39" xfId="0" applyFont="1" applyBorder="1"/>
    <xf numFmtId="0" fontId="43" fillId="0" borderId="0" xfId="0" applyFont="1" applyFill="1"/>
    <xf numFmtId="0" fontId="39" fillId="0" borderId="14" xfId="0" applyFont="1" applyBorder="1"/>
    <xf numFmtId="0" fontId="39" fillId="0" borderId="12" xfId="0" applyFont="1" applyBorder="1"/>
    <xf numFmtId="1" fontId="43" fillId="0" borderId="0" xfId="0" applyNumberFormat="1" applyFont="1" applyFill="1"/>
    <xf numFmtId="0" fontId="39" fillId="4" borderId="36" xfId="0" applyFont="1" applyFill="1" applyBorder="1"/>
    <xf numFmtId="0" fontId="39" fillId="0" borderId="40" xfId="0" applyFont="1" applyBorder="1"/>
    <xf numFmtId="0" fontId="39" fillId="0" borderId="41" xfId="0" applyFont="1" applyBorder="1"/>
    <xf numFmtId="0" fontId="39" fillId="0" borderId="42" xfId="0" applyFont="1" applyBorder="1"/>
    <xf numFmtId="0" fontId="39" fillId="4" borderId="30" xfId="0" applyFont="1" applyFill="1" applyBorder="1"/>
    <xf numFmtId="0" fontId="39" fillId="12" borderId="43" xfId="0" applyFont="1" applyFill="1" applyBorder="1"/>
    <xf numFmtId="0" fontId="39" fillId="12" borderId="3" xfId="0" applyFont="1" applyFill="1" applyBorder="1"/>
    <xf numFmtId="0" fontId="39" fillId="0" borderId="10" xfId="0" applyFont="1" applyBorder="1"/>
    <xf numFmtId="0" fontId="39" fillId="0" borderId="11" xfId="0" applyFont="1" applyBorder="1"/>
    <xf numFmtId="0" fontId="39" fillId="0" borderId="5" xfId="0" applyFont="1" applyBorder="1"/>
    <xf numFmtId="0" fontId="2" fillId="3" borderId="15" xfId="0" applyFont="1" applyFill="1" applyBorder="1"/>
    <xf numFmtId="0" fontId="43" fillId="0" borderId="15" xfId="0" applyFont="1" applyBorder="1"/>
    <xf numFmtId="0" fontId="43" fillId="0" borderId="19" xfId="0" applyFont="1" applyBorder="1"/>
    <xf numFmtId="0" fontId="44" fillId="4" borderId="15" xfId="0" applyFont="1" applyFill="1" applyBorder="1"/>
    <xf numFmtId="0" fontId="39" fillId="12" borderId="15" xfId="0" applyFont="1" applyFill="1" applyBorder="1"/>
    <xf numFmtId="0" fontId="39" fillId="0" borderId="13" xfId="0" applyFont="1" applyBorder="1"/>
    <xf numFmtId="0" fontId="39" fillId="0" borderId="8" xfId="0" applyFont="1" applyBorder="1"/>
    <xf numFmtId="0" fontId="39" fillId="0" borderId="9" xfId="0" applyFont="1" applyBorder="1"/>
    <xf numFmtId="0" fontId="39" fillId="0" borderId="16" xfId="0" applyFont="1" applyBorder="1"/>
    <xf numFmtId="0" fontId="44" fillId="14" borderId="15" xfId="0" applyFont="1" applyFill="1" applyBorder="1"/>
    <xf numFmtId="0" fontId="39" fillId="4" borderId="15" xfId="0" applyFont="1" applyFill="1" applyBorder="1"/>
    <xf numFmtId="0" fontId="39" fillId="0" borderId="30" xfId="0" applyFont="1" applyBorder="1"/>
    <xf numFmtId="0" fontId="39" fillId="14" borderId="15" xfId="0" applyFont="1" applyFill="1" applyBorder="1"/>
    <xf numFmtId="0" fontId="39" fillId="3" borderId="36" xfId="0" applyFont="1" applyFill="1" applyBorder="1"/>
    <xf numFmtId="0" fontId="39" fillId="0" borderId="45" xfId="0" applyFont="1" applyBorder="1"/>
    <xf numFmtId="0" fontId="39" fillId="4" borderId="0" xfId="0" applyFont="1" applyFill="1"/>
    <xf numFmtId="0" fontId="39" fillId="12" borderId="0" xfId="0" applyFont="1" applyFill="1"/>
    <xf numFmtId="0" fontId="39" fillId="4" borderId="17" xfId="0" applyFont="1" applyFill="1" applyBorder="1"/>
    <xf numFmtId="0" fontId="39" fillId="4" borderId="18" xfId="0" applyFont="1" applyFill="1" applyBorder="1"/>
    <xf numFmtId="0" fontId="39" fillId="4" borderId="19" xfId="0" applyFont="1" applyFill="1" applyBorder="1"/>
    <xf numFmtId="0" fontId="39" fillId="3" borderId="13" xfId="0" applyFont="1" applyFill="1" applyBorder="1"/>
    <xf numFmtId="0" fontId="39" fillId="0" borderId="43" xfId="0" applyFont="1" applyBorder="1"/>
    <xf numFmtId="0" fontId="39" fillId="4" borderId="9" xfId="0" applyFont="1" applyFill="1" applyBorder="1"/>
    <xf numFmtId="0" fontId="39" fillId="4" borderId="12" xfId="0" applyFont="1" applyFill="1" applyBorder="1"/>
    <xf numFmtId="0" fontId="39" fillId="4" borderId="5" xfId="0" applyFont="1" applyFill="1" applyBorder="1"/>
    <xf numFmtId="0" fontId="44" fillId="26" borderId="15" xfId="0" applyFont="1" applyFill="1" applyBorder="1"/>
    <xf numFmtId="0" fontId="44" fillId="16" borderId="15" xfId="0" applyFont="1" applyFill="1" applyBorder="1"/>
    <xf numFmtId="0" fontId="44" fillId="28" borderId="15" xfId="0" applyFont="1" applyFill="1" applyBorder="1"/>
    <xf numFmtId="0" fontId="39" fillId="26" borderId="15" xfId="0" applyFont="1" applyFill="1" applyBorder="1"/>
    <xf numFmtId="0" fontId="44" fillId="3" borderId="15" xfId="0" applyFont="1" applyFill="1" applyBorder="1"/>
    <xf numFmtId="0" fontId="39" fillId="16" borderId="15" xfId="0" applyFont="1" applyFill="1" applyBorder="1"/>
    <xf numFmtId="0" fontId="39" fillId="28" borderId="15" xfId="0" applyFont="1" applyFill="1" applyBorder="1"/>
    <xf numFmtId="0" fontId="39" fillId="3" borderId="15" xfId="0" applyFont="1" applyFill="1" applyBorder="1"/>
    <xf numFmtId="3" fontId="0" fillId="0" borderId="0" xfId="0" applyNumberFormat="1" applyAlignment="1">
      <alignment horizontal="left"/>
    </xf>
    <xf numFmtId="0" fontId="39" fillId="2" borderId="47" xfId="0" applyFont="1" applyFill="1" applyBorder="1" applyAlignment="1">
      <alignment horizontal="right"/>
    </xf>
    <xf numFmtId="0" fontId="39" fillId="12" borderId="36" xfId="0" applyFont="1" applyFill="1" applyBorder="1" applyAlignment="1">
      <alignment horizontal="right"/>
    </xf>
    <xf numFmtId="0" fontId="44" fillId="12" borderId="10" xfId="0" applyFont="1" applyFill="1" applyBorder="1"/>
    <xf numFmtId="0" fontId="39" fillId="12" borderId="36" xfId="0" applyFont="1" applyFill="1" applyBorder="1"/>
    <xf numFmtId="3" fontId="39" fillId="0" borderId="0" xfId="0" applyNumberFormat="1" applyFont="1" applyBorder="1" applyAlignment="1">
      <alignment horizontal="left"/>
    </xf>
    <xf numFmtId="3" fontId="43" fillId="0" borderId="0" xfId="4" applyNumberFormat="1" applyFont="1" applyFill="1" applyAlignment="1">
      <alignment horizontal="left"/>
    </xf>
    <xf numFmtId="3" fontId="39" fillId="0" borderId="30" xfId="0" applyNumberFormat="1" applyFont="1" applyBorder="1"/>
    <xf numFmtId="3" fontId="39" fillId="0" borderId="30" xfId="0" applyNumberFormat="1" applyFont="1" applyFill="1" applyBorder="1"/>
    <xf numFmtId="3" fontId="39" fillId="0" borderId="12" xfId="0" applyNumberFormat="1" applyFont="1" applyBorder="1" applyAlignment="1">
      <alignment horizontal="left"/>
    </xf>
    <xf numFmtId="3" fontId="39" fillId="0" borderId="51" xfId="0" applyNumberFormat="1" applyFont="1" applyFill="1" applyBorder="1" applyAlignment="1">
      <alignment horizontal="left" wrapText="1"/>
    </xf>
    <xf numFmtId="3" fontId="39" fillId="0" borderId="51" xfId="0" applyNumberFormat="1" applyFont="1" applyBorder="1" applyAlignment="1">
      <alignment horizontal="left"/>
    </xf>
    <xf numFmtId="3" fontId="39" fillId="0" borderId="51" xfId="0" applyNumberFormat="1" applyFont="1" applyFill="1" applyBorder="1" applyAlignment="1">
      <alignment horizontal="left"/>
    </xf>
    <xf numFmtId="3" fontId="39" fillId="0" borderId="11" xfId="0" applyNumberFormat="1" applyFont="1" applyBorder="1" applyAlignment="1">
      <alignment horizontal="left"/>
    </xf>
    <xf numFmtId="3" fontId="39" fillId="0" borderId="5" xfId="0" applyNumberFormat="1" applyFont="1" applyBorder="1" applyAlignment="1">
      <alignment horizontal="left"/>
    </xf>
    <xf numFmtId="3" fontId="0" fillId="0" borderId="51" xfId="0" applyNumberFormat="1" applyBorder="1" applyAlignment="1">
      <alignment horizontal="left"/>
    </xf>
    <xf numFmtId="3" fontId="0" fillId="0" borderId="51" xfId="0" applyNumberFormat="1" applyFill="1" applyBorder="1" applyAlignment="1">
      <alignment horizontal="left"/>
    </xf>
    <xf numFmtId="0" fontId="39" fillId="27" borderId="36" xfId="0" applyFont="1" applyFill="1" applyBorder="1"/>
    <xf numFmtId="3" fontId="39" fillId="0" borderId="10" xfId="0" applyNumberFormat="1" applyFont="1" applyFill="1" applyBorder="1"/>
    <xf numFmtId="0" fontId="0" fillId="0" borderId="36" xfId="0" applyBorder="1" applyAlignment="1">
      <alignment horizontal="left" wrapText="1"/>
    </xf>
    <xf numFmtId="0" fontId="14" fillId="32" borderId="36" xfId="0" applyFont="1" applyFill="1" applyBorder="1" applyAlignment="1">
      <alignment horizontal="left" wrapText="1"/>
    </xf>
    <xf numFmtId="0" fontId="14" fillId="15" borderId="52" xfId="0" applyFont="1" applyFill="1" applyBorder="1" applyAlignment="1">
      <alignment horizontal="left" wrapText="1"/>
    </xf>
    <xf numFmtId="0" fontId="0" fillId="15" borderId="36" xfId="0" applyFill="1" applyBorder="1" applyAlignment="1">
      <alignment horizontal="left" wrapText="1"/>
    </xf>
    <xf numFmtId="0" fontId="12" fillId="15" borderId="36" xfId="0" applyFont="1" applyFill="1" applyBorder="1" applyAlignment="1">
      <alignment horizontal="left" vertical="center" wrapText="1"/>
    </xf>
    <xf numFmtId="0" fontId="55" fillId="15" borderId="36" xfId="0" applyFont="1" applyFill="1" applyBorder="1" applyAlignment="1">
      <alignment horizontal="left" vertical="center" wrapText="1"/>
    </xf>
    <xf numFmtId="0" fontId="0" fillId="9" borderId="36" xfId="0" applyFill="1" applyBorder="1" applyAlignment="1">
      <alignment horizontal="left" wrapText="1"/>
    </xf>
    <xf numFmtId="0" fontId="14" fillId="15" borderId="36" xfId="0" applyFont="1" applyFill="1" applyBorder="1" applyAlignment="1">
      <alignment horizontal="left" wrapText="1"/>
    </xf>
    <xf numFmtId="0" fontId="18" fillId="0" borderId="36" xfId="0" applyFont="1" applyFill="1" applyBorder="1" applyAlignment="1">
      <alignment horizontal="left" wrapText="1"/>
    </xf>
    <xf numFmtId="0" fontId="18" fillId="0" borderId="36" xfId="0" applyFont="1" applyBorder="1" applyAlignment="1">
      <alignment horizontal="left" wrapText="1"/>
    </xf>
    <xf numFmtId="0" fontId="0" fillId="0" borderId="36" xfId="0" applyBorder="1" applyAlignment="1">
      <alignment horizontal="left"/>
    </xf>
    <xf numFmtId="3" fontId="0" fillId="0" borderId="36" xfId="0" applyNumberFormat="1" applyBorder="1" applyAlignment="1">
      <alignment horizontal="left"/>
    </xf>
    <xf numFmtId="3" fontId="14" fillId="32" borderId="36" xfId="0" applyNumberFormat="1" applyFont="1" applyFill="1" applyBorder="1" applyAlignment="1">
      <alignment horizontal="left"/>
    </xf>
    <xf numFmtId="3" fontId="12" fillId="32" borderId="0" xfId="0" applyNumberFormat="1" applyFont="1" applyFill="1" applyAlignment="1">
      <alignment horizontal="justify"/>
    </xf>
    <xf numFmtId="3" fontId="14" fillId="15" borderId="0" xfId="0" applyNumberFormat="1" applyFont="1" applyFill="1" applyAlignment="1">
      <alignment horizontal="left"/>
    </xf>
    <xf numFmtId="3" fontId="0" fillId="15" borderId="36" xfId="0" applyNumberFormat="1" applyFill="1" applyBorder="1" applyAlignment="1">
      <alignment horizontal="left"/>
    </xf>
    <xf numFmtId="3" fontId="31" fillId="15" borderId="36" xfId="0" applyNumberFormat="1" applyFont="1" applyFill="1" applyBorder="1" applyAlignment="1">
      <alignment horizontal="left"/>
    </xf>
    <xf numFmtId="167" fontId="31" fillId="15" borderId="36" xfId="0" applyNumberFormat="1" applyFont="1" applyFill="1" applyBorder="1" applyAlignment="1">
      <alignment horizontal="left"/>
    </xf>
    <xf numFmtId="3" fontId="0" fillId="9" borderId="36" xfId="0" applyNumberFormat="1" applyFill="1" applyBorder="1" applyAlignment="1">
      <alignment horizontal="left"/>
    </xf>
    <xf numFmtId="0" fontId="0" fillId="15" borderId="36" xfId="0" applyFill="1" applyBorder="1" applyAlignment="1">
      <alignment horizontal="left"/>
    </xf>
    <xf numFmtId="0" fontId="0" fillId="0" borderId="36" xfId="0" applyFill="1" applyBorder="1" applyAlignment="1">
      <alignment horizontal="left"/>
    </xf>
    <xf numFmtId="2" fontId="0" fillId="0" borderId="36" xfId="0" applyNumberFormat="1" applyBorder="1" applyAlignment="1">
      <alignment horizontal="left"/>
    </xf>
    <xf numFmtId="3" fontId="0" fillId="0" borderId="40" xfId="0" applyNumberFormat="1" applyBorder="1" applyAlignment="1">
      <alignment horizontal="left"/>
    </xf>
    <xf numFmtId="0" fontId="14" fillId="0" borderId="0" xfId="0" applyFont="1" applyBorder="1"/>
    <xf numFmtId="0" fontId="14" fillId="0" borderId="36" xfId="0" applyFont="1" applyBorder="1"/>
    <xf numFmtId="2" fontId="0" fillId="0" borderId="0" xfId="0" applyNumberFormat="1" applyBorder="1" applyAlignment="1">
      <alignment horizontal="left"/>
    </xf>
    <xf numFmtId="3" fontId="28" fillId="15" borderId="36" xfId="0" applyNumberFormat="1" applyFont="1" applyFill="1" applyBorder="1" applyAlignment="1">
      <alignment horizontal="left"/>
    </xf>
    <xf numFmtId="0" fontId="18" fillId="0" borderId="36" xfId="0" applyFont="1" applyFill="1" applyBorder="1" applyAlignment="1">
      <alignment horizontal="left"/>
    </xf>
    <xf numFmtId="3" fontId="18" fillId="0" borderId="36" xfId="0" applyNumberFormat="1" applyFont="1" applyBorder="1" applyAlignment="1">
      <alignment horizontal="left"/>
    </xf>
    <xf numFmtId="3" fontId="0" fillId="0" borderId="36" xfId="0" applyNumberFormat="1" applyFill="1" applyBorder="1" applyAlignment="1">
      <alignment horizontal="left"/>
    </xf>
    <xf numFmtId="3" fontId="12" fillId="15" borderId="36" xfId="0" applyNumberFormat="1" applyFont="1" applyFill="1" applyBorder="1" applyAlignment="1">
      <alignment horizontal="left"/>
    </xf>
    <xf numFmtId="3" fontId="14" fillId="15" borderId="53" xfId="0" applyNumberFormat="1" applyFont="1" applyFill="1" applyBorder="1" applyAlignment="1">
      <alignment horizontal="left"/>
    </xf>
    <xf numFmtId="0" fontId="18" fillId="0" borderId="36" xfId="0" applyFont="1" applyBorder="1" applyAlignment="1">
      <alignment horizontal="left"/>
    </xf>
    <xf numFmtId="3" fontId="18" fillId="32" borderId="36" xfId="0" applyNumberFormat="1" applyFont="1" applyFill="1" applyBorder="1" applyAlignment="1">
      <alignment horizontal="left"/>
    </xf>
    <xf numFmtId="3" fontId="18" fillId="15" borderId="52" xfId="0" applyNumberFormat="1" applyFont="1" applyFill="1" applyBorder="1" applyAlignment="1">
      <alignment horizontal="left"/>
    </xf>
    <xf numFmtId="3" fontId="18" fillId="15" borderId="36" xfId="0" applyNumberFormat="1" applyFont="1" applyFill="1" applyBorder="1" applyAlignment="1">
      <alignment horizontal="left"/>
    </xf>
    <xf numFmtId="3" fontId="56" fillId="15" borderId="36" xfId="0" applyNumberFormat="1" applyFont="1" applyFill="1" applyBorder="1" applyAlignment="1">
      <alignment horizontal="left"/>
    </xf>
    <xf numFmtId="4" fontId="31" fillId="15" borderId="36" xfId="0" applyNumberFormat="1" applyFont="1" applyFill="1" applyBorder="1" applyAlignment="1">
      <alignment horizontal="left"/>
    </xf>
    <xf numFmtId="1" fontId="0" fillId="0" borderId="36" xfId="0" applyNumberFormat="1" applyBorder="1" applyAlignment="1">
      <alignment horizontal="left" wrapText="1"/>
    </xf>
    <xf numFmtId="0" fontId="0" fillId="0" borderId="36" xfId="0" applyFont="1" applyBorder="1" applyAlignment="1">
      <alignment horizontal="left" wrapText="1"/>
    </xf>
    <xf numFmtId="0" fontId="0" fillId="0" borderId="52" xfId="0" applyFont="1" applyBorder="1" applyAlignment="1">
      <alignment horizontal="left" wrapText="1"/>
    </xf>
    <xf numFmtId="0" fontId="0" fillId="0" borderId="52" xfId="0" applyFill="1" applyBorder="1" applyAlignment="1">
      <alignment horizontal="left" wrapText="1"/>
    </xf>
    <xf numFmtId="0" fontId="0" fillId="0" borderId="52" xfId="0" applyFont="1" applyFill="1" applyBorder="1" applyAlignment="1">
      <alignment horizontal="left" wrapText="1"/>
    </xf>
    <xf numFmtId="0" fontId="14" fillId="0" borderId="36" xfId="0" applyFont="1" applyFill="1" applyBorder="1" applyAlignment="1">
      <alignment horizontal="left" wrapText="1"/>
    </xf>
    <xf numFmtId="3" fontId="42" fillId="0" borderId="36" xfId="0" applyNumberFormat="1" applyFont="1" applyBorder="1" applyAlignment="1">
      <alignment horizontal="left"/>
    </xf>
    <xf numFmtId="0" fontId="0" fillId="0" borderId="36" xfId="0" applyFont="1" applyBorder="1" applyAlignment="1">
      <alignment horizontal="left"/>
    </xf>
    <xf numFmtId="0" fontId="0" fillId="0" borderId="52" xfId="0" applyFont="1" applyBorder="1" applyAlignment="1">
      <alignment horizontal="left"/>
    </xf>
    <xf numFmtId="0" fontId="0" fillId="0" borderId="52" xfId="0" applyFont="1" applyFill="1" applyBorder="1" applyAlignment="1">
      <alignment horizontal="left"/>
    </xf>
    <xf numFmtId="2" fontId="28" fillId="0" borderId="36" xfId="0" applyNumberFormat="1" applyFont="1" applyBorder="1" applyAlignment="1">
      <alignment horizontal="left" wrapText="1"/>
    </xf>
    <xf numFmtId="0" fontId="32" fillId="0" borderId="36" xfId="0" applyFont="1" applyBorder="1" applyAlignment="1">
      <alignment horizontal="left"/>
    </xf>
    <xf numFmtId="3" fontId="32" fillId="0" borderId="36" xfId="0" applyNumberFormat="1" applyFont="1" applyBorder="1" applyAlignment="1">
      <alignment horizontal="left"/>
    </xf>
    <xf numFmtId="3" fontId="32" fillId="0" borderId="0" xfId="0" applyNumberFormat="1" applyFont="1" applyBorder="1" applyAlignment="1">
      <alignment horizontal="left"/>
    </xf>
    <xf numFmtId="0" fontId="18" fillId="9" borderId="36" xfId="0" applyFont="1" applyFill="1" applyBorder="1" applyAlignment="1">
      <alignment horizontal="left"/>
    </xf>
    <xf numFmtId="4" fontId="18" fillId="9" borderId="36" xfId="0" applyNumberFormat="1" applyFont="1" applyFill="1" applyBorder="1" applyAlignment="1">
      <alignment horizontal="left"/>
    </xf>
    <xf numFmtId="4" fontId="18" fillId="0" borderId="0" xfId="0" applyNumberFormat="1" applyFont="1" applyFill="1" applyBorder="1" applyAlignment="1">
      <alignment horizontal="left"/>
    </xf>
    <xf numFmtId="3" fontId="18" fillId="0" borderId="0" xfId="0" applyNumberFormat="1" applyFont="1" applyBorder="1" applyAlignment="1">
      <alignment horizontal="left"/>
    </xf>
    <xf numFmtId="0" fontId="32" fillId="0" borderId="36" xfId="15" applyFont="1" applyBorder="1" applyAlignment="1">
      <alignment horizontal="left"/>
    </xf>
    <xf numFmtId="0" fontId="14" fillId="0" borderId="36" xfId="15" applyFont="1" applyBorder="1" applyAlignment="1">
      <alignment horizontal="left"/>
    </xf>
    <xf numFmtId="0" fontId="14" fillId="0" borderId="36" xfId="15" applyBorder="1" applyAlignment="1">
      <alignment horizontal="left"/>
    </xf>
    <xf numFmtId="1" fontId="14" fillId="0" borderId="36" xfId="15" applyNumberFormat="1" applyBorder="1" applyAlignment="1">
      <alignment horizontal="left"/>
    </xf>
    <xf numFmtId="0" fontId="14" fillId="0" borderId="36" xfId="15" applyBorder="1" applyAlignment="1">
      <alignment horizontal="left" wrapText="1"/>
    </xf>
    <xf numFmtId="0" fontId="14" fillId="0" borderId="36" xfId="15" applyFont="1" applyBorder="1" applyAlignment="1">
      <alignment horizontal="left" wrapText="1"/>
    </xf>
    <xf numFmtId="0" fontId="14" fillId="0" borderId="36" xfId="15" applyFont="1" applyFill="1" applyBorder="1" applyAlignment="1">
      <alignment horizontal="left" wrapText="1"/>
    </xf>
    <xf numFmtId="3" fontId="14" fillId="0" borderId="36" xfId="15" applyNumberFormat="1" applyFont="1" applyBorder="1" applyAlignment="1">
      <alignment horizontal="left"/>
    </xf>
    <xf numFmtId="0" fontId="14" fillId="0" borderId="36" xfId="15" applyFill="1" applyBorder="1" applyAlignment="1">
      <alignment horizontal="left" wrapText="1"/>
    </xf>
    <xf numFmtId="3" fontId="32" fillId="0" borderId="36" xfId="15" applyNumberFormat="1" applyFont="1" applyBorder="1" applyAlignment="1">
      <alignment horizontal="left"/>
    </xf>
    <xf numFmtId="0" fontId="14" fillId="9" borderId="36" xfId="15" applyFill="1" applyBorder="1" applyAlignment="1">
      <alignment horizontal="left" wrapText="1"/>
    </xf>
    <xf numFmtId="0" fontId="14" fillId="20" borderId="36" xfId="15" applyFill="1" applyBorder="1" applyAlignment="1">
      <alignment horizontal="left" wrapText="1"/>
    </xf>
    <xf numFmtId="0" fontId="14" fillId="22" borderId="52" xfId="15" applyFill="1" applyBorder="1" applyAlignment="1">
      <alignment horizontal="left" wrapText="1"/>
    </xf>
    <xf numFmtId="0" fontId="14" fillId="9" borderId="52" xfId="15" applyFill="1" applyBorder="1" applyAlignment="1">
      <alignment horizontal="left" wrapText="1"/>
    </xf>
    <xf numFmtId="0" fontId="14" fillId="7" borderId="36" xfId="15" applyFill="1" applyBorder="1" applyAlignment="1">
      <alignment horizontal="left"/>
    </xf>
    <xf numFmtId="0" fontId="14" fillId="20" borderId="36" xfId="15" applyFill="1" applyBorder="1" applyAlignment="1">
      <alignment horizontal="left"/>
    </xf>
    <xf numFmtId="0" fontId="14" fillId="22" borderId="36" xfId="15" applyFill="1" applyBorder="1" applyAlignment="1">
      <alignment horizontal="left"/>
    </xf>
    <xf numFmtId="0" fontId="14" fillId="9" borderId="36" xfId="15" applyFill="1" applyBorder="1" applyAlignment="1">
      <alignment horizontal="left"/>
    </xf>
    <xf numFmtId="0" fontId="18" fillId="12" borderId="36" xfId="15" applyFont="1" applyFill="1" applyBorder="1" applyAlignment="1">
      <alignment horizontal="left"/>
    </xf>
    <xf numFmtId="0" fontId="14" fillId="0" borderId="36" xfId="15" applyFill="1" applyBorder="1" applyAlignment="1">
      <alignment horizontal="left"/>
    </xf>
    <xf numFmtId="0" fontId="18" fillId="7" borderId="36" xfId="15" applyFont="1" applyFill="1" applyBorder="1" applyAlignment="1">
      <alignment horizontal="left"/>
    </xf>
    <xf numFmtId="0" fontId="18" fillId="0" borderId="36" xfId="15" applyFont="1" applyBorder="1" applyAlignment="1">
      <alignment horizontal="left"/>
    </xf>
    <xf numFmtId="0" fontId="18" fillId="20" borderId="36" xfId="15" applyFont="1" applyFill="1" applyBorder="1" applyAlignment="1">
      <alignment horizontal="left"/>
    </xf>
    <xf numFmtId="0" fontId="18" fillId="22" borderId="36" xfId="15" applyFont="1" applyFill="1" applyBorder="1" applyAlignment="1">
      <alignment horizontal="left"/>
    </xf>
    <xf numFmtId="0" fontId="18" fillId="9" borderId="36" xfId="15" applyFont="1" applyFill="1" applyBorder="1" applyAlignment="1">
      <alignment horizontal="left"/>
    </xf>
    <xf numFmtId="0" fontId="36" fillId="12" borderId="36" xfId="15" applyFont="1" applyFill="1" applyBorder="1" applyAlignment="1">
      <alignment horizontal="left"/>
    </xf>
    <xf numFmtId="0" fontId="17" fillId="0" borderId="36" xfId="15" applyFont="1" applyBorder="1" applyAlignment="1">
      <alignment horizontal="left" vertical="top" wrapText="1"/>
    </xf>
    <xf numFmtId="0" fontId="17" fillId="0" borderId="36" xfId="15" applyFont="1" applyBorder="1" applyAlignment="1">
      <alignment horizontal="left" wrapText="1"/>
    </xf>
    <xf numFmtId="0" fontId="17" fillId="0" borderId="36" xfId="15" applyFont="1" applyFill="1" applyBorder="1" applyAlignment="1">
      <alignment horizontal="left" wrapText="1"/>
    </xf>
    <xf numFmtId="3" fontId="14" fillId="0" borderId="36" xfId="15" applyNumberFormat="1" applyBorder="1" applyAlignment="1">
      <alignment horizontal="left"/>
    </xf>
    <xf numFmtId="4" fontId="14" fillId="0" borderId="36" xfId="15" applyNumberFormat="1" applyBorder="1" applyAlignment="1">
      <alignment horizontal="left"/>
    </xf>
    <xf numFmtId="3" fontId="14" fillId="0" borderId="36" xfId="15" applyNumberFormat="1" applyFont="1" applyFill="1" applyBorder="1" applyAlignment="1">
      <alignment horizontal="left" wrapText="1"/>
    </xf>
    <xf numFmtId="3" fontId="36" fillId="3" borderId="36" xfId="15" applyNumberFormat="1" applyFont="1" applyFill="1" applyBorder="1" applyAlignment="1">
      <alignment horizontal="left"/>
    </xf>
    <xf numFmtId="0" fontId="18" fillId="0" borderId="36" xfId="15" applyFont="1" applyBorder="1" applyAlignment="1">
      <alignment horizontal="left" wrapText="1"/>
    </xf>
    <xf numFmtId="0" fontId="33" fillId="0" borderId="36" xfId="15" applyFont="1" applyBorder="1" applyAlignment="1">
      <alignment horizontal="left" wrapText="1"/>
    </xf>
    <xf numFmtId="4" fontId="33" fillId="0" borderId="36" xfId="15" applyNumberFormat="1" applyFont="1" applyBorder="1" applyAlignment="1">
      <alignment horizontal="left" wrapText="1"/>
    </xf>
    <xf numFmtId="2" fontId="35" fillId="23" borderId="47" xfId="0" applyNumberFormat="1" applyFont="1" applyFill="1" applyBorder="1" applyAlignment="1">
      <alignment horizontal="left" wrapText="1"/>
    </xf>
    <xf numFmtId="2" fontId="37" fillId="23" borderId="50" xfId="0" applyNumberFormat="1" applyFont="1" applyFill="1" applyBorder="1" applyAlignment="1">
      <alignment horizontal="left" wrapText="1"/>
    </xf>
    <xf numFmtId="2" fontId="35" fillId="23" borderId="50" xfId="0" applyNumberFormat="1" applyFont="1" applyFill="1" applyBorder="1" applyAlignment="1">
      <alignment horizontal="left" wrapText="1"/>
    </xf>
    <xf numFmtId="2" fontId="0" fillId="0" borderId="36" xfId="0" applyNumberFormat="1" applyBorder="1" applyAlignment="1">
      <alignment horizontal="left" wrapText="1"/>
    </xf>
    <xf numFmtId="2" fontId="0" fillId="0" borderId="40" xfId="0" applyNumberFormat="1" applyBorder="1" applyAlignment="1">
      <alignment horizontal="left" wrapText="1"/>
    </xf>
    <xf numFmtId="1" fontId="0" fillId="0" borderId="40" xfId="0" applyNumberFormat="1" applyBorder="1" applyAlignment="1">
      <alignment horizontal="left" wrapText="1"/>
    </xf>
    <xf numFmtId="2" fontId="40" fillId="0" borderId="52" xfId="0" applyNumberFormat="1" applyFont="1" applyBorder="1" applyAlignment="1">
      <alignment horizontal="left" wrapText="1"/>
    </xf>
    <xf numFmtId="1" fontId="40" fillId="0" borderId="36" xfId="0" applyNumberFormat="1" applyFont="1" applyBorder="1" applyAlignment="1">
      <alignment horizontal="left" wrapText="1"/>
    </xf>
    <xf numFmtId="1" fontId="38" fillId="0" borderId="36" xfId="0" applyNumberFormat="1" applyFont="1" applyBorder="1" applyAlignment="1">
      <alignment horizontal="left" wrapText="1"/>
    </xf>
    <xf numFmtId="2" fontId="0" fillId="0" borderId="47" xfId="0" applyNumberFormat="1" applyBorder="1" applyAlignment="1">
      <alignment horizontal="left" wrapText="1"/>
    </xf>
    <xf numFmtId="1" fontId="0" fillId="0" borderId="47" xfId="0" applyNumberFormat="1" applyBorder="1" applyAlignment="1">
      <alignment horizontal="left" wrapText="1"/>
    </xf>
    <xf numFmtId="2" fontId="0" fillId="0" borderId="52" xfId="0" applyNumberFormat="1" applyBorder="1" applyAlignment="1">
      <alignment horizontal="left" wrapText="1"/>
    </xf>
    <xf numFmtId="2" fontId="41" fillId="0" borderId="36" xfId="0" applyNumberFormat="1" applyFont="1" applyFill="1" applyBorder="1" applyAlignment="1">
      <alignment horizontal="left" wrapText="1"/>
    </xf>
    <xf numFmtId="0" fontId="41" fillId="0" borderId="36" xfId="0" applyFont="1" applyFill="1" applyBorder="1"/>
    <xf numFmtId="1" fontId="41" fillId="0" borderId="36" xfId="0" applyNumberFormat="1" applyFont="1" applyFill="1" applyBorder="1"/>
    <xf numFmtId="0" fontId="14" fillId="0" borderId="0" xfId="15" applyFill="1" applyAlignment="1">
      <alignment horizontal="left"/>
    </xf>
    <xf numFmtId="2" fontId="14" fillId="0" borderId="0" xfId="15" applyNumberFormat="1" applyFill="1" applyAlignment="1">
      <alignment horizontal="left"/>
    </xf>
    <xf numFmtId="0" fontId="14" fillId="0" borderId="0" xfId="15" applyNumberFormat="1" applyAlignment="1">
      <alignment horizontal="left"/>
    </xf>
    <xf numFmtId="14" fontId="14" fillId="0" borderId="0" xfId="15" applyNumberFormat="1" applyAlignment="1">
      <alignment horizontal="left"/>
    </xf>
    <xf numFmtId="3" fontId="14" fillId="0" borderId="0" xfId="15" applyNumberFormat="1" applyAlignment="1">
      <alignment horizontal="left"/>
    </xf>
    <xf numFmtId="3" fontId="14" fillId="0" borderId="0" xfId="15" applyNumberFormat="1"/>
    <xf numFmtId="3" fontId="39" fillId="0" borderId="0" xfId="15" applyNumberFormat="1" applyFont="1"/>
    <xf numFmtId="3" fontId="39" fillId="31" borderId="0" xfId="15" applyNumberFormat="1" applyFont="1" applyFill="1" applyAlignment="1">
      <alignment horizontal="left"/>
    </xf>
    <xf numFmtId="3" fontId="39" fillId="31" borderId="0" xfId="15" applyNumberFormat="1" applyFont="1" applyFill="1"/>
    <xf numFmtId="0" fontId="39" fillId="31" borderId="0" xfId="15" applyNumberFormat="1" applyFont="1" applyFill="1" applyAlignment="1">
      <alignment horizontal="left"/>
    </xf>
    <xf numFmtId="14" fontId="39" fillId="31" borderId="0" xfId="15" applyNumberFormat="1" applyFont="1" applyFill="1" applyAlignment="1">
      <alignment horizontal="left"/>
    </xf>
    <xf numFmtId="3" fontId="12" fillId="31" borderId="0" xfId="15" applyNumberFormat="1" applyFont="1" applyFill="1" applyAlignment="1">
      <alignment horizontal="left"/>
    </xf>
    <xf numFmtId="3" fontId="14" fillId="31" borderId="0" xfId="15" applyNumberFormat="1" applyFill="1" applyAlignment="1">
      <alignment horizontal="left"/>
    </xf>
    <xf numFmtId="3" fontId="14" fillId="31" borderId="0" xfId="15" applyNumberFormat="1" applyFill="1"/>
    <xf numFmtId="0" fontId="14" fillId="31" borderId="0" xfId="15" applyNumberFormat="1" applyFill="1" applyAlignment="1">
      <alignment horizontal="left"/>
    </xf>
    <xf numFmtId="14" fontId="14" fillId="31" borderId="0" xfId="15" applyNumberFormat="1" applyFill="1" applyAlignment="1">
      <alignment horizontal="left"/>
    </xf>
    <xf numFmtId="3" fontId="14" fillId="31" borderId="0" xfId="15" applyNumberFormat="1" applyFont="1" applyFill="1"/>
    <xf numFmtId="0" fontId="12" fillId="0" borderId="0" xfId="15" applyFont="1" applyFill="1" applyBorder="1" applyAlignment="1">
      <alignment horizontal="left"/>
    </xf>
    <xf numFmtId="0" fontId="39" fillId="0" borderId="0" xfId="15" applyFont="1" applyFill="1" applyBorder="1" applyAlignment="1">
      <alignment horizontal="left"/>
    </xf>
    <xf numFmtId="1" fontId="39" fillId="0" borderId="0" xfId="15" applyNumberFormat="1" applyFont="1" applyFill="1" applyBorder="1" applyAlignment="1">
      <alignment horizontal="left"/>
    </xf>
    <xf numFmtId="3" fontId="39" fillId="0" borderId="0" xfId="15" applyNumberFormat="1" applyFont="1" applyAlignment="1">
      <alignment horizontal="left"/>
    </xf>
    <xf numFmtId="1" fontId="39" fillId="0" borderId="0" xfId="15" applyNumberFormat="1" applyFont="1" applyFill="1" applyBorder="1" applyAlignment="1">
      <alignment horizontal="left" wrapText="1"/>
    </xf>
    <xf numFmtId="0" fontId="39" fillId="0" borderId="0" xfId="15" applyFont="1" applyFill="1" applyBorder="1" applyAlignment="1">
      <alignment horizontal="left" wrapText="1"/>
    </xf>
    <xf numFmtId="0" fontId="39" fillId="0" borderId="0" xfId="15" applyFont="1" applyAlignment="1">
      <alignment horizontal="left"/>
    </xf>
    <xf numFmtId="0" fontId="39" fillId="0" borderId="0" xfId="15" applyNumberFormat="1" applyFont="1" applyFill="1" applyBorder="1" applyAlignment="1">
      <alignment horizontal="left"/>
    </xf>
    <xf numFmtId="14" fontId="39" fillId="0" borderId="0" xfId="15" applyNumberFormat="1" applyFont="1" applyFill="1" applyBorder="1" applyAlignment="1">
      <alignment horizontal="left"/>
    </xf>
    <xf numFmtId="0" fontId="39" fillId="31" borderId="0" xfId="15" applyFont="1" applyFill="1" applyBorder="1"/>
    <xf numFmtId="0" fontId="39" fillId="31" borderId="12" xfId="15" applyFont="1" applyFill="1" applyBorder="1"/>
    <xf numFmtId="0" fontId="12" fillId="0" borderId="0" xfId="15" applyFont="1" applyBorder="1" applyAlignment="1">
      <alignment horizontal="left"/>
    </xf>
    <xf numFmtId="0" fontId="39" fillId="0" borderId="0" xfId="15" applyFont="1" applyBorder="1" applyAlignment="1">
      <alignment horizontal="left"/>
    </xf>
    <xf numFmtId="1" fontId="39" fillId="0" borderId="0" xfId="15" applyNumberFormat="1" applyFont="1" applyBorder="1" applyAlignment="1">
      <alignment horizontal="left"/>
    </xf>
    <xf numFmtId="0" fontId="39" fillId="0" borderId="0" xfId="15" applyNumberFormat="1" applyFont="1" applyBorder="1" applyAlignment="1">
      <alignment horizontal="left" wrapText="1"/>
    </xf>
    <xf numFmtId="14" fontId="39" fillId="0" borderId="0" xfId="15" applyNumberFormat="1" applyFont="1" applyBorder="1" applyAlignment="1">
      <alignment horizontal="left"/>
    </xf>
    <xf numFmtId="0" fontId="39" fillId="0" borderId="0" xfId="15" applyFont="1" applyFill="1" applyAlignment="1">
      <alignment horizontal="left"/>
    </xf>
    <xf numFmtId="0" fontId="12" fillId="0" borderId="0" xfId="15" applyFont="1" applyBorder="1" applyAlignment="1">
      <alignment horizontal="left" wrapText="1"/>
    </xf>
    <xf numFmtId="0" fontId="39" fillId="0" borderId="0" xfId="15" applyFont="1" applyBorder="1" applyAlignment="1">
      <alignment horizontal="left" wrapText="1"/>
    </xf>
    <xf numFmtId="1" fontId="39" fillId="0" borderId="0" xfId="15" applyNumberFormat="1" applyFont="1" applyBorder="1" applyAlignment="1">
      <alignment horizontal="left" wrapText="1"/>
    </xf>
    <xf numFmtId="0" fontId="39" fillId="0" borderId="0" xfId="15" applyFont="1" applyBorder="1" applyAlignment="1">
      <alignment horizontal="left" vertical="center" wrapText="1"/>
    </xf>
    <xf numFmtId="14" fontId="39" fillId="0" borderId="0" xfId="15" applyNumberFormat="1" applyFont="1" applyBorder="1" applyAlignment="1">
      <alignment horizontal="left" wrapText="1"/>
    </xf>
    <xf numFmtId="0" fontId="12" fillId="7" borderId="0" xfId="15" applyFont="1" applyFill="1" applyBorder="1" applyAlignment="1">
      <alignment horizontal="left"/>
    </xf>
    <xf numFmtId="0" fontId="12" fillId="0" borderId="0" xfId="15" applyFont="1" applyFill="1" applyBorder="1" applyAlignment="1">
      <alignment horizontal="left" wrapText="1"/>
    </xf>
    <xf numFmtId="3" fontId="39" fillId="0" borderId="0" xfId="15" applyNumberFormat="1" applyFont="1" applyFill="1" applyAlignment="1">
      <alignment horizontal="left"/>
    </xf>
    <xf numFmtId="0" fontId="39" fillId="0" borderId="0" xfId="4" applyNumberFormat="1" applyFont="1" applyFill="1" applyBorder="1" applyAlignment="1">
      <alignment horizontal="left" wrapText="1"/>
    </xf>
    <xf numFmtId="0" fontId="47" fillId="22" borderId="0" xfId="15" applyFont="1" applyFill="1" applyAlignment="1">
      <alignment horizontal="left" wrapText="1"/>
    </xf>
    <xf numFmtId="0" fontId="47" fillId="22" borderId="0" xfId="15" applyFont="1" applyFill="1"/>
    <xf numFmtId="0" fontId="39" fillId="0" borderId="0" xfId="15" applyFont="1" applyFill="1" applyBorder="1" applyAlignment="1">
      <alignment horizontal="left" vertical="center"/>
    </xf>
    <xf numFmtId="3" fontId="1" fillId="0" borderId="0" xfId="4" applyNumberFormat="1" applyFont="1" applyFill="1" applyBorder="1" applyAlignment="1">
      <alignment horizontal="left"/>
    </xf>
    <xf numFmtId="0" fontId="1" fillId="0" borderId="0" xfId="4" applyFont="1" applyFill="1" applyBorder="1" applyAlignment="1">
      <alignment horizontal="left" wrapText="1"/>
    </xf>
    <xf numFmtId="0" fontId="47" fillId="0" borderId="0" xfId="15" applyFont="1" applyFill="1"/>
    <xf numFmtId="3" fontId="47" fillId="0" borderId="0" xfId="15" applyNumberFormat="1" applyFont="1" applyFill="1" applyAlignment="1">
      <alignment horizontal="left"/>
    </xf>
    <xf numFmtId="3" fontId="39" fillId="0" borderId="0" xfId="15" applyNumberFormat="1" applyFont="1" applyFill="1" applyBorder="1" applyAlignment="1">
      <alignment horizontal="left" wrapText="1"/>
    </xf>
    <xf numFmtId="0" fontId="47" fillId="0" borderId="0" xfId="15" applyFont="1" applyFill="1" applyAlignment="1">
      <alignment vertical="center"/>
    </xf>
    <xf numFmtId="14" fontId="39" fillId="0" borderId="0" xfId="15" applyNumberFormat="1" applyFont="1" applyFill="1" applyAlignment="1">
      <alignment horizontal="left"/>
    </xf>
    <xf numFmtId="0" fontId="47" fillId="0" borderId="0" xfId="15" applyFont="1" applyFill="1" applyAlignment="1">
      <alignment horizontal="left"/>
    </xf>
    <xf numFmtId="0" fontId="47" fillId="0" borderId="0" xfId="15" applyFont="1"/>
    <xf numFmtId="3" fontId="47" fillId="0" borderId="0" xfId="15" applyNumberFormat="1" applyFont="1" applyAlignment="1">
      <alignment horizontal="left"/>
    </xf>
    <xf numFmtId="0" fontId="47" fillId="0" borderId="0" xfId="15" applyFont="1" applyAlignment="1">
      <alignment vertical="center"/>
    </xf>
    <xf numFmtId="14" fontId="39" fillId="0" borderId="0" xfId="15" applyNumberFormat="1" applyFont="1" applyAlignment="1">
      <alignment horizontal="left"/>
    </xf>
    <xf numFmtId="0" fontId="47" fillId="0" borderId="0" xfId="15" applyFont="1" applyAlignment="1">
      <alignment horizontal="left"/>
    </xf>
    <xf numFmtId="3" fontId="47" fillId="22" borderId="0" xfId="15" applyNumberFormat="1" applyFont="1" applyFill="1" applyAlignment="1">
      <alignment horizontal="left"/>
    </xf>
    <xf numFmtId="3" fontId="39" fillId="22" borderId="0" xfId="15" applyNumberFormat="1" applyFont="1" applyFill="1" applyAlignment="1">
      <alignment horizontal="left"/>
    </xf>
    <xf numFmtId="14" fontId="39" fillId="22" borderId="0" xfId="15" applyNumberFormat="1" applyFont="1" applyFill="1" applyAlignment="1">
      <alignment horizontal="left"/>
    </xf>
    <xf numFmtId="0" fontId="39" fillId="22" borderId="0" xfId="15" applyFont="1" applyFill="1" applyAlignment="1">
      <alignment horizontal="left"/>
    </xf>
    <xf numFmtId="0" fontId="47" fillId="22" borderId="0" xfId="15" applyFont="1" applyFill="1" applyAlignment="1">
      <alignment horizontal="left"/>
    </xf>
    <xf numFmtId="3" fontId="43" fillId="0" borderId="0" xfId="15" applyNumberFormat="1" applyFont="1" applyFill="1" applyAlignment="1">
      <alignment horizontal="left"/>
    </xf>
    <xf numFmtId="0" fontId="47" fillId="22" borderId="0" xfId="15" applyFont="1" applyFill="1" applyAlignment="1">
      <alignment vertical="center"/>
    </xf>
    <xf numFmtId="0" fontId="39" fillId="22" borderId="0" xfId="15" applyFont="1" applyFill="1" applyBorder="1" applyAlignment="1">
      <alignment horizontal="left"/>
    </xf>
    <xf numFmtId="3" fontId="39" fillId="22" borderId="0" xfId="15" applyNumberFormat="1" applyFont="1" applyFill="1" applyBorder="1" applyAlignment="1">
      <alignment horizontal="left" wrapText="1"/>
    </xf>
    <xf numFmtId="0" fontId="39" fillId="22" borderId="0" xfId="15" applyFont="1" applyFill="1" applyBorder="1" applyAlignment="1">
      <alignment horizontal="left" vertical="center"/>
    </xf>
    <xf numFmtId="0" fontId="39" fillId="0" borderId="0" xfId="15" applyFont="1" applyFill="1" applyBorder="1" applyAlignment="1">
      <alignment horizontal="left" vertical="center" wrapText="1"/>
    </xf>
    <xf numFmtId="0" fontId="39" fillId="0" borderId="0" xfId="15" applyFont="1"/>
    <xf numFmtId="3" fontId="39" fillId="0" borderId="0" xfId="15" applyNumberFormat="1" applyFont="1" applyFill="1" applyBorder="1" applyAlignment="1">
      <alignment horizontal="left" vertical="center" wrapText="1"/>
    </xf>
    <xf numFmtId="3" fontId="39" fillId="0" borderId="0" xfId="15" applyNumberFormat="1" applyFont="1" applyBorder="1" applyAlignment="1">
      <alignment horizontal="left" wrapText="1"/>
    </xf>
    <xf numFmtId="14" fontId="39" fillId="0" borderId="0" xfId="15" applyNumberFormat="1" applyFont="1" applyFill="1" applyBorder="1" applyAlignment="1">
      <alignment horizontal="left" wrapText="1"/>
    </xf>
    <xf numFmtId="0" fontId="39" fillId="0" borderId="0" xfId="15" applyFont="1" applyFill="1"/>
    <xf numFmtId="3" fontId="39" fillId="0" borderId="0" xfId="15" applyNumberFormat="1" applyFont="1" applyFill="1" applyBorder="1" applyAlignment="1">
      <alignment horizontal="left"/>
    </xf>
    <xf numFmtId="3" fontId="39" fillId="0" borderId="0" xfId="15" applyNumberFormat="1" applyFont="1" applyBorder="1" applyAlignment="1">
      <alignment horizontal="left"/>
    </xf>
    <xf numFmtId="3" fontId="43" fillId="0" borderId="0" xfId="15" applyNumberFormat="1" applyFont="1" applyBorder="1" applyAlignment="1">
      <alignment horizontal="left"/>
    </xf>
    <xf numFmtId="0" fontId="39" fillId="0" borderId="0" xfId="15" applyFont="1" applyFill="1" applyBorder="1" applyAlignment="1">
      <alignment wrapText="1"/>
    </xf>
    <xf numFmtId="0" fontId="1" fillId="0" borderId="0" xfId="15" applyFont="1" applyFill="1" applyBorder="1" applyAlignment="1">
      <alignment horizontal="left" wrapText="1"/>
    </xf>
    <xf numFmtId="0" fontId="39" fillId="2" borderId="0" xfId="15" applyFont="1" applyFill="1" applyBorder="1" applyAlignment="1">
      <alignment horizontal="left" wrapText="1"/>
    </xf>
    <xf numFmtId="3" fontId="43" fillId="0" borderId="0" xfId="15" applyNumberFormat="1" applyFont="1" applyFill="1" applyBorder="1" applyAlignment="1">
      <alignment horizontal="left" wrapText="1"/>
    </xf>
    <xf numFmtId="3" fontId="43" fillId="0" borderId="0" xfId="15" applyNumberFormat="1" applyFont="1" applyFill="1" applyBorder="1" applyAlignment="1">
      <alignment horizontal="left"/>
    </xf>
    <xf numFmtId="0" fontId="38" fillId="0" borderId="0" xfId="15" applyFont="1" applyFill="1" applyBorder="1" applyAlignment="1">
      <alignment horizontal="left"/>
    </xf>
    <xf numFmtId="0" fontId="39" fillId="2" borderId="0" xfId="15" applyFont="1" applyFill="1" applyBorder="1" applyAlignment="1">
      <alignment horizontal="left" vertical="center" wrapText="1"/>
    </xf>
    <xf numFmtId="3" fontId="39" fillId="0" borderId="0" xfId="15" applyNumberFormat="1" applyFont="1" applyBorder="1" applyAlignment="1">
      <alignment horizontal="left" vertical="center" wrapText="1"/>
    </xf>
    <xf numFmtId="0" fontId="39" fillId="0" borderId="0" xfId="15" applyFont="1" applyFill="1" applyBorder="1"/>
    <xf numFmtId="0" fontId="47" fillId="0" borderId="0" xfId="15" applyFont="1" applyFill="1" applyAlignment="1">
      <alignment horizontal="left" wrapText="1"/>
    </xf>
    <xf numFmtId="3" fontId="47" fillId="0" borderId="0" xfId="15" applyNumberFormat="1" applyFont="1" applyFill="1" applyAlignment="1">
      <alignment horizontal="left" wrapText="1"/>
    </xf>
    <xf numFmtId="3" fontId="39" fillId="0" borderId="0" xfId="15" applyNumberFormat="1" applyFont="1" applyFill="1" applyAlignment="1">
      <alignment horizontal="left" wrapText="1"/>
    </xf>
    <xf numFmtId="0" fontId="39" fillId="0" borderId="0" xfId="15" applyNumberFormat="1" applyFont="1" applyFill="1" applyBorder="1" applyAlignment="1">
      <alignment horizontal="left" wrapText="1"/>
    </xf>
    <xf numFmtId="14" fontId="47" fillId="0" borderId="0" xfId="15" applyNumberFormat="1" applyFont="1" applyFill="1" applyAlignment="1">
      <alignment horizontal="left" wrapText="1"/>
    </xf>
    <xf numFmtId="0" fontId="39" fillId="0" borderId="0" xfId="15" applyFont="1" applyFill="1" applyAlignment="1">
      <alignment horizontal="left" wrapText="1"/>
    </xf>
    <xf numFmtId="14" fontId="39" fillId="0" borderId="0" xfId="15" applyNumberFormat="1" applyFont="1" applyFill="1" applyAlignment="1">
      <alignment horizontal="left" wrapText="1"/>
    </xf>
    <xf numFmtId="15" fontId="47" fillId="0" borderId="0" xfId="15" applyNumberFormat="1" applyFont="1" applyFill="1" applyAlignment="1">
      <alignment horizontal="left" wrapText="1"/>
    </xf>
    <xf numFmtId="3" fontId="47" fillId="22" borderId="0" xfId="15" applyNumberFormat="1" applyFont="1" applyFill="1" applyAlignment="1">
      <alignment horizontal="left" wrapText="1"/>
    </xf>
    <xf numFmtId="3" fontId="39" fillId="22" borderId="0" xfId="15" applyNumberFormat="1" applyFont="1" applyFill="1" applyAlignment="1">
      <alignment horizontal="left" wrapText="1"/>
    </xf>
    <xf numFmtId="0" fontId="52" fillId="22" borderId="55" xfId="15" applyFont="1" applyFill="1" applyBorder="1" applyAlignment="1">
      <alignment horizontal="left"/>
    </xf>
    <xf numFmtId="14" fontId="39" fillId="22" borderId="0" xfId="15" applyNumberFormat="1" applyFont="1" applyFill="1" applyAlignment="1">
      <alignment horizontal="left" wrapText="1"/>
    </xf>
    <xf numFmtId="0" fontId="48" fillId="22" borderId="56" xfId="15" applyFont="1" applyFill="1" applyBorder="1" applyAlignment="1">
      <alignment horizontal="left"/>
    </xf>
    <xf numFmtId="0" fontId="47" fillId="0" borderId="0" xfId="15" applyFont="1" applyFill="1" applyAlignment="1">
      <alignment horizontal="left" vertical="center" wrapText="1"/>
    </xf>
    <xf numFmtId="0" fontId="51" fillId="0" borderId="0" xfId="15" applyFont="1" applyFill="1" applyAlignment="1">
      <alignment horizontal="left" wrapText="1"/>
    </xf>
    <xf numFmtId="3" fontId="39" fillId="0" borderId="0" xfId="15" applyNumberFormat="1" applyFont="1" applyBorder="1" applyAlignment="1">
      <alignment horizontal="left" vertical="center"/>
    </xf>
    <xf numFmtId="0" fontId="39" fillId="0" borderId="0" xfId="15" applyFont="1" applyBorder="1" applyAlignment="1">
      <alignment horizontal="left" vertical="center"/>
    </xf>
    <xf numFmtId="3" fontId="39" fillId="0" borderId="0" xfId="15" applyNumberFormat="1" applyFont="1" applyFill="1" applyBorder="1" applyAlignment="1">
      <alignment horizontal="left" vertical="center"/>
    </xf>
    <xf numFmtId="0" fontId="39" fillId="0" borderId="0" xfId="15" applyNumberFormat="1" applyFont="1" applyFill="1" applyBorder="1" applyAlignment="1">
      <alignment horizontal="left" vertical="center" wrapText="1"/>
    </xf>
    <xf numFmtId="3" fontId="43" fillId="0" borderId="0" xfId="15" applyNumberFormat="1" applyFont="1" applyFill="1" applyAlignment="1">
      <alignment horizontal="left" wrapText="1"/>
    </xf>
    <xf numFmtId="0" fontId="1" fillId="0" borderId="0" xfId="15" applyFont="1" applyFill="1" applyBorder="1" applyAlignment="1">
      <alignment horizontal="left" vertical="center" wrapText="1"/>
    </xf>
    <xf numFmtId="0" fontId="39" fillId="0" borderId="0" xfId="15" applyFont="1" applyFill="1" applyAlignment="1">
      <alignment horizontal="left" vertical="center" wrapText="1"/>
    </xf>
    <xf numFmtId="0" fontId="39" fillId="6" borderId="0" xfId="15" applyFont="1" applyFill="1" applyBorder="1"/>
    <xf numFmtId="3" fontId="39" fillId="0" borderId="0" xfId="15" applyNumberFormat="1" applyFont="1" applyFill="1" applyBorder="1" applyAlignment="1">
      <alignment horizontal="left" vertical="top" wrapText="1"/>
    </xf>
    <xf numFmtId="0" fontId="38" fillId="0" borderId="0" xfId="15" applyFont="1" applyBorder="1" applyAlignment="1">
      <alignment horizontal="left" vertical="center"/>
    </xf>
    <xf numFmtId="3" fontId="1" fillId="0" borderId="0" xfId="15" applyNumberFormat="1" applyFont="1" applyAlignment="1">
      <alignment horizontal="left"/>
    </xf>
    <xf numFmtId="0" fontId="39" fillId="0" borderId="0" xfId="15" applyFont="1" applyAlignment="1">
      <alignment horizontal="left" wrapText="1"/>
    </xf>
    <xf numFmtId="0" fontId="39" fillId="4" borderId="0" xfId="15" applyFont="1" applyFill="1" applyBorder="1" applyAlignment="1">
      <alignment horizontal="left"/>
    </xf>
    <xf numFmtId="0" fontId="39" fillId="18" borderId="0" xfId="15" applyFont="1" applyFill="1" applyAlignment="1">
      <alignment horizontal="left"/>
    </xf>
    <xf numFmtId="14" fontId="1" fillId="0" borderId="0" xfId="15" applyNumberFormat="1" applyFont="1" applyFill="1" applyAlignment="1">
      <alignment horizontal="left"/>
    </xf>
    <xf numFmtId="0" fontId="1" fillId="0" borderId="0" xfId="15" applyFont="1" applyFill="1" applyAlignment="1">
      <alignment horizontal="left"/>
    </xf>
    <xf numFmtId="3" fontId="1" fillId="0" borderId="0" xfId="15" applyNumberFormat="1" applyFont="1" applyFill="1" applyBorder="1" applyAlignment="1">
      <alignment horizontal="left" wrapText="1"/>
    </xf>
    <xf numFmtId="14" fontId="1" fillId="0" borderId="0" xfId="15" applyNumberFormat="1" applyFont="1" applyFill="1" applyBorder="1" applyAlignment="1">
      <alignment horizontal="left" wrapText="1"/>
    </xf>
    <xf numFmtId="3" fontId="43" fillId="0" borderId="0" xfId="15" applyNumberFormat="1" applyFont="1" applyAlignment="1">
      <alignment horizontal="left"/>
    </xf>
    <xf numFmtId="0" fontId="38" fillId="0" borderId="0" xfId="15" applyNumberFormat="1" applyFont="1" applyFill="1" applyBorder="1" applyAlignment="1">
      <alignment horizontal="left" wrapText="1"/>
    </xf>
    <xf numFmtId="0" fontId="39" fillId="0" borderId="0" xfId="15" applyFont="1" applyAlignment="1">
      <alignment horizontal="left" vertical="center" wrapText="1"/>
    </xf>
    <xf numFmtId="0" fontId="39" fillId="6" borderId="0" xfId="15" applyFont="1" applyFill="1" applyBorder="1" applyAlignment="1">
      <alignment horizontal="left"/>
    </xf>
    <xf numFmtId="0" fontId="39" fillId="18" borderId="0" xfId="15" applyFont="1" applyFill="1" applyBorder="1" applyAlignment="1">
      <alignment horizontal="left"/>
    </xf>
    <xf numFmtId="15" fontId="39" fillId="0" borderId="0" xfId="15" applyNumberFormat="1" applyFont="1" applyAlignment="1">
      <alignment horizontal="left"/>
    </xf>
    <xf numFmtId="14" fontId="47" fillId="0" borderId="0" xfId="15" applyNumberFormat="1" applyFont="1" applyFill="1" applyAlignment="1">
      <alignment horizontal="left"/>
    </xf>
    <xf numFmtId="14" fontId="47" fillId="0" borderId="0" xfId="15" applyNumberFormat="1" applyFont="1" applyAlignment="1">
      <alignment horizontal="left"/>
    </xf>
    <xf numFmtId="0" fontId="47" fillId="0" borderId="0" xfId="15" applyFont="1" applyFill="1" applyBorder="1" applyAlignment="1">
      <alignment horizontal="left"/>
    </xf>
    <xf numFmtId="0" fontId="47" fillId="0" borderId="0" xfId="15" applyFont="1" applyFill="1" applyBorder="1" applyAlignment="1">
      <alignment horizontal="left" wrapText="1"/>
    </xf>
    <xf numFmtId="3" fontId="47" fillId="0" borderId="0" xfId="15" applyNumberFormat="1" applyFont="1" applyFill="1" applyBorder="1" applyAlignment="1">
      <alignment horizontal="left" wrapText="1"/>
    </xf>
    <xf numFmtId="14" fontId="47" fillId="0" borderId="0" xfId="15" applyNumberFormat="1" applyFont="1" applyFill="1" applyBorder="1" applyAlignment="1">
      <alignment horizontal="left" wrapText="1"/>
    </xf>
    <xf numFmtId="0" fontId="47" fillId="0" borderId="0" xfId="15" applyFont="1" applyFill="1" applyBorder="1" applyAlignment="1">
      <alignment horizontal="left" vertical="center" wrapText="1"/>
    </xf>
    <xf numFmtId="0" fontId="47" fillId="0" borderId="0" xfId="15" applyFont="1" applyFill="1" applyBorder="1"/>
    <xf numFmtId="17" fontId="39" fillId="0" borderId="0" xfId="15" applyNumberFormat="1" applyFont="1" applyFill="1" applyBorder="1" applyAlignment="1">
      <alignment horizontal="left" vertical="center" wrapText="1"/>
    </xf>
    <xf numFmtId="17" fontId="39" fillId="0" borderId="0" xfId="15" applyNumberFormat="1" applyFont="1" applyFill="1" applyBorder="1" applyAlignment="1">
      <alignment horizontal="left" wrapText="1"/>
    </xf>
    <xf numFmtId="0" fontId="39" fillId="0" borderId="0" xfId="15" applyFont="1" applyFill="1" applyBorder="1" applyAlignment="1">
      <alignment vertical="top" wrapText="1"/>
    </xf>
    <xf numFmtId="0" fontId="39" fillId="0" borderId="0" xfId="15" applyFont="1" applyFill="1" applyBorder="1" applyAlignment="1">
      <alignment horizontal="center"/>
    </xf>
    <xf numFmtId="0" fontId="39" fillId="0" borderId="0" xfId="15" applyFont="1" applyFill="1" applyBorder="1" applyAlignment="1">
      <alignment vertical="center" wrapText="1"/>
    </xf>
    <xf numFmtId="0" fontId="1" fillId="0" borderId="0" xfId="15" applyFont="1" applyFill="1" applyBorder="1" applyAlignment="1">
      <alignment horizontal="left"/>
    </xf>
    <xf numFmtId="3" fontId="1" fillId="0" borderId="0" xfId="15" applyNumberFormat="1" applyFont="1" applyFill="1" applyBorder="1" applyAlignment="1">
      <alignment horizontal="left"/>
    </xf>
    <xf numFmtId="14" fontId="48" fillId="0" borderId="55" xfId="15" applyNumberFormat="1" applyFont="1" applyFill="1" applyBorder="1" applyAlignment="1">
      <alignment horizontal="left"/>
    </xf>
    <xf numFmtId="14" fontId="1" fillId="0" borderId="0" xfId="15" applyNumberFormat="1" applyFont="1" applyFill="1" applyBorder="1" applyAlignment="1">
      <alignment horizontal="left"/>
    </xf>
    <xf numFmtId="0" fontId="38" fillId="0" borderId="0" xfId="15" applyFont="1" applyAlignment="1">
      <alignment horizontal="left"/>
    </xf>
    <xf numFmtId="0" fontId="39" fillId="0" borderId="0" xfId="15" applyNumberFormat="1" applyFont="1" applyAlignment="1">
      <alignment horizontal="left"/>
    </xf>
    <xf numFmtId="0" fontId="47" fillId="0" borderId="0" xfId="15" applyNumberFormat="1" applyFont="1" applyFill="1" applyAlignment="1">
      <alignment horizontal="left" wrapText="1"/>
    </xf>
    <xf numFmtId="0" fontId="47" fillId="0" borderId="0" xfId="15" applyNumberFormat="1" applyFont="1" applyFill="1" applyAlignment="1">
      <alignment horizontal="left" vertical="center" wrapText="1"/>
    </xf>
    <xf numFmtId="3" fontId="47" fillId="0" borderId="0" xfId="15" applyNumberFormat="1" applyFont="1" applyFill="1" applyAlignment="1">
      <alignment horizontal="left" vertical="center" wrapText="1"/>
    </xf>
    <xf numFmtId="3" fontId="49" fillId="0" borderId="0" xfId="15" applyNumberFormat="1" applyFont="1" applyFill="1" applyAlignment="1">
      <alignment horizontal="left" wrapText="1"/>
    </xf>
    <xf numFmtId="0" fontId="39" fillId="0" borderId="0" xfId="15" applyNumberFormat="1" applyFont="1" applyFill="1" applyAlignment="1">
      <alignment horizontal="left" vertical="center" wrapText="1"/>
    </xf>
    <xf numFmtId="0" fontId="39" fillId="0" borderId="0" xfId="15" applyNumberFormat="1" applyFont="1" applyFill="1" applyAlignment="1">
      <alignment horizontal="left" wrapText="1"/>
    </xf>
    <xf numFmtId="0" fontId="47" fillId="0" borderId="0" xfId="15" applyNumberFormat="1" applyFont="1" applyFill="1" applyAlignment="1">
      <alignment horizontal="left" vertical="top" wrapText="1"/>
    </xf>
    <xf numFmtId="0" fontId="39" fillId="0" borderId="0" xfId="15" applyNumberFormat="1" applyFont="1" applyBorder="1" applyAlignment="1">
      <alignment horizontal="left" vertical="center" wrapText="1"/>
    </xf>
    <xf numFmtId="3" fontId="39" fillId="0" borderId="0" xfId="15" applyNumberFormat="1" applyFont="1" applyFill="1" applyBorder="1" applyAlignment="1" applyProtection="1">
      <alignment horizontal="left"/>
      <protection locked="0"/>
    </xf>
    <xf numFmtId="0" fontId="39" fillId="0" borderId="0" xfId="15" applyFont="1" applyFill="1" applyAlignment="1">
      <alignment horizontal="left" vertical="center"/>
    </xf>
    <xf numFmtId="3" fontId="1" fillId="0" borderId="0" xfId="15" applyNumberFormat="1" applyFont="1" applyFill="1" applyBorder="1" applyAlignment="1" applyProtection="1">
      <alignment horizontal="left"/>
      <protection locked="0"/>
    </xf>
    <xf numFmtId="0" fontId="1" fillId="0" borderId="0" xfId="15" applyFont="1" applyFill="1" applyBorder="1" applyAlignment="1">
      <alignment horizontal="left" vertical="center"/>
    </xf>
    <xf numFmtId="0" fontId="39" fillId="5" borderId="0" xfId="15" applyFont="1" applyFill="1" applyBorder="1" applyAlignment="1">
      <alignment horizontal="center"/>
    </xf>
    <xf numFmtId="14" fontId="39" fillId="0" borderId="0" xfId="15" applyNumberFormat="1" applyFont="1" applyFill="1" applyBorder="1" applyAlignment="1">
      <alignment horizontal="left" vertical="center"/>
    </xf>
    <xf numFmtId="3" fontId="48" fillId="0" borderId="0" xfId="15" applyNumberFormat="1" applyFont="1" applyFill="1" applyBorder="1" applyAlignment="1">
      <alignment horizontal="left" vertical="center"/>
    </xf>
    <xf numFmtId="3" fontId="39" fillId="0" borderId="0" xfId="15" applyNumberFormat="1" applyFont="1" applyFill="1" applyBorder="1" applyAlignment="1" applyProtection="1">
      <alignment horizontal="left" vertical="center"/>
      <protection locked="0"/>
    </xf>
    <xf numFmtId="0" fontId="48" fillId="0" borderId="0" xfId="15" applyFont="1" applyFill="1" applyBorder="1" applyAlignment="1">
      <alignment horizontal="left" vertical="center"/>
    </xf>
    <xf numFmtId="3" fontId="43" fillId="0" borderId="0" xfId="15" applyNumberFormat="1" applyFont="1" applyFill="1" applyBorder="1" applyAlignment="1">
      <alignment horizontal="left" vertical="center"/>
    </xf>
    <xf numFmtId="3" fontId="1" fillId="0" borderId="0" xfId="15" applyNumberFormat="1" applyFont="1" applyFill="1" applyBorder="1" applyAlignment="1">
      <alignment horizontal="left" vertical="center"/>
    </xf>
    <xf numFmtId="0" fontId="39" fillId="0" borderId="0" xfId="15" applyFont="1" applyFill="1" applyAlignment="1">
      <alignment vertical="center"/>
    </xf>
    <xf numFmtId="0" fontId="39" fillId="0" borderId="0" xfId="15" applyFont="1" applyAlignment="1">
      <alignment vertical="center"/>
    </xf>
    <xf numFmtId="0" fontId="39" fillId="0" borderId="0" xfId="15" applyFont="1" applyAlignment="1">
      <alignment horizontal="left" vertical="center"/>
    </xf>
    <xf numFmtId="0" fontId="39" fillId="0" borderId="0" xfId="15" applyNumberFormat="1" applyFont="1" applyFill="1" applyAlignment="1">
      <alignment horizontal="left"/>
    </xf>
    <xf numFmtId="3" fontId="39" fillId="0" borderId="0" xfId="15" applyNumberFormat="1" applyFont="1" applyFill="1" applyAlignment="1" applyProtection="1">
      <alignment horizontal="left"/>
      <protection locked="0"/>
    </xf>
    <xf numFmtId="3" fontId="43" fillId="0" borderId="0" xfId="15" applyNumberFormat="1" applyFont="1" applyFill="1" applyBorder="1" applyAlignment="1" applyProtection="1">
      <alignment horizontal="left"/>
      <protection locked="0"/>
    </xf>
    <xf numFmtId="3" fontId="1" fillId="0" borderId="0" xfId="15" applyNumberFormat="1" applyFont="1" applyFill="1" applyAlignment="1">
      <alignment horizontal="left"/>
    </xf>
    <xf numFmtId="0" fontId="39" fillId="5" borderId="0" xfId="15" applyFont="1" applyFill="1" applyBorder="1" applyAlignment="1">
      <alignment horizontal="left"/>
    </xf>
    <xf numFmtId="0" fontId="39" fillId="31" borderId="57" xfId="15" applyFont="1" applyFill="1" applyBorder="1"/>
    <xf numFmtId="0" fontId="44" fillId="0" borderId="0" xfId="15" applyFont="1"/>
    <xf numFmtId="0" fontId="44" fillId="6" borderId="58" xfId="15" applyFont="1" applyFill="1" applyBorder="1" applyAlignment="1">
      <alignment horizontal="left" vertical="center"/>
    </xf>
    <xf numFmtId="0" fontId="44" fillId="6" borderId="58" xfId="15" applyFont="1" applyFill="1" applyBorder="1" applyAlignment="1">
      <alignment horizontal="left" vertical="center" wrapText="1"/>
    </xf>
    <xf numFmtId="1" fontId="44" fillId="29" borderId="58" xfId="15" applyNumberFormat="1" applyFont="1" applyFill="1" applyBorder="1" applyAlignment="1">
      <alignment horizontal="left" vertical="center"/>
    </xf>
    <xf numFmtId="0" fontId="44" fillId="29" borderId="58" xfId="15" applyFont="1" applyFill="1" applyBorder="1" applyAlignment="1">
      <alignment horizontal="left" vertical="center"/>
    </xf>
    <xf numFmtId="1" fontId="44" fillId="29" borderId="58" xfId="15" applyNumberFormat="1" applyFont="1" applyFill="1" applyBorder="1" applyAlignment="1">
      <alignment horizontal="left" vertical="center" wrapText="1"/>
    </xf>
    <xf numFmtId="1" fontId="44" fillId="8" borderId="3" xfId="15" applyNumberFormat="1" applyFont="1" applyFill="1" applyBorder="1" applyAlignment="1">
      <alignment horizontal="left" vertical="center"/>
    </xf>
    <xf numFmtId="1" fontId="44" fillId="8" borderId="58" xfId="15" applyNumberFormat="1" applyFont="1" applyFill="1" applyBorder="1" applyAlignment="1">
      <alignment horizontal="left" vertical="center"/>
    </xf>
    <xf numFmtId="1" fontId="44" fillId="8" borderId="58" xfId="15" applyNumberFormat="1" applyFont="1" applyFill="1" applyBorder="1" applyAlignment="1">
      <alignment horizontal="left" vertical="center" wrapText="1"/>
    </xf>
    <xf numFmtId="1" fontId="44" fillId="8" borderId="58" xfId="15" applyNumberFormat="1" applyFont="1" applyFill="1" applyBorder="1" applyAlignment="1">
      <alignment horizontal="center" vertical="center" wrapText="1"/>
    </xf>
    <xf numFmtId="1" fontId="44" fillId="20" borderId="58" xfId="15" applyNumberFormat="1" applyFont="1" applyFill="1" applyBorder="1" applyAlignment="1">
      <alignment horizontal="left" vertical="center"/>
    </xf>
    <xf numFmtId="2" fontId="44" fillId="20" borderId="3" xfId="15" applyNumberFormat="1" applyFont="1" applyFill="1" applyBorder="1" applyAlignment="1">
      <alignment horizontal="left" vertical="center"/>
    </xf>
    <xf numFmtId="1" fontId="44" fillId="20" borderId="58" xfId="15" applyNumberFormat="1" applyFont="1" applyFill="1" applyBorder="1" applyAlignment="1" applyProtection="1">
      <alignment horizontal="left" vertical="center"/>
      <protection locked="0"/>
    </xf>
    <xf numFmtId="0" fontId="54" fillId="31" borderId="58" xfId="15" applyFont="1" applyFill="1" applyBorder="1" applyAlignment="1">
      <alignment horizontal="center" vertical="center"/>
    </xf>
    <xf numFmtId="0" fontId="54" fillId="31" borderId="58" xfId="15" applyFont="1" applyFill="1" applyBorder="1" applyAlignment="1">
      <alignment horizontal="left" vertical="center"/>
    </xf>
    <xf numFmtId="0" fontId="44" fillId="3" borderId="58" xfId="15" applyNumberFormat="1" applyFont="1" applyFill="1" applyBorder="1" applyAlignment="1">
      <alignment horizontal="left" vertical="center"/>
    </xf>
    <xf numFmtId="14" fontId="44" fillId="3" borderId="58" xfId="15" applyNumberFormat="1" applyFont="1" applyFill="1" applyBorder="1" applyAlignment="1">
      <alignment horizontal="left" vertical="center"/>
    </xf>
    <xf numFmtId="0" fontId="54" fillId="0" borderId="0" xfId="15" applyFont="1"/>
    <xf numFmtId="0" fontId="54" fillId="5" borderId="58" xfId="15" applyFont="1" applyFill="1" applyBorder="1" applyAlignment="1">
      <alignment horizontal="left" vertical="center"/>
    </xf>
    <xf numFmtId="0" fontId="44" fillId="29" borderId="59" xfId="0" applyFont="1" applyFill="1" applyBorder="1" applyAlignment="1">
      <alignment vertical="top" wrapText="1"/>
    </xf>
    <xf numFmtId="0" fontId="44" fillId="29" borderId="3" xfId="0" applyFont="1" applyFill="1" applyBorder="1" applyAlignment="1">
      <alignment vertical="top" wrapText="1"/>
    </xf>
    <xf numFmtId="0" fontId="54" fillId="3" borderId="58" xfId="0" applyFont="1" applyFill="1" applyBorder="1" applyAlignment="1">
      <alignment horizontal="left" vertical="center"/>
    </xf>
    <xf numFmtId="0" fontId="54" fillId="31" borderId="58" xfId="0" applyFont="1" applyFill="1" applyBorder="1" applyAlignment="1">
      <alignment horizontal="center" vertical="center"/>
    </xf>
    <xf numFmtId="0" fontId="25" fillId="0" borderId="0" xfId="1" applyFill="1" applyBorder="1" applyAlignment="1" applyProtection="1">
      <alignment horizontal="left"/>
    </xf>
    <xf numFmtId="0" fontId="46" fillId="0" borderId="0" xfId="1" applyFont="1" applyBorder="1" applyAlignment="1" applyProtection="1">
      <alignment horizontal="left" wrapText="1"/>
    </xf>
    <xf numFmtId="0" fontId="25" fillId="0" borderId="0" xfId="1" applyBorder="1" applyAlignment="1" applyProtection="1">
      <alignment horizontal="left" wrapText="1"/>
    </xf>
    <xf numFmtId="0" fontId="25" fillId="0" borderId="0" xfId="1" applyFill="1" applyBorder="1" applyAlignment="1" applyProtection="1">
      <alignment horizontal="left" wrapText="1"/>
    </xf>
    <xf numFmtId="0" fontId="44" fillId="29" borderId="58" xfId="15" applyFont="1" applyFill="1" applyBorder="1" applyAlignment="1">
      <alignment vertical="center" wrapText="1"/>
    </xf>
    <xf numFmtId="3" fontId="14" fillId="0" borderId="0" xfId="15" applyNumberFormat="1" applyFill="1" applyAlignment="1">
      <alignment horizontal="left"/>
    </xf>
    <xf numFmtId="3" fontId="14" fillId="0" borderId="0" xfId="15" applyNumberFormat="1" applyFill="1"/>
    <xf numFmtId="1" fontId="43" fillId="0" borderId="0" xfId="15" applyNumberFormat="1" applyFont="1" applyFill="1" applyBorder="1" applyAlignment="1">
      <alignment horizontal="left" wrapText="1"/>
    </xf>
    <xf numFmtId="0" fontId="0" fillId="0" borderId="0" xfId="0" pivotButton="1"/>
    <xf numFmtId="3" fontId="39" fillId="0" borderId="50" xfId="0" applyNumberFormat="1" applyFont="1" applyFill="1" applyBorder="1"/>
    <xf numFmtId="3" fontId="0" fillId="0" borderId="48" xfId="0" applyNumberFormat="1" applyFill="1" applyBorder="1"/>
    <xf numFmtId="3" fontId="39" fillId="0" borderId="11" xfId="0" applyNumberFormat="1" applyFont="1" applyFill="1" applyBorder="1" applyAlignment="1">
      <alignment horizontal="left"/>
    </xf>
    <xf numFmtId="3" fontId="0" fillId="0" borderId="0" xfId="0" applyNumberFormat="1" applyFill="1" applyBorder="1" applyAlignment="1">
      <alignment horizontal="left"/>
    </xf>
    <xf numFmtId="3" fontId="0" fillId="0" borderId="11" xfId="0" applyNumberFormat="1" applyFill="1" applyBorder="1" applyAlignment="1">
      <alignment horizontal="left"/>
    </xf>
    <xf numFmtId="1" fontId="39" fillId="7" borderId="47" xfId="0" applyNumberFormat="1" applyFont="1" applyFill="1" applyBorder="1" applyAlignment="1">
      <alignment horizontal="left" vertical="center" wrapText="1"/>
    </xf>
    <xf numFmtId="1" fontId="39" fillId="29" borderId="59" xfId="0" applyNumberFormat="1" applyFont="1" applyFill="1" applyBorder="1" applyAlignment="1">
      <alignment horizontal="left" vertical="center"/>
    </xf>
    <xf numFmtId="3" fontId="39" fillId="0" borderId="59" xfId="0" applyNumberFormat="1" applyFont="1" applyBorder="1"/>
    <xf numFmtId="3" fontId="0" fillId="0" borderId="60" xfId="0" applyNumberFormat="1" applyBorder="1"/>
    <xf numFmtId="1" fontId="39" fillId="29" borderId="58" xfId="0" applyNumberFormat="1" applyFont="1" applyFill="1" applyBorder="1" applyAlignment="1">
      <alignment horizontal="left" vertical="center"/>
    </xf>
    <xf numFmtId="3" fontId="39" fillId="0" borderId="57" xfId="0" applyNumberFormat="1" applyFont="1" applyBorder="1" applyAlignment="1">
      <alignment horizontal="left"/>
    </xf>
    <xf numFmtId="3" fontId="0" fillId="0" borderId="57" xfId="0" applyNumberFormat="1" applyBorder="1" applyAlignment="1">
      <alignment horizontal="left"/>
    </xf>
    <xf numFmtId="3" fontId="39" fillId="7" borderId="50" xfId="0" applyNumberFormat="1" applyFont="1" applyFill="1" applyBorder="1"/>
    <xf numFmtId="3" fontId="39" fillId="7" borderId="14" xfId="0" applyNumberFormat="1" applyFont="1" applyFill="1" applyBorder="1"/>
    <xf numFmtId="3" fontId="39" fillId="7" borderId="10" xfId="0" applyNumberFormat="1" applyFont="1" applyFill="1" applyBorder="1"/>
    <xf numFmtId="3" fontId="0" fillId="7" borderId="48" xfId="0" applyNumberFormat="1" applyFill="1" applyBorder="1"/>
    <xf numFmtId="1" fontId="39" fillId="7" borderId="36" xfId="0" applyNumberFormat="1" applyFont="1" applyFill="1" applyBorder="1" applyAlignment="1">
      <alignment horizontal="left" vertical="center" wrapText="1"/>
    </xf>
    <xf numFmtId="3" fontId="39" fillId="7" borderId="51" xfId="0" applyNumberFormat="1" applyFont="1" applyFill="1" applyBorder="1" applyAlignment="1">
      <alignment horizontal="left"/>
    </xf>
    <xf numFmtId="3" fontId="39" fillId="7" borderId="0" xfId="0" applyNumberFormat="1" applyFont="1" applyFill="1" applyBorder="1" applyAlignment="1">
      <alignment horizontal="left"/>
    </xf>
    <xf numFmtId="3" fontId="39" fillId="7" borderId="11" xfId="0" applyNumberFormat="1" applyFont="1" applyFill="1" applyBorder="1" applyAlignment="1">
      <alignment horizontal="left"/>
    </xf>
    <xf numFmtId="3" fontId="0" fillId="7" borderId="51" xfId="0" applyNumberFormat="1" applyFill="1" applyBorder="1" applyAlignment="1">
      <alignment horizontal="left"/>
    </xf>
    <xf numFmtId="3" fontId="0" fillId="7" borderId="0" xfId="0" applyNumberFormat="1" applyFill="1" applyBorder="1" applyAlignment="1">
      <alignment horizontal="left"/>
    </xf>
    <xf numFmtId="3" fontId="0" fillId="7" borderId="11" xfId="0" applyNumberFormat="1" applyFill="1" applyBorder="1" applyAlignment="1">
      <alignment horizontal="left"/>
    </xf>
    <xf numFmtId="0" fontId="14" fillId="7" borderId="0" xfId="0" applyFont="1" applyFill="1"/>
    <xf numFmtId="0" fontId="39" fillId="31" borderId="0" xfId="0" applyFont="1" applyFill="1"/>
    <xf numFmtId="3" fontId="39" fillId="31" borderId="0" xfId="0" applyNumberFormat="1" applyFont="1" applyFill="1"/>
    <xf numFmtId="0" fontId="0" fillId="20" borderId="12" xfId="0" applyFill="1" applyBorder="1" applyAlignment="1">
      <alignment horizontal="left"/>
    </xf>
    <xf numFmtId="0" fontId="0" fillId="4" borderId="5" xfId="0" applyFill="1" applyBorder="1"/>
    <xf numFmtId="0" fontId="0" fillId="4" borderId="11" xfId="0" applyFill="1" applyBorder="1"/>
    <xf numFmtId="3" fontId="39" fillId="0" borderId="0" xfId="0" applyNumberFormat="1" applyFont="1" applyFill="1"/>
    <xf numFmtId="0" fontId="39" fillId="14" borderId="65" xfId="0" applyFont="1" applyFill="1" applyBorder="1"/>
    <xf numFmtId="3" fontId="0" fillId="0" borderId="66" xfId="0" applyNumberFormat="1" applyBorder="1"/>
    <xf numFmtId="3" fontId="0" fillId="0" borderId="67" xfId="0" applyNumberFormat="1" applyBorder="1"/>
    <xf numFmtId="3" fontId="0" fillId="0" borderId="68" xfId="0" applyNumberFormat="1" applyBorder="1"/>
    <xf numFmtId="0" fontId="59" fillId="0" borderId="0" xfId="0" pivotButton="1" applyFont="1"/>
    <xf numFmtId="0" fontId="59" fillId="0" borderId="0" xfId="0" applyFont="1"/>
    <xf numFmtId="0" fontId="59" fillId="20" borderId="0" xfId="0" applyFont="1" applyFill="1"/>
    <xf numFmtId="0" fontId="59" fillId="8" borderId="0" xfId="0" applyFont="1" applyFill="1"/>
    <xf numFmtId="0" fontId="59" fillId="29" borderId="0" xfId="0" applyFont="1" applyFill="1"/>
    <xf numFmtId="0" fontId="59" fillId="0" borderId="0" xfId="0" applyFont="1" applyAlignment="1">
      <alignment horizontal="left"/>
    </xf>
    <xf numFmtId="3" fontId="59" fillId="0" borderId="0" xfId="0" applyNumberFormat="1" applyFont="1"/>
    <xf numFmtId="0" fontId="60" fillId="2" borderId="0" xfId="0" applyFont="1" applyFill="1"/>
    <xf numFmtId="0" fontId="59" fillId="2" borderId="0" xfId="0" applyFont="1" applyFill="1"/>
    <xf numFmtId="0" fontId="59" fillId="0" borderId="0" xfId="0" applyFont="1" applyFill="1"/>
    <xf numFmtId="0" fontId="39" fillId="28" borderId="65" xfId="0" applyFont="1" applyFill="1" applyBorder="1"/>
    <xf numFmtId="0" fontId="39" fillId="0" borderId="66" xfId="0" applyFont="1" applyBorder="1"/>
    <xf numFmtId="0" fontId="39" fillId="0" borderId="67" xfId="0" applyFont="1" applyBorder="1"/>
    <xf numFmtId="0" fontId="39" fillId="0" borderId="68" xfId="0" applyFont="1" applyBorder="1"/>
    <xf numFmtId="14" fontId="54" fillId="3" borderId="10" xfId="15" applyNumberFormat="1" applyFont="1" applyFill="1" applyBorder="1" applyAlignment="1">
      <alignment horizontal="center" vertical="center"/>
    </xf>
    <xf numFmtId="14" fontId="54" fillId="3" borderId="11" xfId="15" applyNumberFormat="1" applyFont="1" applyFill="1" applyBorder="1" applyAlignment="1">
      <alignment horizontal="center" vertical="center"/>
    </xf>
    <xf numFmtId="14" fontId="54" fillId="3" borderId="5" xfId="15" applyNumberFormat="1" applyFont="1" applyFill="1" applyBorder="1" applyAlignment="1">
      <alignment horizontal="center" vertical="center"/>
    </xf>
    <xf numFmtId="0" fontId="54" fillId="29" borderId="11" xfId="15" applyFont="1" applyFill="1" applyBorder="1" applyAlignment="1">
      <alignment horizontal="center" vertical="center"/>
    </xf>
    <xf numFmtId="0" fontId="54" fillId="2" borderId="11" xfId="15" applyFont="1" applyFill="1" applyBorder="1" applyAlignment="1">
      <alignment horizontal="center" vertical="center"/>
    </xf>
    <xf numFmtId="0" fontId="54" fillId="29" borderId="5" xfId="15" applyFont="1" applyFill="1" applyBorder="1" applyAlignment="1">
      <alignment horizontal="center" vertical="center"/>
    </xf>
    <xf numFmtId="0" fontId="44" fillId="6" borderId="59" xfId="15" applyFont="1" applyFill="1" applyBorder="1" applyAlignment="1">
      <alignment horizontal="left"/>
    </xf>
    <xf numFmtId="0" fontId="44" fillId="6" borderId="3" xfId="15" applyFont="1" applyFill="1" applyBorder="1" applyAlignment="1">
      <alignment horizontal="left"/>
    </xf>
    <xf numFmtId="1" fontId="54" fillId="20" borderId="64" xfId="15" applyNumberFormat="1" applyFont="1" applyFill="1" applyBorder="1" applyAlignment="1">
      <alignment horizontal="center" vertical="center" wrapText="1"/>
    </xf>
    <xf numFmtId="1" fontId="54" fillId="20" borderId="63" xfId="15" applyNumberFormat="1" applyFont="1" applyFill="1" applyBorder="1" applyAlignment="1">
      <alignment horizontal="center" vertical="center" wrapText="1"/>
    </xf>
    <xf numFmtId="1" fontId="54" fillId="20" borderId="57" xfId="15" applyNumberFormat="1" applyFont="1" applyFill="1" applyBorder="1" applyAlignment="1">
      <alignment horizontal="center" vertical="center" wrapText="1"/>
    </xf>
    <xf numFmtId="1" fontId="54" fillId="8" borderId="64" xfId="15" applyNumberFormat="1" applyFont="1" applyFill="1" applyBorder="1" applyAlignment="1">
      <alignment horizontal="center" vertical="center" wrapText="1"/>
    </xf>
    <xf numFmtId="1" fontId="54" fillId="8" borderId="63" xfId="15" applyNumberFormat="1" applyFont="1" applyFill="1" applyBorder="1" applyAlignment="1">
      <alignment horizontal="center" vertical="center" wrapText="1"/>
    </xf>
    <xf numFmtId="1" fontId="54" fillId="8" borderId="57" xfId="15" applyNumberFormat="1" applyFont="1" applyFill="1" applyBorder="1" applyAlignment="1">
      <alignment horizontal="center" vertical="center" wrapText="1"/>
    </xf>
    <xf numFmtId="1" fontId="54" fillId="8" borderId="61" xfId="15" applyNumberFormat="1" applyFont="1" applyFill="1" applyBorder="1" applyAlignment="1">
      <alignment horizontal="center" vertical="center"/>
    </xf>
    <xf numFmtId="1" fontId="54" fillId="8" borderId="62" xfId="15" applyNumberFormat="1" applyFont="1" applyFill="1" applyBorder="1" applyAlignment="1">
      <alignment horizontal="center" vertical="center"/>
    </xf>
    <xf numFmtId="1" fontId="54" fillId="8" borderId="60" xfId="15" applyNumberFormat="1" applyFont="1" applyFill="1" applyBorder="1" applyAlignment="1">
      <alignment horizontal="center" vertical="center"/>
    </xf>
    <xf numFmtId="1" fontId="54" fillId="8" borderId="60" xfId="15" applyNumberFormat="1" applyFont="1" applyFill="1" applyBorder="1" applyAlignment="1">
      <alignment horizontal="center"/>
    </xf>
    <xf numFmtId="0" fontId="54" fillId="6" borderId="61" xfId="15" applyFont="1" applyFill="1" applyBorder="1" applyAlignment="1">
      <alignment horizontal="center" vertical="center"/>
    </xf>
    <xf numFmtId="0" fontId="54" fillId="6" borderId="62" xfId="15" applyFont="1" applyFill="1" applyBorder="1" applyAlignment="1">
      <alignment horizontal="center" vertical="center"/>
    </xf>
    <xf numFmtId="0" fontId="54" fillId="6" borderId="60" xfId="15" applyFont="1" applyFill="1" applyBorder="1" applyAlignment="1">
      <alignment horizontal="center" vertical="center"/>
    </xf>
    <xf numFmtId="0" fontId="54" fillId="6" borderId="61" xfId="15" applyFont="1" applyFill="1" applyBorder="1" applyAlignment="1">
      <alignment horizontal="center" vertical="center" wrapText="1"/>
    </xf>
    <xf numFmtId="1" fontId="54" fillId="29" borderId="61" xfId="15" applyNumberFormat="1" applyFont="1" applyFill="1" applyBorder="1" applyAlignment="1">
      <alignment horizontal="center" vertical="center" wrapText="1"/>
    </xf>
    <xf numFmtId="1" fontId="54" fillId="29" borderId="62" xfId="15" applyNumberFormat="1" applyFont="1" applyFill="1" applyBorder="1" applyAlignment="1">
      <alignment horizontal="center" vertical="center" wrapText="1"/>
    </xf>
    <xf numFmtId="0" fontId="54" fillId="6" borderId="49" xfId="0" applyFont="1" applyFill="1" applyBorder="1" applyAlignment="1">
      <alignment horizontal="center" vertical="center"/>
    </xf>
    <xf numFmtId="0" fontId="54" fillId="6" borderId="48" xfId="0" applyFont="1" applyFill="1" applyBorder="1" applyAlignment="1">
      <alignment horizontal="center" vertical="center"/>
    </xf>
    <xf numFmtId="0" fontId="54" fillId="6" borderId="52" xfId="0" applyFont="1" applyFill="1" applyBorder="1" applyAlignment="1">
      <alignment horizontal="center" vertical="center"/>
    </xf>
    <xf numFmtId="0" fontId="54" fillId="6" borderId="49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left" vertical="center"/>
    </xf>
    <xf numFmtId="0" fontId="44" fillId="6" borderId="3" xfId="0" applyFont="1" applyFill="1" applyBorder="1" applyAlignment="1">
      <alignment horizontal="left" vertical="center"/>
    </xf>
    <xf numFmtId="1" fontId="54" fillId="20" borderId="50" xfId="0" applyNumberFormat="1" applyFont="1" applyFill="1" applyBorder="1" applyAlignment="1">
      <alignment horizontal="center" vertical="center" wrapText="1"/>
    </xf>
    <xf numFmtId="1" fontId="54" fillId="20" borderId="51" xfId="0" applyNumberFormat="1" applyFont="1" applyFill="1" applyBorder="1" applyAlignment="1">
      <alignment horizontal="center" vertical="center" wrapText="1"/>
    </xf>
    <xf numFmtId="1" fontId="54" fillId="20" borderId="46" xfId="0" applyNumberFormat="1" applyFont="1" applyFill="1" applyBorder="1" applyAlignment="1">
      <alignment horizontal="center" vertical="center" wrapText="1"/>
    </xf>
    <xf numFmtId="1" fontId="54" fillId="8" borderId="49" xfId="0" applyNumberFormat="1" applyFont="1" applyFill="1" applyBorder="1" applyAlignment="1">
      <alignment horizontal="center" vertical="center"/>
    </xf>
    <xf numFmtId="1" fontId="54" fillId="8" borderId="48" xfId="0" applyNumberFormat="1" applyFont="1" applyFill="1" applyBorder="1" applyAlignment="1">
      <alignment horizontal="center" vertical="center"/>
    </xf>
    <xf numFmtId="1" fontId="54" fillId="8" borderId="52" xfId="0" applyNumberFormat="1" applyFont="1" applyFill="1" applyBorder="1" applyAlignment="1">
      <alignment horizontal="center" vertical="center"/>
    </xf>
    <xf numFmtId="1" fontId="54" fillId="8" borderId="52" xfId="0" applyNumberFormat="1" applyFont="1" applyFill="1" applyBorder="1" applyAlignment="1">
      <alignment horizontal="center"/>
    </xf>
    <xf numFmtId="1" fontId="54" fillId="8" borderId="50" xfId="0" applyNumberFormat="1" applyFont="1" applyFill="1" applyBorder="1" applyAlignment="1">
      <alignment horizontal="center" vertical="center" wrapText="1"/>
    </xf>
    <xf numFmtId="1" fontId="54" fillId="8" borderId="51" xfId="0" applyNumberFormat="1" applyFont="1" applyFill="1" applyBorder="1" applyAlignment="1">
      <alignment horizontal="center" vertical="center" wrapText="1"/>
    </xf>
    <xf numFmtId="1" fontId="54" fillId="8" borderId="46" xfId="0" applyNumberFormat="1" applyFont="1" applyFill="1" applyBorder="1" applyAlignment="1">
      <alignment horizontal="center" vertical="center" wrapText="1"/>
    </xf>
    <xf numFmtId="0" fontId="54" fillId="29" borderId="49" xfId="0" applyFont="1" applyFill="1" applyBorder="1" applyAlignment="1">
      <alignment horizontal="center" vertical="center"/>
    </xf>
    <xf numFmtId="0" fontId="54" fillId="29" borderId="48" xfId="0" applyFont="1" applyFill="1" applyBorder="1" applyAlignment="1">
      <alignment horizontal="center" vertical="center"/>
    </xf>
    <xf numFmtId="0" fontId="54" fillId="29" borderId="52" xfId="0" applyFont="1" applyFill="1" applyBorder="1" applyAlignment="1">
      <alignment horizontal="center" vertical="center"/>
    </xf>
    <xf numFmtId="1" fontId="54" fillId="29" borderId="40" xfId="0" applyNumberFormat="1" applyFont="1" applyFill="1" applyBorder="1" applyAlignment="1">
      <alignment horizontal="center" vertical="center" wrapText="1"/>
    </xf>
    <xf numFmtId="1" fontId="54" fillId="29" borderId="48" xfId="0" applyNumberFormat="1" applyFont="1" applyFill="1" applyBorder="1" applyAlignment="1">
      <alignment horizontal="center" vertical="center" wrapText="1"/>
    </xf>
    <xf numFmtId="0" fontId="44" fillId="29" borderId="47" xfId="0" applyFont="1" applyFill="1" applyBorder="1" applyAlignment="1">
      <alignment horizontal="center" vertical="top" wrapText="1"/>
    </xf>
    <xf numFmtId="0" fontId="44" fillId="29" borderId="3" xfId="0" applyFont="1" applyFill="1" applyBorder="1" applyAlignment="1">
      <alignment horizontal="center" vertical="top" wrapText="1"/>
    </xf>
    <xf numFmtId="1" fontId="54" fillId="29" borderId="52" xfId="0" applyNumberFormat="1" applyFont="1" applyFill="1" applyBorder="1" applyAlignment="1">
      <alignment horizontal="center" vertical="center" wrapText="1"/>
    </xf>
    <xf numFmtId="2" fontId="0" fillId="0" borderId="54" xfId="0" applyNumberFormat="1" applyBorder="1" applyAlignment="1">
      <alignment horizontal="left" wrapText="1"/>
    </xf>
    <xf numFmtId="2" fontId="0" fillId="0" borderId="27" xfId="0" applyNumberFormat="1" applyBorder="1" applyAlignment="1">
      <alignment horizontal="left" wrapText="1"/>
    </xf>
    <xf numFmtId="0" fontId="14" fillId="7" borderId="47" xfId="15" applyFill="1" applyBorder="1" applyAlignment="1">
      <alignment horizontal="left" wrapText="1"/>
    </xf>
    <xf numFmtId="0" fontId="14" fillId="7" borderId="3" xfId="15" applyFill="1" applyBorder="1" applyAlignment="1">
      <alignment horizontal="left" wrapText="1"/>
    </xf>
    <xf numFmtId="0" fontId="14" fillId="14" borderId="40" xfId="15" applyFill="1" applyBorder="1" applyAlignment="1">
      <alignment horizontal="left" wrapText="1"/>
    </xf>
    <xf numFmtId="0" fontId="14" fillId="0" borderId="48" xfId="15" applyBorder="1" applyAlignment="1">
      <alignment horizontal="left" wrapText="1"/>
    </xf>
    <xf numFmtId="0" fontId="14" fillId="0" borderId="52" xfId="15" applyBorder="1" applyAlignment="1">
      <alignment horizontal="left" wrapText="1"/>
    </xf>
    <xf numFmtId="0" fontId="14" fillId="21" borderId="40" xfId="15" applyFill="1" applyBorder="1" applyAlignment="1">
      <alignment horizontal="left" wrapText="1"/>
    </xf>
    <xf numFmtId="0" fontId="14" fillId="21" borderId="48" xfId="15" applyFill="1" applyBorder="1" applyAlignment="1">
      <alignment horizontal="left" wrapText="1"/>
    </xf>
    <xf numFmtId="0" fontId="18" fillId="12" borderId="36" xfId="15" applyFont="1" applyFill="1" applyBorder="1" applyAlignment="1">
      <alignment horizontal="left" wrapText="1"/>
    </xf>
  </cellXfs>
  <cellStyles count="19"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Hyperlink" xfId="1" builtinId="8"/>
    <cellStyle name="Hyperlink 2" xfId="2"/>
    <cellStyle name="Normal" xfId="0" builtinId="0" customBuiltin="1"/>
    <cellStyle name="Normal 2" xfId="3"/>
    <cellStyle name="Normal 2 2" xfId="15"/>
    <cellStyle name="Normal 3" xfId="4"/>
  </cellStyles>
  <dxfs count="43"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numFmt numFmtId="3" formatCode="#,##0"/>
    </dxf>
    <dxf>
      <fill>
        <patternFill patternType="solid">
          <bgColor theme="6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8"/>
        </patternFill>
      </fill>
    </dxf>
    <dxf>
      <numFmt numFmtId="3" formatCode="#,##0"/>
    </dxf>
    <dxf>
      <font>
        <sz val="11"/>
      </font>
    </dxf>
    <dxf>
      <font>
        <name val="Calibri"/>
        <scheme val="minor"/>
      </font>
    </dxf>
    <dxf>
      <fill>
        <patternFill patternType="solid">
          <bgColor theme="6" tint="0.79998168889431442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6"/>
        </patternFill>
      </fill>
    </dxf>
    <dxf>
      <font>
        <color theme="1"/>
      </font>
    </dxf>
    <dxf>
      <fill>
        <patternFill patternType="solid">
          <bgColor theme="6" tint="0.79998168889431442"/>
        </patternFill>
      </fill>
    </dxf>
    <dxf>
      <fill>
        <patternFill patternType="solid">
          <bgColor theme="8"/>
        </patternFill>
      </fill>
    </dxf>
    <dxf>
      <numFmt numFmtId="3" formatCode="#,##0"/>
    </dxf>
    <dxf>
      <font>
        <sz val="11"/>
      </font>
    </dxf>
    <dxf>
      <font>
        <name val="Calibri"/>
        <scheme val="minor"/>
      </font>
    </dxf>
    <dxf>
      <fill>
        <patternFill patternType="solid">
          <bgColor theme="6" tint="0.79998168889431442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5" tint="0.59999389629810485"/>
        </patternFill>
      </fill>
    </dxf>
    <dxf>
      <numFmt numFmtId="3" formatCode="#,##0"/>
    </dxf>
    <dxf>
      <font>
        <sz val="11"/>
      </font>
    </dxf>
    <dxf>
      <font>
        <name val="Calibri"/>
        <scheme val="minor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/>
        </patternFill>
      </fill>
    </dxf>
    <dxf>
      <fill>
        <patternFill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202AEC"/>
      <color rgb="FFE0A020"/>
      <color rgb="FF323ADA"/>
      <color rgb="FFE9BC1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Total number of targeted/reached beneficiaries per year</a:t>
            </a:r>
          </a:p>
        </c:rich>
      </c:tx>
      <c:layout>
        <c:manualLayout>
          <c:xMode val="edge"/>
          <c:yMode val="edge"/>
          <c:x val="0.16121346064195324"/>
          <c:y val="3.0233263095634209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02685749638251"/>
          <c:y val="0.18817847769028873"/>
          <c:w val="0.85040739236873863"/>
          <c:h val="0.717730804776163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50000"/>
              </a:schemeClr>
            </a:solidFill>
            <a:ln w="25400">
              <a:noFill/>
            </a:ln>
          </c:spPr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12700">
                <a:solidFill>
                  <a:srgbClr val="666699"/>
                </a:solidFill>
                <a:prstDash val="solid"/>
              </a:ln>
            </c:spPr>
          </c:dPt>
          <c:dLbls>
            <c:numFmt formatCode="#,##0.0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'Analysis-General'!$E$5:$E$12</c:f>
              <c:numCache>
                <c:formatCode>#,##0</c:formatCode>
                <c:ptCount val="8"/>
                <c:pt idx="0">
                  <c:v>9757618</c:v>
                </c:pt>
                <c:pt idx="1">
                  <c:v>8849388</c:v>
                </c:pt>
                <c:pt idx="2">
                  <c:v>9267784</c:v>
                </c:pt>
                <c:pt idx="3">
                  <c:v>18905348</c:v>
                </c:pt>
                <c:pt idx="4">
                  <c:v>23198767</c:v>
                </c:pt>
                <c:pt idx="5">
                  <c:v>38774110</c:v>
                </c:pt>
                <c:pt idx="6">
                  <c:v>17039001</c:v>
                </c:pt>
                <c:pt idx="7">
                  <c:v>27446633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790848"/>
        <c:axId val="105800832"/>
      </c:barChart>
      <c:catAx>
        <c:axId val="1057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00832"/>
        <c:crosses val="autoZero"/>
        <c:auto val="1"/>
        <c:lblAlgn val="ctr"/>
        <c:lblOffset val="100"/>
        <c:noMultiLvlLbl val="0"/>
      </c:catAx>
      <c:valAx>
        <c:axId val="105800832"/>
        <c:scaling>
          <c:orientation val="minMax"/>
          <c:max val="4000000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790848"/>
        <c:crosses val="autoZero"/>
        <c:crossBetween val="between"/>
        <c:dispUnits>
          <c:builtInUnit val="millions"/>
          <c:dispUnitsLbl/>
        </c:dispUnits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0" i="0" baseline="0"/>
              <a:t>Operations per zone by year</a:t>
            </a:r>
            <a:endParaRPr lang="en-GB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995599134114546E-2"/>
          <c:y val="0.14827182471756201"/>
          <c:w val="0.70833319488908097"/>
          <c:h val="0.63667750770284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'Analysis-General'!$I$16</c:f>
              <c:strCache>
                <c:ptCount val="1"/>
                <c:pt idx="0">
                  <c:v>2004-2007</c:v>
                </c:pt>
              </c:strCache>
            </c:strRef>
          </c:tx>
          <c:invertIfNegative val="0"/>
          <c:cat>
            <c:strRef>
              <c:f>'Analysis-General'!$J$4:$N$4</c:f>
              <c:strCache>
                <c:ptCount val="5"/>
                <c:pt idx="0">
                  <c:v>Africa 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MENA</c:v>
                </c:pt>
              </c:strCache>
            </c:strRef>
          </c:cat>
          <c:val>
            <c:numRef>
              <c:f>'Analysis-General'!$J$16:$N$16</c:f>
              <c:numCache>
                <c:formatCode>General</c:formatCode>
                <c:ptCount val="5"/>
                <c:pt idx="0">
                  <c:v>157</c:v>
                </c:pt>
                <c:pt idx="1">
                  <c:v>70</c:v>
                </c:pt>
                <c:pt idx="2">
                  <c:v>49</c:v>
                </c:pt>
                <c:pt idx="3">
                  <c:v>41</c:v>
                </c:pt>
                <c:pt idx="4">
                  <c:v>24</c:v>
                </c:pt>
              </c:numCache>
            </c:numRef>
          </c:val>
        </c:ser>
        <c:ser>
          <c:idx val="1"/>
          <c:order val="1"/>
          <c:tx>
            <c:strRef>
              <c:f>'Analysis-General'!$I$17</c:f>
              <c:strCache>
                <c:ptCount val="1"/>
                <c:pt idx="0">
                  <c:v>2008-2011</c:v>
                </c:pt>
              </c:strCache>
            </c:strRef>
          </c:tx>
          <c:invertIfNegative val="0"/>
          <c:cat>
            <c:strRef>
              <c:f>'Analysis-General'!$J$4:$N$4</c:f>
              <c:strCache>
                <c:ptCount val="5"/>
                <c:pt idx="0">
                  <c:v>Africa 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MENA</c:v>
                </c:pt>
              </c:strCache>
            </c:strRef>
          </c:cat>
          <c:val>
            <c:numRef>
              <c:f>'Analysis-General'!$J$17:$N$17</c:f>
              <c:numCache>
                <c:formatCode>General</c:formatCode>
                <c:ptCount val="5"/>
                <c:pt idx="0">
                  <c:v>206</c:v>
                </c:pt>
                <c:pt idx="1">
                  <c:v>85</c:v>
                </c:pt>
                <c:pt idx="2">
                  <c:v>70</c:v>
                </c:pt>
                <c:pt idx="3">
                  <c:v>50</c:v>
                </c:pt>
                <c:pt idx="4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802816"/>
        <c:axId val="108804352"/>
      </c:barChart>
      <c:catAx>
        <c:axId val="10880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8804352"/>
        <c:crosses val="autoZero"/>
        <c:auto val="1"/>
        <c:lblAlgn val="ctr"/>
        <c:lblOffset val="100"/>
        <c:noMultiLvlLbl val="0"/>
      </c:catAx>
      <c:valAx>
        <c:axId val="108804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880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Disaster type</a:t>
            </a:r>
            <a:endParaRPr lang="en-US" sz="14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2004-2007</c:v>
          </c:tx>
          <c:spPr>
            <a:solidFill>
              <a:schemeClr val="accent5"/>
            </a:solidFill>
            <a:effectLst/>
          </c:spPr>
          <c:invertIfNegative val="0"/>
          <c:cat>
            <c:strRef>
              <c:f>('Analysis-General'!$AC$14:$AC$15,'Analysis-General'!$AC$17:$AC$18,'Analysis-General'!$AC$20:$AC$21)</c:f>
              <c:strCache>
                <c:ptCount val="6"/>
                <c:pt idx="0">
                  <c:v>Human related</c:v>
                </c:pt>
                <c:pt idx="1">
                  <c:v>Epidemics</c:v>
                </c:pt>
                <c:pt idx="2">
                  <c:v>Geophysical</c:v>
                </c:pt>
                <c:pt idx="3">
                  <c:v>Technological</c:v>
                </c:pt>
                <c:pt idx="4">
                  <c:v>Floods</c:v>
                </c:pt>
                <c:pt idx="5">
                  <c:v>other hydro</c:v>
                </c:pt>
              </c:strCache>
            </c:strRef>
          </c:cat>
          <c:val>
            <c:numRef>
              <c:f>('Analysis-General'!$AM$14:$AM$15,'Analysis-General'!$AM$17:$AM$18,'Analysis-General'!$AM$20:$AM$21)</c:f>
              <c:numCache>
                <c:formatCode>General</c:formatCode>
                <c:ptCount val="6"/>
                <c:pt idx="0">
                  <c:v>49</c:v>
                </c:pt>
                <c:pt idx="1">
                  <c:v>55</c:v>
                </c:pt>
                <c:pt idx="2">
                  <c:v>21</c:v>
                </c:pt>
                <c:pt idx="3">
                  <c:v>14</c:v>
                </c:pt>
                <c:pt idx="4">
                  <c:v>146</c:v>
                </c:pt>
                <c:pt idx="5">
                  <c:v>52</c:v>
                </c:pt>
              </c:numCache>
            </c:numRef>
          </c:val>
        </c:ser>
        <c:ser>
          <c:idx val="1"/>
          <c:order val="1"/>
          <c:tx>
            <c:v>2005-2011</c:v>
          </c:tx>
          <c:spPr>
            <a:solidFill>
              <a:schemeClr val="accent6"/>
            </a:solidFill>
            <a:effectLst/>
          </c:spPr>
          <c:invertIfNegative val="0"/>
          <c:cat>
            <c:strRef>
              <c:f>('Analysis-General'!$AC$14:$AC$15,'Analysis-General'!$AC$17:$AC$18,'Analysis-General'!$AC$20:$AC$21)</c:f>
              <c:strCache>
                <c:ptCount val="6"/>
                <c:pt idx="0">
                  <c:v>Human related</c:v>
                </c:pt>
                <c:pt idx="1">
                  <c:v>Epidemics</c:v>
                </c:pt>
                <c:pt idx="2">
                  <c:v>Geophysical</c:v>
                </c:pt>
                <c:pt idx="3">
                  <c:v>Technological</c:v>
                </c:pt>
                <c:pt idx="4">
                  <c:v>Floods</c:v>
                </c:pt>
                <c:pt idx="5">
                  <c:v>other hydro</c:v>
                </c:pt>
              </c:strCache>
            </c:strRef>
          </c:cat>
          <c:val>
            <c:numRef>
              <c:f>('Analysis-General'!$AN$14:$AN$15,'Analysis-General'!$AN$17:$AN$18,'Analysis-General'!$AN$20:$AN$21)</c:f>
              <c:numCache>
                <c:formatCode>General</c:formatCode>
                <c:ptCount val="6"/>
                <c:pt idx="0">
                  <c:v>60</c:v>
                </c:pt>
                <c:pt idx="1">
                  <c:v>85</c:v>
                </c:pt>
                <c:pt idx="2">
                  <c:v>22</c:v>
                </c:pt>
                <c:pt idx="3">
                  <c:v>11</c:v>
                </c:pt>
                <c:pt idx="4">
                  <c:v>189</c:v>
                </c:pt>
                <c:pt idx="5">
                  <c:v>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841984"/>
        <c:axId val="108847872"/>
      </c:barChart>
      <c:catAx>
        <c:axId val="10884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08847872"/>
        <c:crosses val="autoZero"/>
        <c:auto val="1"/>
        <c:lblAlgn val="ctr"/>
        <c:lblOffset val="100"/>
        <c:noMultiLvlLbl val="0"/>
      </c:catAx>
      <c:valAx>
        <c:axId val="108847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88419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" l="0.75000000000000189" r="0.75000000000000189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Appeals</a:t>
            </a:r>
            <a:r>
              <a:rPr lang="en-GB" baseline="0"/>
              <a:t>  coverage (2004-2011)</a:t>
            </a:r>
            <a:endParaRPr lang="en-GB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Emerg.Appeals coverage</c:v>
          </c:tx>
          <c:invertIfNegative val="0"/>
          <c:cat>
            <c:strRef>
              <c:f>'Analysis-General'!$G$25:$K$25</c:f>
              <c:strCache>
                <c:ptCount val="5"/>
                <c:pt idx="0">
                  <c:v> Africa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Middle East and North Africa</c:v>
                </c:pt>
              </c:strCache>
            </c:strRef>
          </c:cat>
          <c:val>
            <c:numRef>
              <c:f>'Analysis-General'!$G$28:$K$28</c:f>
              <c:numCache>
                <c:formatCode>General</c:formatCode>
                <c:ptCount val="5"/>
                <c:pt idx="0">
                  <c:v>55.19</c:v>
                </c:pt>
                <c:pt idx="1">
                  <c:v>87.55</c:v>
                </c:pt>
                <c:pt idx="2">
                  <c:v>84.1</c:v>
                </c:pt>
                <c:pt idx="3">
                  <c:v>82.3</c:v>
                </c:pt>
                <c:pt idx="4">
                  <c:v>65.11</c:v>
                </c:pt>
              </c:numCache>
            </c:numRef>
          </c:val>
        </c:ser>
        <c:ser>
          <c:idx val="1"/>
          <c:order val="1"/>
          <c:tx>
            <c:v>All reports</c:v>
          </c:tx>
          <c:invertIfNegative val="0"/>
          <c:cat>
            <c:strRef>
              <c:f>'Analysis-General'!$G$25:$K$25</c:f>
              <c:strCache>
                <c:ptCount val="5"/>
                <c:pt idx="0">
                  <c:v> Africa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Middle East and North Africa</c:v>
                </c:pt>
              </c:strCache>
            </c:strRef>
          </c:cat>
          <c:val>
            <c:numRef>
              <c:f>'Analysis-General'!$G$26:$K$26</c:f>
              <c:numCache>
                <c:formatCode>General</c:formatCode>
                <c:ptCount val="5"/>
                <c:pt idx="0">
                  <c:v>82.78</c:v>
                </c:pt>
                <c:pt idx="1">
                  <c:v>90.18</c:v>
                </c:pt>
                <c:pt idx="2">
                  <c:v>89.35</c:v>
                </c:pt>
                <c:pt idx="3">
                  <c:v>94.89</c:v>
                </c:pt>
                <c:pt idx="4">
                  <c:v>84.47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18400"/>
        <c:axId val="110119936"/>
      </c:barChart>
      <c:catAx>
        <c:axId val="110118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10119936"/>
        <c:crosses val="autoZero"/>
        <c:auto val="1"/>
        <c:lblAlgn val="ctr"/>
        <c:lblOffset val="100"/>
        <c:noMultiLvlLbl val="0"/>
      </c:catAx>
      <c:valAx>
        <c:axId val="110119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01184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Operations with &lt;5.000 beneficiaries (2004-2011)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Operations with &lt;5.000 beneficiaries</c:v>
          </c:tx>
          <c:dLbls>
            <c:numFmt formatCode="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'Analysis-General'!$BD$19:$BD$23</c:f>
              <c:strCache>
                <c:ptCount val="5"/>
                <c:pt idx="0">
                  <c:v>Human related</c:v>
                </c:pt>
                <c:pt idx="1">
                  <c:v>Epidemics</c:v>
                </c:pt>
                <c:pt idx="2">
                  <c:v>Hydrometeorological </c:v>
                </c:pt>
                <c:pt idx="3">
                  <c:v>Geophysical</c:v>
                </c:pt>
                <c:pt idx="4">
                  <c:v>Technological</c:v>
                </c:pt>
              </c:strCache>
            </c:strRef>
          </c:cat>
          <c:val>
            <c:numRef>
              <c:f>'Analysis-General'!$BE$19:$BE$23</c:f>
              <c:numCache>
                <c:formatCode>General</c:formatCode>
                <c:ptCount val="5"/>
                <c:pt idx="0">
                  <c:v>27</c:v>
                </c:pt>
                <c:pt idx="1">
                  <c:v>9</c:v>
                </c:pt>
                <c:pt idx="2">
                  <c:v>149</c:v>
                </c:pt>
                <c:pt idx="3">
                  <c:v>13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67715419947506605"/>
          <c:y val="0.34821041602519293"/>
          <c:w val="0.292290244969379"/>
          <c:h val="0.4189090885211827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Operations with &gt;50.000 beneficiaries (2004-2011)</c:v>
          </c:tx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'Analysis-General'!$BD$19:$BD$23</c:f>
              <c:strCache>
                <c:ptCount val="5"/>
                <c:pt idx="0">
                  <c:v>Human related</c:v>
                </c:pt>
                <c:pt idx="1">
                  <c:v>Epidemics</c:v>
                </c:pt>
                <c:pt idx="2">
                  <c:v>Hydrometeorological </c:v>
                </c:pt>
                <c:pt idx="3">
                  <c:v>Geophysical</c:v>
                </c:pt>
                <c:pt idx="4">
                  <c:v>Technological</c:v>
                </c:pt>
              </c:strCache>
            </c:strRef>
          </c:cat>
          <c:val>
            <c:numRef>
              <c:f>'Analysis-General'!$BF$19:$BF$23</c:f>
              <c:numCache>
                <c:formatCode>General</c:formatCode>
                <c:ptCount val="5"/>
                <c:pt idx="0">
                  <c:v>28</c:v>
                </c:pt>
                <c:pt idx="1">
                  <c:v>89</c:v>
                </c:pt>
                <c:pt idx="2">
                  <c:v>85</c:v>
                </c:pt>
                <c:pt idx="3">
                  <c:v>12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GB" b="0"/>
              <a:t>Expenditure</a:t>
            </a:r>
            <a:r>
              <a:rPr lang="en-GB" b="0" baseline="0"/>
              <a:t> by zone (2004-2011)</a:t>
            </a:r>
          </a:p>
        </c:rich>
      </c:tx>
      <c:layout/>
      <c:overlay val="0"/>
    </c:title>
    <c:autoTitleDeleted val="0"/>
    <c:view3D>
      <c:rotX val="7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'Analysis-General'!$AV$14:$AZ$14</c:f>
              <c:strCache>
                <c:ptCount val="5"/>
                <c:pt idx="0">
                  <c:v> Africa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MENA</c:v>
                </c:pt>
              </c:strCache>
            </c:strRef>
          </c:cat>
          <c:val>
            <c:numRef>
              <c:f>'Analysis-General'!$AV$23:$AZ$23</c:f>
              <c:numCache>
                <c:formatCode>#,##0</c:formatCode>
                <c:ptCount val="5"/>
                <c:pt idx="0">
                  <c:v>238750111</c:v>
                </c:pt>
                <c:pt idx="1">
                  <c:v>257655137</c:v>
                </c:pt>
                <c:pt idx="2">
                  <c:v>1280466762</c:v>
                </c:pt>
                <c:pt idx="3">
                  <c:v>23565194</c:v>
                </c:pt>
                <c:pt idx="4">
                  <c:v>52488812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0" i="0" u="none" strike="noStrike" baseline="0"/>
              <a:t>Expenditure by zone (3 zones) </a:t>
            </a:r>
            <a:endParaRPr lang="en-GB"/>
          </a:p>
        </c:rich>
      </c:tx>
      <c:layout>
        <c:manualLayout>
          <c:xMode val="edge"/>
          <c:yMode val="edge"/>
          <c:x val="0.26002029580545977"/>
          <c:y val="1.328413438523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05351010732856"/>
          <c:y val="0.15532500279803621"/>
          <c:w val="0.60724152934224951"/>
          <c:h val="0.75588537709682901"/>
        </c:manualLayout>
      </c:layout>
      <c:lineChart>
        <c:grouping val="standard"/>
        <c:varyColors val="0"/>
        <c:ser>
          <c:idx val="0"/>
          <c:order val="0"/>
          <c:tx>
            <c:strRef>
              <c:f>'Analysis-General'!$AV$14</c:f>
              <c:strCache>
                <c:ptCount val="1"/>
                <c:pt idx="0">
                  <c:v> Africa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7.0060008475645516E-2"/>
                  <c:y val="-2.76710256400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1.9760475315106756E-2"/>
                  <c:y val="4.61183760666690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'Analysis-General'!$AU$15:$AU$22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'Analysis-General'!$AV$15:$AV$22</c:f>
              <c:numCache>
                <c:formatCode>#,##0</c:formatCode>
                <c:ptCount val="8"/>
                <c:pt idx="0">
                  <c:v>38540609</c:v>
                </c:pt>
                <c:pt idx="1">
                  <c:v>23147010</c:v>
                </c:pt>
                <c:pt idx="2">
                  <c:v>13967891</c:v>
                </c:pt>
                <c:pt idx="3">
                  <c:v>39647483</c:v>
                </c:pt>
                <c:pt idx="4">
                  <c:v>39115807</c:v>
                </c:pt>
                <c:pt idx="5">
                  <c:v>25954766</c:v>
                </c:pt>
                <c:pt idx="6">
                  <c:v>48206834</c:v>
                </c:pt>
                <c:pt idx="7">
                  <c:v>10169711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'Analysis-General'!$AY$14</c:f>
              <c:strCache>
                <c:ptCount val="1"/>
                <c:pt idx="0">
                  <c:v>Europe</c:v>
                </c:pt>
              </c:strCache>
            </c:strRef>
          </c:tx>
          <c:marker>
            <c:symbol val="none"/>
          </c:marker>
          <c:cat>
            <c:numRef>
              <c:f>'Analysis-General'!$AU$15:$AU$22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'Analysis-General'!$AY$15:$AY$22</c:f>
              <c:numCache>
                <c:formatCode>#,##0</c:formatCode>
                <c:ptCount val="8"/>
                <c:pt idx="0">
                  <c:v>6738705</c:v>
                </c:pt>
                <c:pt idx="1">
                  <c:v>3823249</c:v>
                </c:pt>
                <c:pt idx="2">
                  <c:v>2577313</c:v>
                </c:pt>
                <c:pt idx="3">
                  <c:v>2936695</c:v>
                </c:pt>
                <c:pt idx="4">
                  <c:v>754684</c:v>
                </c:pt>
                <c:pt idx="5">
                  <c:v>1395923</c:v>
                </c:pt>
                <c:pt idx="6">
                  <c:v>2323478</c:v>
                </c:pt>
                <c:pt idx="7">
                  <c:v>3015147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'Analysis-General'!$AZ$14</c:f>
              <c:strCache>
                <c:ptCount val="1"/>
                <c:pt idx="0">
                  <c:v>MENA</c:v>
                </c:pt>
              </c:strCache>
            </c:strRef>
          </c:tx>
          <c:marker>
            <c:symbol val="none"/>
          </c:marker>
          <c:dLbls>
            <c:dLbl>
              <c:idx val="4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'Analysis-General'!$AU$15:$AU$22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'Analysis-General'!$AZ$15:$AZ$22</c:f>
              <c:numCache>
                <c:formatCode>#,##0</c:formatCode>
                <c:ptCount val="8"/>
                <c:pt idx="0">
                  <c:v>9376983</c:v>
                </c:pt>
                <c:pt idx="1">
                  <c:v>689899</c:v>
                </c:pt>
                <c:pt idx="2">
                  <c:v>1413185</c:v>
                </c:pt>
                <c:pt idx="3">
                  <c:v>4849781</c:v>
                </c:pt>
                <c:pt idx="4">
                  <c:v>20137151</c:v>
                </c:pt>
                <c:pt idx="5">
                  <c:v>9630305</c:v>
                </c:pt>
                <c:pt idx="6">
                  <c:v>3807839</c:v>
                </c:pt>
                <c:pt idx="7">
                  <c:v>2583669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63776"/>
        <c:axId val="110365312"/>
      </c:lineChart>
      <c:catAx>
        <c:axId val="1103637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10365312"/>
        <c:crosses val="autoZero"/>
        <c:auto val="0"/>
        <c:lblAlgn val="ctr"/>
        <c:lblOffset val="100"/>
        <c:noMultiLvlLbl val="0"/>
      </c:catAx>
      <c:valAx>
        <c:axId val="110365312"/>
        <c:scaling>
          <c:orientation val="minMax"/>
        </c:scaling>
        <c:delete val="0"/>
        <c:axPos val="r"/>
        <c:majorGridlines/>
        <c:numFmt formatCode="#,##0" sourceLinked="1"/>
        <c:majorTickMark val="out"/>
        <c:minorTickMark val="none"/>
        <c:tickLblPos val="high"/>
        <c:crossAx val="110363776"/>
        <c:crosses val="autoZero"/>
        <c:crossBetween val="between"/>
        <c:dispUnits>
          <c:builtInUnit val="millions"/>
          <c:dispUnitsLbl>
            <c:layout/>
          </c:dispUnitsLbl>
        </c:dispUnits>
      </c:valAx>
    </c:plotArea>
    <c:legend>
      <c:legendPos val="r"/>
      <c:layout>
        <c:manualLayout>
          <c:xMode val="edge"/>
          <c:yMode val="edge"/>
          <c:x val="0.75401008150563098"/>
          <c:y val="0.18684954375448729"/>
          <c:w val="0.24396289168302931"/>
          <c:h val="0.590765678678058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="0"/>
              <a:t>Beneficiaries</a:t>
            </a:r>
            <a:r>
              <a:rPr lang="en-US" sz="1600" b="0" baseline="0"/>
              <a:t> by Zone (5 zones)</a:t>
            </a:r>
          </a:p>
          <a:p>
            <a:pPr>
              <a:defRPr/>
            </a:pPr>
            <a:endParaRPr lang="en-US" sz="1600" b="0"/>
          </a:p>
        </c:rich>
      </c:tx>
      <c:layout>
        <c:manualLayout>
          <c:xMode val="edge"/>
          <c:yMode val="edge"/>
          <c:x val="0.31585735667339099"/>
          <c:y val="3.69609856262834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859504132231388E-2"/>
          <c:y val="0.135557620514827"/>
          <c:w val="0.70580942212732001"/>
          <c:h val="0.76034952152720003"/>
        </c:manualLayout>
      </c:layout>
      <c:lineChart>
        <c:grouping val="standard"/>
        <c:varyColors val="0"/>
        <c:ser>
          <c:idx val="0"/>
          <c:order val="0"/>
          <c:tx>
            <c:v>Africa</c:v>
          </c:tx>
          <c:marker>
            <c:symbol val="none"/>
          </c:marker>
          <c:dLbls>
            <c:dLbl>
              <c:idx val="0"/>
              <c:layout>
                <c:manualLayout>
                  <c:x val="-7.0500927643784919E-2"/>
                  <c:y val="-2.3904382470119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10018567484259309"/>
                  <c:y val="-1.5936254980079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'Analysis-General'!$AU$28:$AU$35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'Analysis-General'!$AV$28:$AV$35</c:f>
              <c:numCache>
                <c:formatCode>#,##0</c:formatCode>
                <c:ptCount val="8"/>
                <c:pt idx="0">
                  <c:v>18673572</c:v>
                </c:pt>
                <c:pt idx="1">
                  <c:v>8020814</c:v>
                </c:pt>
                <c:pt idx="2">
                  <c:v>36861222</c:v>
                </c:pt>
                <c:pt idx="3">
                  <c:v>19966341</c:v>
                </c:pt>
                <c:pt idx="4">
                  <c:v>11502298</c:v>
                </c:pt>
                <c:pt idx="5">
                  <c:v>6787651</c:v>
                </c:pt>
                <c:pt idx="6">
                  <c:v>5574405</c:v>
                </c:pt>
                <c:pt idx="7">
                  <c:v>1771976</c:v>
                </c:pt>
              </c:numCache>
            </c:numRef>
          </c:val>
          <c:smooth val="0"/>
        </c:ser>
        <c:ser>
          <c:idx val="1"/>
          <c:order val="1"/>
          <c:tx>
            <c:v>Americas</c:v>
          </c:tx>
          <c:marker>
            <c:symbol val="none"/>
          </c:marker>
          <c:cat>
            <c:numRef>
              <c:f>'Analysis-General'!$AU$28:$AU$35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'Analysis-General'!$AW$28:$AW$35</c:f>
              <c:numCache>
                <c:formatCode>#,##0</c:formatCode>
                <c:ptCount val="8"/>
                <c:pt idx="0">
                  <c:v>194834</c:v>
                </c:pt>
                <c:pt idx="1">
                  <c:v>2976326</c:v>
                </c:pt>
                <c:pt idx="2">
                  <c:v>1278928</c:v>
                </c:pt>
                <c:pt idx="3">
                  <c:v>465450</c:v>
                </c:pt>
                <c:pt idx="4">
                  <c:v>497596</c:v>
                </c:pt>
                <c:pt idx="5">
                  <c:v>422552</c:v>
                </c:pt>
                <c:pt idx="6">
                  <c:v>1111430</c:v>
                </c:pt>
                <c:pt idx="7">
                  <c:v>366105</c:v>
                </c:pt>
              </c:numCache>
            </c:numRef>
          </c:val>
          <c:smooth val="0"/>
        </c:ser>
        <c:ser>
          <c:idx val="2"/>
          <c:order val="2"/>
          <c:tx>
            <c:v>Asia Pacific</c:v>
          </c:tx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3.5250463821892397E-2"/>
                  <c:y val="-2.7888446215139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layout>
                <c:manualLayout>
                  <c:x val="-3.5250463821892397E-2"/>
                  <c:y val="-1.1952191235059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'Analysis-General'!$AU$28:$AU$35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'Analysis-General'!$AX$28:$AX$35</c:f>
              <c:numCache>
                <c:formatCode>#,##0</c:formatCode>
                <c:ptCount val="8"/>
                <c:pt idx="0">
                  <c:v>8046525</c:v>
                </c:pt>
                <c:pt idx="1">
                  <c:v>2804323</c:v>
                </c:pt>
                <c:pt idx="2">
                  <c:v>2247050</c:v>
                </c:pt>
                <c:pt idx="3">
                  <c:v>2492122</c:v>
                </c:pt>
                <c:pt idx="4">
                  <c:v>6247777</c:v>
                </c:pt>
                <c:pt idx="5">
                  <c:v>888379</c:v>
                </c:pt>
                <c:pt idx="6">
                  <c:v>1651699</c:v>
                </c:pt>
                <c:pt idx="7">
                  <c:v>7569325</c:v>
                </c:pt>
              </c:numCache>
            </c:numRef>
          </c:val>
          <c:smooth val="0"/>
        </c:ser>
        <c:ser>
          <c:idx val="3"/>
          <c:order val="3"/>
          <c:tx>
            <c:v>Europe</c:v>
          </c:tx>
          <c:marker>
            <c:symbol val="none"/>
          </c:marker>
          <c:cat>
            <c:numRef>
              <c:f>'Analysis-General'!$AU$28:$AU$35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'Analysis-General'!$AY$28:$AY$35</c:f>
              <c:numCache>
                <c:formatCode>#,##0</c:formatCode>
                <c:ptCount val="8"/>
                <c:pt idx="0">
                  <c:v>79202</c:v>
                </c:pt>
                <c:pt idx="1">
                  <c:v>3125462</c:v>
                </c:pt>
                <c:pt idx="2">
                  <c:v>1029010</c:v>
                </c:pt>
                <c:pt idx="3">
                  <c:v>86931</c:v>
                </c:pt>
                <c:pt idx="4">
                  <c:v>51245</c:v>
                </c:pt>
                <c:pt idx="5">
                  <c:v>89410</c:v>
                </c:pt>
                <c:pt idx="6">
                  <c:v>118139</c:v>
                </c:pt>
                <c:pt idx="7">
                  <c:v>17712</c:v>
                </c:pt>
              </c:numCache>
            </c:numRef>
          </c:val>
          <c:smooth val="0"/>
        </c:ser>
        <c:ser>
          <c:idx val="4"/>
          <c:order val="4"/>
          <c:tx>
            <c:v>MENA</c:v>
          </c:tx>
          <c:marker>
            <c:symbol val="none"/>
          </c:marker>
          <c:cat>
            <c:numRef>
              <c:f>'Analysis-General'!$AU$28:$AU$35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'Analysis-General'!$AZ$28:$AZ$35</c:f>
              <c:numCache>
                <c:formatCode>#,##0</c:formatCode>
                <c:ptCount val="8"/>
                <c:pt idx="0">
                  <c:v>452500</c:v>
                </c:pt>
                <c:pt idx="1">
                  <c:v>112076</c:v>
                </c:pt>
                <c:pt idx="2">
                  <c:v>1261900</c:v>
                </c:pt>
                <c:pt idx="3">
                  <c:v>187923</c:v>
                </c:pt>
                <c:pt idx="4">
                  <c:v>606432</c:v>
                </c:pt>
                <c:pt idx="5">
                  <c:v>1079792</c:v>
                </c:pt>
                <c:pt idx="6">
                  <c:v>393715</c:v>
                </c:pt>
                <c:pt idx="7">
                  <c:v>32500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27520"/>
        <c:axId val="110441600"/>
      </c:lineChart>
      <c:catAx>
        <c:axId val="110427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10441600"/>
        <c:crosses val="autoZero"/>
        <c:auto val="1"/>
        <c:lblAlgn val="ctr"/>
        <c:lblOffset val="100"/>
        <c:noMultiLvlLbl val="0"/>
      </c:catAx>
      <c:valAx>
        <c:axId val="110441600"/>
        <c:scaling>
          <c:orientation val="minMax"/>
        </c:scaling>
        <c:delete val="0"/>
        <c:axPos val="r"/>
        <c:majorGridlines/>
        <c:numFmt formatCode="#,##0" sourceLinked="1"/>
        <c:majorTickMark val="out"/>
        <c:minorTickMark val="none"/>
        <c:tickLblPos val="high"/>
        <c:crossAx val="1104275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" l="0.750000000000001" r="0.750000000000001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baseline="0">
                <a:effectLst/>
              </a:rPr>
              <a:t>Expenditure by zone (5 zones) </a:t>
            </a:r>
            <a:endParaRPr lang="en-US">
              <a:effectLst/>
            </a:endParaRP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6047665845710671"/>
          <c:y val="0.16503937007874014"/>
          <c:w val="0.69012343799731501"/>
          <c:h val="0.70782379968230602"/>
        </c:manualLayout>
      </c:layout>
      <c:lineChart>
        <c:grouping val="standard"/>
        <c:varyColors val="0"/>
        <c:ser>
          <c:idx val="0"/>
          <c:order val="0"/>
          <c:tx>
            <c:v>Africa</c:v>
          </c:tx>
          <c:marker>
            <c:symbol val="none"/>
          </c:marker>
          <c:cat>
            <c:numRef>
              <c:f>'Analysis-General'!$AU$15:$AU$22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'Analysis-General'!$AV$15:$AV$22</c:f>
              <c:numCache>
                <c:formatCode>#,##0</c:formatCode>
                <c:ptCount val="8"/>
                <c:pt idx="0">
                  <c:v>38540609</c:v>
                </c:pt>
                <c:pt idx="1">
                  <c:v>23147010</c:v>
                </c:pt>
                <c:pt idx="2">
                  <c:v>13967891</c:v>
                </c:pt>
                <c:pt idx="3">
                  <c:v>39647483</c:v>
                </c:pt>
                <c:pt idx="4">
                  <c:v>39115807</c:v>
                </c:pt>
                <c:pt idx="5">
                  <c:v>25954766</c:v>
                </c:pt>
                <c:pt idx="6">
                  <c:v>48206834</c:v>
                </c:pt>
                <c:pt idx="7">
                  <c:v>10169711</c:v>
                </c:pt>
              </c:numCache>
            </c:numRef>
          </c:val>
          <c:smooth val="0"/>
        </c:ser>
        <c:ser>
          <c:idx val="1"/>
          <c:order val="1"/>
          <c:tx>
            <c:v>Americas</c:v>
          </c:tx>
          <c:marker>
            <c:symbol val="none"/>
          </c:marker>
          <c:dLbls>
            <c:dLbl>
              <c:idx val="1"/>
              <c:layout>
                <c:manualLayout>
                  <c:x val="-3.5149384885764558E-2"/>
                  <c:y val="-3.470715835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'Analysis-General'!$AU$15:$AU$22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'Analysis-General'!$AW$15:$AW$22</c:f>
              <c:numCache>
                <c:formatCode>#,##0</c:formatCode>
                <c:ptCount val="8"/>
                <c:pt idx="0">
                  <c:v>3280863</c:v>
                </c:pt>
                <c:pt idx="1">
                  <c:v>176207455</c:v>
                </c:pt>
                <c:pt idx="2">
                  <c:v>4000862</c:v>
                </c:pt>
                <c:pt idx="3">
                  <c:v>20779073</c:v>
                </c:pt>
                <c:pt idx="4">
                  <c:v>20437943</c:v>
                </c:pt>
                <c:pt idx="5">
                  <c:v>4065589</c:v>
                </c:pt>
                <c:pt idx="6">
                  <c:v>12695590</c:v>
                </c:pt>
                <c:pt idx="7">
                  <c:v>16187762</c:v>
                </c:pt>
              </c:numCache>
            </c:numRef>
          </c:val>
          <c:smooth val="0"/>
        </c:ser>
        <c:ser>
          <c:idx val="2"/>
          <c:order val="2"/>
          <c:tx>
            <c:v>Asia Pacific</c:v>
          </c:tx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3.5149384885764558E-2"/>
                  <c:y val="3.9045553145336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layout>
                <c:manualLayout>
                  <c:x val="-2.9876977152899862E-2"/>
                  <c:y val="-4.77223427331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'Analysis-General'!$AU$15:$AU$22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'Analysis-General'!$AX$15:$AX$22</c:f>
              <c:numCache>
                <c:formatCode>#,##0</c:formatCode>
                <c:ptCount val="8"/>
                <c:pt idx="0">
                  <c:v>10841203</c:v>
                </c:pt>
                <c:pt idx="1">
                  <c:v>101788962</c:v>
                </c:pt>
                <c:pt idx="2">
                  <c:v>33035879</c:v>
                </c:pt>
                <c:pt idx="3">
                  <c:v>203743925</c:v>
                </c:pt>
                <c:pt idx="4">
                  <c:v>44239887</c:v>
                </c:pt>
                <c:pt idx="5">
                  <c:v>44685569</c:v>
                </c:pt>
                <c:pt idx="6">
                  <c:v>158785666</c:v>
                </c:pt>
                <c:pt idx="7">
                  <c:v>683345671</c:v>
                </c:pt>
              </c:numCache>
            </c:numRef>
          </c:val>
          <c:smooth val="0"/>
        </c:ser>
        <c:ser>
          <c:idx val="3"/>
          <c:order val="3"/>
          <c:tx>
            <c:v>Europe</c:v>
          </c:tx>
          <c:marker>
            <c:symbol val="none"/>
          </c:marker>
          <c:cat>
            <c:numRef>
              <c:f>'Analysis-General'!$AU$15:$AU$22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'Analysis-General'!$AY$15:$AY$22</c:f>
              <c:numCache>
                <c:formatCode>#,##0</c:formatCode>
                <c:ptCount val="8"/>
                <c:pt idx="0">
                  <c:v>6738705</c:v>
                </c:pt>
                <c:pt idx="1">
                  <c:v>3823249</c:v>
                </c:pt>
                <c:pt idx="2">
                  <c:v>2577313</c:v>
                </c:pt>
                <c:pt idx="3">
                  <c:v>2936695</c:v>
                </c:pt>
                <c:pt idx="4">
                  <c:v>754684</c:v>
                </c:pt>
                <c:pt idx="5">
                  <c:v>1395923</c:v>
                </c:pt>
                <c:pt idx="6">
                  <c:v>2323478</c:v>
                </c:pt>
                <c:pt idx="7">
                  <c:v>3015147</c:v>
                </c:pt>
              </c:numCache>
            </c:numRef>
          </c:val>
          <c:smooth val="0"/>
        </c:ser>
        <c:ser>
          <c:idx val="4"/>
          <c:order val="4"/>
          <c:tx>
            <c:v>MENA</c:v>
          </c:tx>
          <c:marker>
            <c:symbol val="none"/>
          </c:marker>
          <c:cat>
            <c:numRef>
              <c:f>'Analysis-General'!$AU$15:$AU$22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'Analysis-General'!$AZ$15:$AZ$22</c:f>
              <c:numCache>
                <c:formatCode>#,##0</c:formatCode>
                <c:ptCount val="8"/>
                <c:pt idx="0">
                  <c:v>9376983</c:v>
                </c:pt>
                <c:pt idx="1">
                  <c:v>689899</c:v>
                </c:pt>
                <c:pt idx="2">
                  <c:v>1413185</c:v>
                </c:pt>
                <c:pt idx="3">
                  <c:v>4849781</c:v>
                </c:pt>
                <c:pt idx="4">
                  <c:v>20137151</c:v>
                </c:pt>
                <c:pt idx="5">
                  <c:v>9630305</c:v>
                </c:pt>
                <c:pt idx="6">
                  <c:v>3807839</c:v>
                </c:pt>
                <c:pt idx="7">
                  <c:v>2583669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94848"/>
        <c:axId val="110496384"/>
      </c:lineChart>
      <c:catAx>
        <c:axId val="1104948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10496384"/>
        <c:crosses val="autoZero"/>
        <c:auto val="1"/>
        <c:lblAlgn val="ctr"/>
        <c:lblOffset val="100"/>
        <c:noMultiLvlLbl val="0"/>
      </c:catAx>
      <c:valAx>
        <c:axId val="110496384"/>
        <c:scaling>
          <c:orientation val="minMax"/>
        </c:scaling>
        <c:delete val="0"/>
        <c:axPos val="r"/>
        <c:majorGridlines/>
        <c:numFmt formatCode="#,##0" sourceLinked="1"/>
        <c:majorTickMark val="out"/>
        <c:minorTickMark val="none"/>
        <c:tickLblPos val="high"/>
        <c:crossAx val="110494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459765024978352"/>
          <c:y val="0.28218081199719958"/>
          <c:w val="0.13453540873707828"/>
          <c:h val="0.43563803439971338"/>
        </c:manualLayout>
      </c:layout>
      <c:overlay val="0"/>
    </c:legend>
    <c:plotVisOnly val="1"/>
    <c:dispBlanksAs val="gap"/>
    <c:showDLblsOverMax val="0"/>
  </c:chart>
  <c:printSettings>
    <c:headerFooter/>
    <c:pageMargins b="1" l="0.750000000000001" r="0.750000000000001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="0"/>
              <a:t>Beneficiaries</a:t>
            </a:r>
            <a:r>
              <a:rPr lang="en-US" sz="1600" b="0" baseline="0"/>
              <a:t> by Zone (3 zones)</a:t>
            </a:r>
          </a:p>
          <a:p>
            <a:pPr>
              <a:defRPr/>
            </a:pPr>
            <a:endParaRPr lang="en-US" sz="1600" b="0"/>
          </a:p>
        </c:rich>
      </c:tx>
      <c:layout>
        <c:manualLayout>
          <c:xMode val="edge"/>
          <c:yMode val="edge"/>
          <c:x val="0.31585735667339099"/>
          <c:y val="3.69609856262834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859504132231388E-2"/>
          <c:y val="0.135557620514827"/>
          <c:w val="0.70580942212732001"/>
          <c:h val="0.76034952152720003"/>
        </c:manualLayout>
      </c:layout>
      <c:lineChart>
        <c:grouping val="standard"/>
        <c:varyColors val="0"/>
        <c:ser>
          <c:idx val="1"/>
          <c:order val="0"/>
          <c:tx>
            <c:v>Americas</c:v>
          </c:tx>
          <c:marker>
            <c:symbol val="none"/>
          </c:marke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4.4526901669758812E-2"/>
                  <c:y val="-7.96812749003991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4935064935064901E-2"/>
                  <c:y val="-3.1872509960159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'Analysis-General'!$AU$28:$AU$35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'Analysis-General'!$AW$28:$AW$35</c:f>
              <c:numCache>
                <c:formatCode>#,##0</c:formatCode>
                <c:ptCount val="8"/>
                <c:pt idx="0">
                  <c:v>194834</c:v>
                </c:pt>
                <c:pt idx="1">
                  <c:v>2976326</c:v>
                </c:pt>
                <c:pt idx="2">
                  <c:v>1278928</c:v>
                </c:pt>
                <c:pt idx="3">
                  <c:v>465450</c:v>
                </c:pt>
                <c:pt idx="4">
                  <c:v>497596</c:v>
                </c:pt>
                <c:pt idx="5">
                  <c:v>422552</c:v>
                </c:pt>
                <c:pt idx="6">
                  <c:v>1111430</c:v>
                </c:pt>
                <c:pt idx="7">
                  <c:v>366105</c:v>
                </c:pt>
              </c:numCache>
            </c:numRef>
          </c:val>
          <c:smooth val="0"/>
        </c:ser>
        <c:ser>
          <c:idx val="3"/>
          <c:order val="1"/>
          <c:tx>
            <c:v>Europe</c:v>
          </c:tx>
          <c:marker>
            <c:symbol val="none"/>
          </c:marker>
          <c:cat>
            <c:numRef>
              <c:f>'Analysis-General'!$AU$28:$AU$35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'Analysis-General'!$AY$28:$AY$35</c:f>
              <c:numCache>
                <c:formatCode>#,##0</c:formatCode>
                <c:ptCount val="8"/>
                <c:pt idx="0">
                  <c:v>79202</c:v>
                </c:pt>
                <c:pt idx="1">
                  <c:v>3125462</c:v>
                </c:pt>
                <c:pt idx="2">
                  <c:v>1029010</c:v>
                </c:pt>
                <c:pt idx="3">
                  <c:v>86931</c:v>
                </c:pt>
                <c:pt idx="4">
                  <c:v>51245</c:v>
                </c:pt>
                <c:pt idx="5">
                  <c:v>89410</c:v>
                </c:pt>
                <c:pt idx="6">
                  <c:v>118139</c:v>
                </c:pt>
                <c:pt idx="7">
                  <c:v>17712</c:v>
                </c:pt>
              </c:numCache>
            </c:numRef>
          </c:val>
          <c:smooth val="0"/>
        </c:ser>
        <c:ser>
          <c:idx val="4"/>
          <c:order val="2"/>
          <c:tx>
            <c:v>MENA</c:v>
          </c:tx>
          <c:marker>
            <c:symbol val="none"/>
          </c:marker>
          <c:dLbls>
            <c:dLbl>
              <c:idx val="0"/>
              <c:layout>
                <c:manualLayout>
                  <c:x val="-3.1539888682745862E-2"/>
                  <c:y val="-4.3824701195219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layout>
                <c:manualLayout>
                  <c:x val="-2.9684601113172605E-2"/>
                  <c:y val="-3.1872509960159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2.0408163265306204E-2"/>
                  <c:y val="-2.3904382470119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delete val="1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'Analysis-General'!$AU$28:$AU$35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'Analysis-General'!$AZ$28:$AZ$35</c:f>
              <c:numCache>
                <c:formatCode>#,##0</c:formatCode>
                <c:ptCount val="8"/>
                <c:pt idx="0">
                  <c:v>452500</c:v>
                </c:pt>
                <c:pt idx="1">
                  <c:v>112076</c:v>
                </c:pt>
                <c:pt idx="2">
                  <c:v>1261900</c:v>
                </c:pt>
                <c:pt idx="3">
                  <c:v>187923</c:v>
                </c:pt>
                <c:pt idx="4">
                  <c:v>606432</c:v>
                </c:pt>
                <c:pt idx="5">
                  <c:v>1079792</c:v>
                </c:pt>
                <c:pt idx="6">
                  <c:v>393715</c:v>
                </c:pt>
                <c:pt idx="7">
                  <c:v>32500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9904"/>
        <c:axId val="110541440"/>
      </c:lineChart>
      <c:catAx>
        <c:axId val="11053990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10541440"/>
        <c:crosses val="autoZero"/>
        <c:auto val="1"/>
        <c:lblAlgn val="ctr"/>
        <c:lblOffset val="100"/>
        <c:noMultiLvlLbl val="0"/>
      </c:catAx>
      <c:valAx>
        <c:axId val="110541440"/>
        <c:scaling>
          <c:orientation val="minMax"/>
        </c:scaling>
        <c:delete val="0"/>
        <c:axPos val="r"/>
        <c:majorGridlines/>
        <c:numFmt formatCode="#,##0" sourceLinked="1"/>
        <c:majorTickMark val="out"/>
        <c:minorTickMark val="none"/>
        <c:tickLblPos val="high"/>
        <c:crossAx val="1105399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" l="0.750000000000001" r="0.75000000000000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Total expenditure per year (CHF) </a:t>
            </a:r>
          </a:p>
        </c:rich>
      </c:tx>
      <c:layout>
        <c:manualLayout>
          <c:xMode val="edge"/>
          <c:yMode val="edge"/>
          <c:x val="0.27459541815267308"/>
          <c:y val="2.8160958954807861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63014986605974"/>
          <c:y val="0.11933822305379226"/>
          <c:w val="0.7938082008513776"/>
          <c:h val="0.784540309981729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Lbls>
            <c:numFmt formatCode="#,##0.0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'Analysis-General'!$F$5:$F$12</c:f>
              <c:numCache>
                <c:formatCode>#,##0</c:formatCode>
                <c:ptCount val="8"/>
                <c:pt idx="0">
                  <c:v>715301961.09999919</c:v>
                </c:pt>
                <c:pt idx="1">
                  <c:v>225819406.82000005</c:v>
                </c:pt>
                <c:pt idx="2">
                  <c:v>85732152</c:v>
                </c:pt>
                <c:pt idx="3">
                  <c:v>124685471.67</c:v>
                </c:pt>
                <c:pt idx="4">
                  <c:v>271956957</c:v>
                </c:pt>
                <c:pt idx="5">
                  <c:v>54995130.139999993</c:v>
                </c:pt>
                <c:pt idx="6">
                  <c:v>305656574.18000001</c:v>
                </c:pt>
                <c:pt idx="7">
                  <c:v>68778362.911599994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25792"/>
        <c:axId val="105827328"/>
      </c:barChart>
      <c:catAx>
        <c:axId val="1058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7328"/>
        <c:crosses val="autoZero"/>
        <c:auto val="1"/>
        <c:lblAlgn val="ctr"/>
        <c:lblOffset val="100"/>
        <c:noMultiLvlLbl val="0"/>
      </c:catAx>
      <c:valAx>
        <c:axId val="10582732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5792"/>
        <c:crosses val="autoZero"/>
        <c:crossBetween val="between"/>
        <c:dispUnits>
          <c:builtInUnit val="millions"/>
          <c:dispUnitsLbl/>
        </c:dispUnits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500" b="0"/>
            </a:pPr>
            <a:r>
              <a:rPr lang="en-US" sz="1500" b="0"/>
              <a:t>CHF per beneficiary by Zone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9969355181953611E-2"/>
          <c:y val="0.14457822980460772"/>
          <c:w val="0.77259471103848065"/>
          <c:h val="0.73326932928564559"/>
        </c:manualLayout>
      </c:layout>
      <c:lineChart>
        <c:grouping val="standard"/>
        <c:varyColors val="0"/>
        <c:ser>
          <c:idx val="0"/>
          <c:order val="0"/>
          <c:tx>
            <c:v>Africa</c:v>
          </c:tx>
          <c:marker>
            <c:symbol val="none"/>
          </c:marker>
          <c:cat>
            <c:numRef>
              <c:f>'Analysis-General'!$BB$28:$BB$35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'Analysis-General'!$BC$28:$BC$35</c:f>
              <c:numCache>
                <c:formatCode>#,##0</c:formatCode>
                <c:ptCount val="8"/>
                <c:pt idx="0">
                  <c:v>2.0639119821317529</c:v>
                </c:pt>
                <c:pt idx="1">
                  <c:v>2.8858679430790941</c:v>
                </c:pt>
                <c:pt idx="2">
                  <c:v>0.37893184875965319</c:v>
                </c:pt>
                <c:pt idx="3">
                  <c:v>1.9857160107603091</c:v>
                </c:pt>
                <c:pt idx="4">
                  <c:v>3.4006949741695096</c:v>
                </c:pt>
                <c:pt idx="5">
                  <c:v>3.823821525296454</c:v>
                </c:pt>
                <c:pt idx="6">
                  <c:v>8.6478886984350805</c:v>
                </c:pt>
                <c:pt idx="7">
                  <c:v>5.7391922915434517</c:v>
                </c:pt>
              </c:numCache>
            </c:numRef>
          </c:val>
          <c:smooth val="0"/>
        </c:ser>
        <c:ser>
          <c:idx val="1"/>
          <c:order val="1"/>
          <c:tx>
            <c:v>Americas</c:v>
          </c:tx>
          <c:marker>
            <c:symbol val="none"/>
          </c:marker>
          <c:dLbls>
            <c:dLbl>
              <c:idx val="1"/>
              <c:layout>
                <c:manualLayout>
                  <c:x val="-1.515151515151532E-2"/>
                  <c:y val="-9.6385542168675661E-3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'Analysis-General'!$BB$28:$BB$35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'Analysis-General'!$BD$28:$BD$35</c:f>
              <c:numCache>
                <c:formatCode>#,##0</c:formatCode>
                <c:ptCount val="8"/>
                <c:pt idx="0">
                  <c:v>16.839273432768408</c:v>
                </c:pt>
                <c:pt idx="1">
                  <c:v>59.203009011781639</c:v>
                </c:pt>
                <c:pt idx="2">
                  <c:v>3.1282933832084372</c:v>
                </c:pt>
                <c:pt idx="3">
                  <c:v>44.642975614996239</c:v>
                </c:pt>
                <c:pt idx="4">
                  <c:v>41.073366747321117</c:v>
                </c:pt>
                <c:pt idx="5">
                  <c:v>9.6215116719362346</c:v>
                </c:pt>
                <c:pt idx="6">
                  <c:v>11.422752669983714</c:v>
                </c:pt>
                <c:pt idx="7">
                  <c:v>44.216172955845998</c:v>
                </c:pt>
              </c:numCache>
            </c:numRef>
          </c:val>
          <c:smooth val="0"/>
        </c:ser>
        <c:ser>
          <c:idx val="2"/>
          <c:order val="2"/>
          <c:tx>
            <c:v>Asia Pacific</c:v>
          </c:tx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5151515151515103E-2"/>
                  <c:y val="-5.78313253012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1.8939393939393902E-2"/>
                  <c:y val="-5.783132530120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727272727272853E-2"/>
                  <c:y val="-2.4096385542168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'Analysis-General'!$BB$28:$BB$35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'Analysis-General'!$BE$28:$BE$35</c:f>
              <c:numCache>
                <c:formatCode>#,##0</c:formatCode>
                <c:ptCount val="8"/>
                <c:pt idx="0">
                  <c:v>1.3473148968032784</c:v>
                </c:pt>
                <c:pt idx="1">
                  <c:v>36.29716049114171</c:v>
                </c:pt>
                <c:pt idx="2">
                  <c:v>14.701888698515832</c:v>
                </c:pt>
                <c:pt idx="3">
                  <c:v>81.755196976713023</c:v>
                </c:pt>
                <c:pt idx="4">
                  <c:v>7.080900454673718</c:v>
                </c:pt>
                <c:pt idx="5">
                  <c:v>50.300118530492057</c:v>
                </c:pt>
                <c:pt idx="6">
                  <c:v>96.134747311707514</c:v>
                </c:pt>
                <c:pt idx="7">
                  <c:v>90.278283862827934</c:v>
                </c:pt>
              </c:numCache>
            </c:numRef>
          </c:val>
          <c:smooth val="0"/>
        </c:ser>
        <c:ser>
          <c:idx val="3"/>
          <c:order val="3"/>
          <c:tx>
            <c:v>Europe</c:v>
          </c:tx>
          <c:marker>
            <c:symbol val="none"/>
          </c:marker>
          <c:cat>
            <c:numRef>
              <c:f>'Analysis-General'!$BB$28:$BB$35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'Analysis-General'!$BF$28:$BF$35</c:f>
              <c:numCache>
                <c:formatCode>#,##0</c:formatCode>
                <c:ptCount val="8"/>
                <c:pt idx="0">
                  <c:v>85.082510542663059</c:v>
                </c:pt>
                <c:pt idx="1">
                  <c:v>1.2232588334140682</c:v>
                </c:pt>
                <c:pt idx="2">
                  <c:v>2.5046530160056752</c:v>
                </c:pt>
                <c:pt idx="3">
                  <c:v>33.781907489848273</c:v>
                </c:pt>
                <c:pt idx="4">
                  <c:v>14.726978241779685</c:v>
                </c:pt>
                <c:pt idx="5">
                  <c:v>15.612604854043171</c:v>
                </c:pt>
                <c:pt idx="6">
                  <c:v>19.667324084341328</c:v>
                </c:pt>
                <c:pt idx="7">
                  <c:v>170.23187669376694</c:v>
                </c:pt>
              </c:numCache>
            </c:numRef>
          </c:val>
          <c:smooth val="0"/>
        </c:ser>
        <c:ser>
          <c:idx val="4"/>
          <c:order val="4"/>
          <c:tx>
            <c:v>MENA</c:v>
          </c:tx>
          <c:marker>
            <c:symbol val="none"/>
          </c:marker>
          <c:cat>
            <c:numRef>
              <c:f>'Analysis-General'!$BB$28:$BB$35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'Analysis-General'!$BG$28:$BG$35</c:f>
              <c:numCache>
                <c:formatCode>#,##0</c:formatCode>
                <c:ptCount val="8"/>
                <c:pt idx="0">
                  <c:v>20.722614364640883</c:v>
                </c:pt>
                <c:pt idx="1">
                  <c:v>6.1556354616510225</c:v>
                </c:pt>
                <c:pt idx="2">
                  <c:v>1.119886678817656</c:v>
                </c:pt>
                <c:pt idx="3">
                  <c:v>25.807277448742305</c:v>
                </c:pt>
                <c:pt idx="4">
                  <c:v>33.205950543506937</c:v>
                </c:pt>
                <c:pt idx="5">
                  <c:v>8.9186667432246214</c:v>
                </c:pt>
                <c:pt idx="6">
                  <c:v>9.6715619166148095</c:v>
                </c:pt>
                <c:pt idx="7">
                  <c:v>79.497507692307693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8800"/>
        <c:axId val="110686976"/>
      </c:lineChart>
      <c:catAx>
        <c:axId val="11066880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10686976"/>
        <c:crosses val="autoZero"/>
        <c:auto val="1"/>
        <c:lblAlgn val="ctr"/>
        <c:lblOffset val="100"/>
        <c:noMultiLvlLbl val="0"/>
      </c:catAx>
      <c:valAx>
        <c:axId val="110686976"/>
        <c:scaling>
          <c:orientation val="minMax"/>
        </c:scaling>
        <c:delete val="0"/>
        <c:axPos val="r"/>
        <c:majorGridlines/>
        <c:numFmt formatCode="#,##0" sourceLinked="1"/>
        <c:majorTickMark val="out"/>
        <c:minorTickMark val="none"/>
        <c:tickLblPos val="high"/>
        <c:crossAx val="11066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46340811172185"/>
          <c:y val="0.25803699838725064"/>
          <c:w val="0.14445738899888722"/>
          <c:h val="0.48392562375486309"/>
        </c:manualLayout>
      </c:layout>
      <c:overlay val="0"/>
    </c:legend>
    <c:plotVisOnly val="1"/>
    <c:dispBlanksAs val="gap"/>
    <c:showDLblsOverMax val="0"/>
  </c:chart>
  <c:printSettings>
    <c:headerFooter/>
    <c:pageMargins b="1" l="0.750000000000001" r="0.750000000000001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Total emergency operations by zone (2004-2011)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3692734608354719E-2"/>
          <c:y val="0.3022486530012593"/>
          <c:w val="0.50695137730057682"/>
          <c:h val="0.5857673076756425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</c:spPr>
          </c:dPt>
          <c:dPt>
            <c:idx val="1"/>
            <c:bubble3D val="0"/>
            <c:spPr>
              <a:solidFill>
                <a:srgbClr val="323ADA"/>
              </a:solidFill>
            </c:spPr>
          </c:dPt>
          <c:dPt>
            <c:idx val="2"/>
            <c:bubble3D val="0"/>
            <c:spPr>
              <a:solidFill>
                <a:srgbClr val="00B050"/>
              </a:solidFill>
            </c:spPr>
          </c:dPt>
          <c:dPt>
            <c:idx val="4"/>
            <c:bubble3D val="0"/>
            <c:spPr>
              <a:solidFill>
                <a:srgbClr val="FF0000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'Analysis-General'!$J$4:$N$4</c:f>
              <c:strCache>
                <c:ptCount val="5"/>
                <c:pt idx="0">
                  <c:v>Africa 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MENA</c:v>
                </c:pt>
              </c:strCache>
            </c:strRef>
          </c:cat>
          <c:val>
            <c:numRef>
              <c:f>'Analysis-General'!$J$13:$N$13</c:f>
              <c:numCache>
                <c:formatCode>General</c:formatCode>
                <c:ptCount val="5"/>
                <c:pt idx="0">
                  <c:v>363</c:v>
                </c:pt>
                <c:pt idx="1">
                  <c:v>155</c:v>
                </c:pt>
                <c:pt idx="2">
                  <c:v>119</c:v>
                </c:pt>
                <c:pt idx="3">
                  <c:v>91</c:v>
                </c:pt>
                <c:pt idx="4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Operations by year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8439523160602078E-2"/>
          <c:y val="0.15359395635011772"/>
          <c:w val="0.85266820542740962"/>
          <c:h val="0.7300799696969253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3.1024934357020448E-2"/>
                  <c:y val="6.0364836148409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'Analysis-General'!$C$5:$C$12</c:f>
              <c:numCache>
                <c:formatCode>General</c:formatCode>
                <c:ptCount val="8"/>
                <c:pt idx="0">
                  <c:v>57</c:v>
                </c:pt>
                <c:pt idx="1">
                  <c:v>94</c:v>
                </c:pt>
                <c:pt idx="2">
                  <c:v>95</c:v>
                </c:pt>
                <c:pt idx="3">
                  <c:v>95</c:v>
                </c:pt>
                <c:pt idx="4">
                  <c:v>101</c:v>
                </c:pt>
                <c:pt idx="5">
                  <c:v>93</c:v>
                </c:pt>
                <c:pt idx="6">
                  <c:v>128</c:v>
                </c:pt>
                <c:pt idx="7">
                  <c:v>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41376"/>
        <c:axId val="110742912"/>
      </c:lineChart>
      <c:catAx>
        <c:axId val="11074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742912"/>
        <c:crosses val="autoZero"/>
        <c:auto val="1"/>
        <c:lblAlgn val="ctr"/>
        <c:lblOffset val="100"/>
        <c:noMultiLvlLbl val="0"/>
      </c:catAx>
      <c:valAx>
        <c:axId val="11074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0741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Beneficiaries by Zone (2004-2011)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3186570428696432E-2"/>
          <c:y val="0.11336689272222475"/>
          <c:w val="0.58294772528433947"/>
          <c:h val="0.8380060989486141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E9BC17"/>
              </a:solidFill>
            </c:spPr>
          </c:dPt>
          <c:dPt>
            <c:idx val="1"/>
            <c:bubble3D val="0"/>
            <c:spPr>
              <a:solidFill>
                <a:srgbClr val="323ADA"/>
              </a:solidFill>
            </c:spPr>
          </c:dPt>
          <c:dPt>
            <c:idx val="2"/>
            <c:bubble3D val="0"/>
            <c:spPr>
              <a:solidFill>
                <a:srgbClr val="00B050"/>
              </a:solidFill>
            </c:spPr>
          </c:dPt>
          <c:dPt>
            <c:idx val="4"/>
            <c:bubble3D val="0"/>
            <c:spPr>
              <a:solidFill>
                <a:srgbClr val="FF0000"/>
              </a:solidFill>
            </c:spPr>
          </c:dPt>
          <c:dLbls>
            <c:dLbl>
              <c:idx val="0"/>
              <c:layout>
                <c:manualLayout>
                  <c:x val="-0.10783180227471566"/>
                  <c:y val="-0.268724045332484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'Analysis-General'!$AV$27:$AZ$27</c:f>
              <c:strCache>
                <c:ptCount val="5"/>
                <c:pt idx="0">
                  <c:v> Africa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Middle East and North Africa</c:v>
                </c:pt>
              </c:strCache>
            </c:strRef>
          </c:cat>
          <c:val>
            <c:numRef>
              <c:f>'Analysis-General'!$AV$36:$AZ$36</c:f>
              <c:numCache>
                <c:formatCode>#,##0</c:formatCode>
                <c:ptCount val="5"/>
                <c:pt idx="0">
                  <c:v>109158279</c:v>
                </c:pt>
                <c:pt idx="1">
                  <c:v>7313221</c:v>
                </c:pt>
                <c:pt idx="2">
                  <c:v>31947200</c:v>
                </c:pt>
                <c:pt idx="3">
                  <c:v>4597111</c:v>
                </c:pt>
                <c:pt idx="4">
                  <c:v>4126838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Beneficiaries</a:t>
            </a:r>
            <a:r>
              <a:rPr lang="en-GB" sz="1600" baseline="0"/>
              <a:t> and</a:t>
            </a:r>
            <a:r>
              <a:rPr lang="en-GB" sz="1600"/>
              <a:t> expenditure by Zone (2004-2011)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3186570428696432E-2"/>
          <c:y val="0.1695849381671293"/>
          <c:w val="0.72976282205577792"/>
          <c:h val="0.74259759096472111"/>
        </c:manualLayout>
      </c:layout>
      <c:barChart>
        <c:barDir val="col"/>
        <c:grouping val="clustered"/>
        <c:varyColors val="0"/>
        <c:ser>
          <c:idx val="2"/>
          <c:order val="0"/>
          <c:tx>
            <c:v>expenditure</c:v>
          </c:tx>
          <c:spPr>
            <a:effectLst>
              <a:outerShdw blurRad="50800" dist="266700" dir="5400000" algn="ctr" rotWithShape="0">
                <a:srgbClr val="000000">
                  <a:alpha val="0"/>
                </a:srgbClr>
              </a:outerShdw>
            </a:effectLst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'Analysis-General'!$J$4:$N$4</c:f>
              <c:strCache>
                <c:ptCount val="5"/>
                <c:pt idx="0">
                  <c:v>Africa 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MENA</c:v>
                </c:pt>
              </c:strCache>
            </c:strRef>
          </c:cat>
          <c:val>
            <c:numRef>
              <c:f>'Analysis-General'!$AV$23:$AZ$23</c:f>
              <c:numCache>
                <c:formatCode>#,##0</c:formatCode>
                <c:ptCount val="5"/>
                <c:pt idx="0">
                  <c:v>238750111</c:v>
                </c:pt>
                <c:pt idx="1">
                  <c:v>257655137</c:v>
                </c:pt>
                <c:pt idx="2">
                  <c:v>1280466762</c:v>
                </c:pt>
                <c:pt idx="3">
                  <c:v>23565194</c:v>
                </c:pt>
                <c:pt idx="4">
                  <c:v>52488812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overlap val="-29"/>
        <c:axId val="110886912"/>
        <c:axId val="110815104"/>
      </c:barChart>
      <c:barChart>
        <c:barDir val="col"/>
        <c:grouping val="clustered"/>
        <c:varyColors val="0"/>
        <c:ser>
          <c:idx val="0"/>
          <c:order val="1"/>
          <c:tx>
            <c:v>beneficiaries</c:v>
          </c:tx>
          <c:spPr>
            <a:solidFill>
              <a:schemeClr val="accent1"/>
            </a:solidFill>
          </c:spPr>
          <c:invertIfNegative val="0"/>
          <c:cat>
            <c:strRef>
              <c:f>'Analysis-General'!$J$4:$N$4</c:f>
              <c:strCache>
                <c:ptCount val="5"/>
                <c:pt idx="0">
                  <c:v>Africa 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MENA</c:v>
                </c:pt>
              </c:strCache>
            </c:strRef>
          </c:cat>
          <c:val>
            <c:numRef>
              <c:f>'Analysis-General'!$AV$36:$AZ$36</c:f>
              <c:numCache>
                <c:formatCode>#,##0</c:formatCode>
                <c:ptCount val="5"/>
                <c:pt idx="0">
                  <c:v>109158279</c:v>
                </c:pt>
                <c:pt idx="1">
                  <c:v>7313221</c:v>
                </c:pt>
                <c:pt idx="2">
                  <c:v>31947200</c:v>
                </c:pt>
                <c:pt idx="3">
                  <c:v>4597111</c:v>
                </c:pt>
                <c:pt idx="4">
                  <c:v>4126838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4"/>
        <c:overlap val="-56"/>
        <c:axId val="110890368"/>
        <c:axId val="110888448"/>
      </c:barChart>
      <c:valAx>
        <c:axId val="11081510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crossAx val="110886912"/>
        <c:crosses val="max"/>
        <c:crossBetween val="between"/>
        <c:dispUnits>
          <c:builtInUnit val="millions"/>
          <c:dispUnitsLbl>
            <c:layout/>
          </c:dispUnitsLbl>
        </c:dispUnits>
      </c:valAx>
      <c:catAx>
        <c:axId val="11088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0815104"/>
        <c:crosses val="autoZero"/>
        <c:auto val="1"/>
        <c:lblAlgn val="ctr"/>
        <c:lblOffset val="100"/>
        <c:noMultiLvlLbl val="0"/>
      </c:catAx>
      <c:valAx>
        <c:axId val="11088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10890368"/>
        <c:crosses val="autoZero"/>
        <c:crossBetween val="between"/>
        <c:dispUnits>
          <c:builtInUnit val="millions"/>
          <c:dispUnitsLbl>
            <c:layout/>
          </c:dispUnitsLbl>
        </c:dispUnits>
      </c:valAx>
      <c:catAx>
        <c:axId val="110890368"/>
        <c:scaling>
          <c:orientation val="minMax"/>
        </c:scaling>
        <c:delete val="1"/>
        <c:axPos val="b"/>
        <c:majorTickMark val="out"/>
        <c:minorTickMark val="none"/>
        <c:tickLblPos val="none"/>
        <c:crossAx val="110888448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 b="1" i="0" baseline="0"/>
              <a:t>Expenditure by Zone (2004-2011)</a:t>
            </a:r>
            <a:endParaRPr lang="en-GB" sz="1600"/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E0A020"/>
              </a:solidFill>
            </c:spPr>
          </c:dPt>
          <c:dPt>
            <c:idx val="1"/>
            <c:bubble3D val="0"/>
            <c:spPr>
              <a:solidFill>
                <a:srgbClr val="202AEC"/>
              </a:solidFill>
            </c:spPr>
          </c:dPt>
          <c:dPt>
            <c:idx val="2"/>
            <c:bubble3D val="0"/>
            <c:spPr>
              <a:solidFill>
                <a:srgbClr val="00B050"/>
              </a:solidFill>
            </c:spPr>
          </c:dPt>
          <c:dPt>
            <c:idx val="4"/>
            <c:bubble3D val="0"/>
            <c:spPr>
              <a:solidFill>
                <a:srgbClr val="FF0000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'Analysis-General'!$AV$14:$AZ$14</c:f>
              <c:strCache>
                <c:ptCount val="5"/>
                <c:pt idx="0">
                  <c:v> Africa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MENA</c:v>
                </c:pt>
              </c:strCache>
            </c:strRef>
          </c:cat>
          <c:val>
            <c:numRef>
              <c:f>'Analysis-General'!$AV$23:$AZ$23</c:f>
              <c:numCache>
                <c:formatCode>#,##0</c:formatCode>
                <c:ptCount val="5"/>
                <c:pt idx="0">
                  <c:v>238750111</c:v>
                </c:pt>
                <c:pt idx="1">
                  <c:v>257655137</c:v>
                </c:pt>
                <c:pt idx="2">
                  <c:v>1280466762</c:v>
                </c:pt>
                <c:pt idx="3">
                  <c:v>23565194</c:v>
                </c:pt>
                <c:pt idx="4">
                  <c:v>52488812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beneficiaries</c:v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'Analysis-General'!$E$5:$E$12</c:f>
              <c:numCache>
                <c:formatCode>#,##0</c:formatCode>
                <c:ptCount val="8"/>
                <c:pt idx="0">
                  <c:v>9757618</c:v>
                </c:pt>
                <c:pt idx="1">
                  <c:v>8849388</c:v>
                </c:pt>
                <c:pt idx="2">
                  <c:v>9267784</c:v>
                </c:pt>
                <c:pt idx="3">
                  <c:v>18905348</c:v>
                </c:pt>
                <c:pt idx="4">
                  <c:v>23198767</c:v>
                </c:pt>
                <c:pt idx="5">
                  <c:v>38774110</c:v>
                </c:pt>
                <c:pt idx="6">
                  <c:v>17039001</c:v>
                </c:pt>
                <c:pt idx="7">
                  <c:v>27446633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66656"/>
        <c:axId val="110968192"/>
      </c:barChart>
      <c:lineChart>
        <c:grouping val="standard"/>
        <c:varyColors val="0"/>
        <c:ser>
          <c:idx val="1"/>
          <c:order val="1"/>
          <c:tx>
            <c:v>expenditure</c:v>
          </c:tx>
          <c:marker>
            <c:symbol val="none"/>
          </c:marker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'Analysis-General'!$F$5:$F$12</c:f>
              <c:numCache>
                <c:formatCode>#,##0</c:formatCode>
                <c:ptCount val="8"/>
                <c:pt idx="0">
                  <c:v>715301961.09999919</c:v>
                </c:pt>
                <c:pt idx="1">
                  <c:v>225819406.82000005</c:v>
                </c:pt>
                <c:pt idx="2">
                  <c:v>85732152</c:v>
                </c:pt>
                <c:pt idx="3">
                  <c:v>124685471.67</c:v>
                </c:pt>
                <c:pt idx="4">
                  <c:v>271956957</c:v>
                </c:pt>
                <c:pt idx="5">
                  <c:v>54995130.139999993</c:v>
                </c:pt>
                <c:pt idx="6">
                  <c:v>305656574.18000001</c:v>
                </c:pt>
                <c:pt idx="7">
                  <c:v>68778362.911599994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76384"/>
        <c:axId val="110974464"/>
      </c:lineChart>
      <c:catAx>
        <c:axId val="11096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968192"/>
        <c:crosses val="autoZero"/>
        <c:auto val="1"/>
        <c:lblAlgn val="ctr"/>
        <c:lblOffset val="100"/>
        <c:noMultiLvlLbl val="0"/>
      </c:catAx>
      <c:valAx>
        <c:axId val="1109681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0966656"/>
        <c:crosses val="autoZero"/>
        <c:crossBetween val="between"/>
        <c:dispUnits>
          <c:builtInUnit val="millions"/>
          <c:dispUnitsLbl>
            <c:layout/>
          </c:dispUnitsLbl>
        </c:dispUnits>
      </c:valAx>
      <c:valAx>
        <c:axId val="11097446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crossAx val="110976384"/>
        <c:crosses val="max"/>
        <c:crossBetween val="between"/>
        <c:dispUnits>
          <c:builtInUnit val="millions"/>
          <c:dispUnitsLbl>
            <c:layout/>
          </c:dispUnitsLbl>
        </c:dispUnits>
      </c:valAx>
      <c:catAx>
        <c:axId val="110976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0974464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 baseline="0"/>
              <a:t> </a:t>
            </a:r>
            <a:r>
              <a:rPr lang="en-GB" sz="1600" b="1" i="0" u="none" strike="noStrike" baseline="0"/>
              <a:t>Annual Average of reached b</a:t>
            </a:r>
            <a:r>
              <a:rPr lang="en-GB" sz="1600" baseline="0"/>
              <a:t>eneficiaries (2004-2011)</a:t>
            </a:r>
            <a:endParaRPr lang="en-GB" sz="1600"/>
          </a:p>
        </c:rich>
      </c:tx>
      <c:layout>
        <c:manualLayout>
          <c:xMode val="edge"/>
          <c:yMode val="edge"/>
          <c:x val="0.13951363331813621"/>
          <c:y val="2.1186440677966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6809375932882866E-2"/>
          <c:y val="0.17531496062992141"/>
          <c:w val="0.78033101106084068"/>
          <c:h val="0.745741521483044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'Analysis-General'!$C$16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711974110032408E-2"/>
                  <c:y val="-2.77777777777781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'Analysis-General'!$C$16:$G$16</c:f>
              <c:strCache>
                <c:ptCount val="5"/>
                <c:pt idx="0">
                  <c:v>Total</c:v>
                </c:pt>
                <c:pt idx="1">
                  <c:v>Health</c:v>
                </c:pt>
                <c:pt idx="2">
                  <c:v>WatSan</c:v>
                </c:pt>
                <c:pt idx="3">
                  <c:v>Water</c:v>
                </c:pt>
                <c:pt idx="4">
                  <c:v>Sanitation</c:v>
                </c:pt>
              </c:strCache>
            </c:strRef>
          </c:cat>
          <c:val>
            <c:numRef>
              <c:f>'Analysis-General'!$C$17</c:f>
              <c:numCache>
                <c:formatCode>#,##0</c:formatCode>
                <c:ptCount val="1"/>
                <c:pt idx="0">
                  <c:v>19154831.125</c:v>
                </c:pt>
              </c:numCache>
            </c:numRef>
          </c:val>
        </c:ser>
        <c:ser>
          <c:idx val="4"/>
          <c:order val="1"/>
          <c:tx>
            <c:v>Health</c:v>
          </c:tx>
          <c:spPr>
            <a:solidFill>
              <a:srgbClr val="8064A2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'Analysis-General'!$D$17</c:f>
              <c:numCache>
                <c:formatCode>#,##0</c:formatCode>
                <c:ptCount val="1"/>
                <c:pt idx="0">
                  <c:v>7486501.875</c:v>
                </c:pt>
              </c:numCache>
            </c:numRef>
          </c:val>
        </c:ser>
        <c:ser>
          <c:idx val="1"/>
          <c:order val="2"/>
          <c:tx>
            <c:strRef>
              <c:f>'Analysis-General'!$E$16</c:f>
              <c:strCache>
                <c:ptCount val="1"/>
                <c:pt idx="0">
                  <c:v>WatSan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2.5889967637540659E-2"/>
                  <c:y val="-9.2592592592593663E-3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'Analysis-General'!$C$16:$G$16</c:f>
              <c:strCache>
                <c:ptCount val="5"/>
                <c:pt idx="0">
                  <c:v>Total</c:v>
                </c:pt>
                <c:pt idx="1">
                  <c:v>Health</c:v>
                </c:pt>
                <c:pt idx="2">
                  <c:v>WatSan</c:v>
                </c:pt>
                <c:pt idx="3">
                  <c:v>Water</c:v>
                </c:pt>
                <c:pt idx="4">
                  <c:v>Sanitation</c:v>
                </c:pt>
              </c:strCache>
            </c:strRef>
          </c:cat>
          <c:val>
            <c:numRef>
              <c:f>'Analysis-General'!$E$17</c:f>
              <c:numCache>
                <c:formatCode>#,##0</c:formatCode>
                <c:ptCount val="1"/>
                <c:pt idx="0">
                  <c:v>1832745.375</c:v>
                </c:pt>
              </c:numCache>
            </c:numRef>
          </c:val>
        </c:ser>
        <c:ser>
          <c:idx val="2"/>
          <c:order val="3"/>
          <c:tx>
            <c:strRef>
              <c:f>'Analysis-General'!$F$16</c:f>
              <c:strCache>
                <c:ptCount val="1"/>
                <c:pt idx="0">
                  <c:v>Water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>
                <c:manualLayout>
                  <c:x val="3.8834951456310801E-2"/>
                  <c:y val="0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'Analysis-General'!$C$16:$G$16</c:f>
              <c:strCache>
                <c:ptCount val="5"/>
                <c:pt idx="0">
                  <c:v>Total</c:v>
                </c:pt>
                <c:pt idx="1">
                  <c:v>Health</c:v>
                </c:pt>
                <c:pt idx="2">
                  <c:v>WatSan</c:v>
                </c:pt>
                <c:pt idx="3">
                  <c:v>Water</c:v>
                </c:pt>
                <c:pt idx="4">
                  <c:v>Sanitation</c:v>
                </c:pt>
              </c:strCache>
            </c:strRef>
          </c:cat>
          <c:val>
            <c:numRef>
              <c:f>'Analysis-General'!$F$17</c:f>
              <c:numCache>
                <c:formatCode>#,##0</c:formatCode>
                <c:ptCount val="1"/>
                <c:pt idx="0">
                  <c:v>1694991.25</c:v>
                </c:pt>
              </c:numCache>
            </c:numRef>
          </c:val>
        </c:ser>
        <c:ser>
          <c:idx val="3"/>
          <c:order val="4"/>
          <c:tx>
            <c:strRef>
              <c:f>'Analysis-General'!$G$16</c:f>
              <c:strCache>
                <c:ptCount val="1"/>
                <c:pt idx="0">
                  <c:v>Sanitation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4.1423948220064413E-2"/>
                  <c:y val="0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'Analysis-General'!$C$16:$G$16</c:f>
              <c:strCache>
                <c:ptCount val="5"/>
                <c:pt idx="0">
                  <c:v>Total</c:v>
                </c:pt>
                <c:pt idx="1">
                  <c:v>Health</c:v>
                </c:pt>
                <c:pt idx="2">
                  <c:v>WatSan</c:v>
                </c:pt>
                <c:pt idx="3">
                  <c:v>Water</c:v>
                </c:pt>
                <c:pt idx="4">
                  <c:v>Sanitation</c:v>
                </c:pt>
              </c:strCache>
            </c:strRef>
          </c:cat>
          <c:val>
            <c:numRef>
              <c:f>'Analysis-General'!$G$17</c:f>
              <c:numCache>
                <c:formatCode>#,##0</c:formatCode>
                <c:ptCount val="1"/>
                <c:pt idx="0">
                  <c:v>530243.875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036288"/>
        <c:axId val="111037824"/>
      </c:barChart>
      <c:catAx>
        <c:axId val="111036288"/>
        <c:scaling>
          <c:orientation val="minMax"/>
        </c:scaling>
        <c:delete val="1"/>
        <c:axPos val="l"/>
        <c:majorTickMark val="out"/>
        <c:minorTickMark val="none"/>
        <c:tickLblPos val="none"/>
        <c:crossAx val="111037824"/>
        <c:crosses val="autoZero"/>
        <c:auto val="1"/>
        <c:lblAlgn val="ctr"/>
        <c:lblOffset val="100"/>
        <c:noMultiLvlLbl val="0"/>
      </c:catAx>
      <c:valAx>
        <c:axId val="111037824"/>
        <c:scaling>
          <c:orientation val="minMax"/>
        </c:scaling>
        <c:delete val="0"/>
        <c:axPos val="b"/>
        <c:majorGridlines/>
        <c:numFmt formatCode="#,##0" sourceLinked="1"/>
        <c:majorTickMark val="in"/>
        <c:minorTickMark val="none"/>
        <c:tickLblPos val="nextTo"/>
        <c:crossAx val="1110362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11" l="0.70000000000000262" r="0.70000000000000262" t="0.7500000000000031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Annual average of expenditure, CHF (2004-2011)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BBB59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4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'Analysis-General'!$C$16:$E$16</c:f>
              <c:strCache>
                <c:ptCount val="3"/>
                <c:pt idx="0">
                  <c:v>Total</c:v>
                </c:pt>
                <c:pt idx="1">
                  <c:v>Health</c:v>
                </c:pt>
                <c:pt idx="2">
                  <c:v>WatSan</c:v>
                </c:pt>
              </c:strCache>
            </c:strRef>
          </c:cat>
          <c:val>
            <c:numRef>
              <c:f>'Analysis-General'!$C$18:$E$18</c:f>
              <c:numCache>
                <c:formatCode>#,##0</c:formatCode>
                <c:ptCount val="3"/>
                <c:pt idx="0">
                  <c:v>231615751.97769994</c:v>
                </c:pt>
                <c:pt idx="1">
                  <c:v>14513593.3825</c:v>
                </c:pt>
                <c:pt idx="2">
                  <c:v>17590819.26125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067904"/>
        <c:axId val="111069440"/>
      </c:barChart>
      <c:catAx>
        <c:axId val="111067904"/>
        <c:scaling>
          <c:orientation val="minMax"/>
        </c:scaling>
        <c:delete val="0"/>
        <c:axPos val="l"/>
        <c:majorTickMark val="out"/>
        <c:minorTickMark val="none"/>
        <c:tickLblPos val="nextTo"/>
        <c:crossAx val="111069440"/>
        <c:crosses val="autoZero"/>
        <c:auto val="1"/>
        <c:lblAlgn val="ctr"/>
        <c:lblOffset val="100"/>
        <c:noMultiLvlLbl val="0"/>
      </c:catAx>
      <c:valAx>
        <c:axId val="111069440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crossAx val="1110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 b="1" i="0" baseline="0"/>
              <a:t>Expenditure by Zone (2005-2011)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E0A020"/>
              </a:solidFill>
            </c:spPr>
          </c:dPt>
          <c:dPt>
            <c:idx val="1"/>
            <c:bubble3D val="0"/>
            <c:spPr>
              <a:solidFill>
                <a:srgbClr val="323ADA"/>
              </a:solidFill>
            </c:spPr>
          </c:dPt>
          <c:dPt>
            <c:idx val="2"/>
            <c:bubble3D val="0"/>
            <c:spPr>
              <a:solidFill>
                <a:srgbClr val="00B050"/>
              </a:solidFill>
            </c:spPr>
          </c:dPt>
          <c:dPt>
            <c:idx val="4"/>
            <c:bubble3D val="0"/>
            <c:spPr>
              <a:solidFill>
                <a:srgbClr val="FF0000"/>
              </a:solidFill>
            </c:spPr>
          </c:dPt>
          <c:dLbls>
            <c:numFmt formatCode="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'Analysis-General'!$AV$14:$AZ$14</c:f>
              <c:strCache>
                <c:ptCount val="5"/>
                <c:pt idx="0">
                  <c:v> Africa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MENA</c:v>
                </c:pt>
              </c:strCache>
            </c:strRef>
          </c:cat>
          <c:val>
            <c:numRef>
              <c:f>'Analysis-General'!$AV$24:$AZ$24</c:f>
              <c:numCache>
                <c:formatCode>#,##0</c:formatCode>
                <c:ptCount val="5"/>
                <c:pt idx="0">
                  <c:v>228580400</c:v>
                </c:pt>
                <c:pt idx="1">
                  <c:v>241467375</c:v>
                </c:pt>
                <c:pt idx="2">
                  <c:v>597121091</c:v>
                </c:pt>
                <c:pt idx="3">
                  <c:v>20550047</c:v>
                </c:pt>
                <c:pt idx="4">
                  <c:v>49905143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Expenditure/beneficiary balance (CHF per beneficiary)</a:t>
            </a:r>
          </a:p>
        </c:rich>
      </c:tx>
      <c:layout>
        <c:manualLayout>
          <c:xMode val="edge"/>
          <c:yMode val="edge"/>
          <c:x val="0.15855550280747244"/>
          <c:y val="2.7777929142940212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5925862088186E-2"/>
          <c:y val="0.14064258023351517"/>
          <c:w val="0.89676915768198162"/>
          <c:h val="0.74607626990705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'Analysis-General'!$G$5:$G$12</c:f>
              <c:numCache>
                <c:formatCode>#,##0</c:formatCode>
                <c:ptCount val="8"/>
                <c:pt idx="0">
                  <c:v>73.307026479208261</c:v>
                </c:pt>
                <c:pt idx="1">
                  <c:v>25.51808179503487</c:v>
                </c:pt>
                <c:pt idx="2">
                  <c:v>9.2505556883932556</c:v>
                </c:pt>
                <c:pt idx="3">
                  <c:v>6.5952486920632198</c:v>
                </c:pt>
                <c:pt idx="4">
                  <c:v>11.722905661322432</c:v>
                </c:pt>
                <c:pt idx="5">
                  <c:v>1.4183466787503309</c:v>
                </c:pt>
                <c:pt idx="6">
                  <c:v>17.938644066045892</c:v>
                </c:pt>
                <c:pt idx="7">
                  <c:v>2.5058943627657349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52288"/>
        <c:axId val="105874560"/>
      </c:barChart>
      <c:catAx>
        <c:axId val="1058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74560"/>
        <c:crosses val="autoZero"/>
        <c:auto val="1"/>
        <c:lblAlgn val="ctr"/>
        <c:lblOffset val="100"/>
        <c:noMultiLvlLbl val="0"/>
      </c:catAx>
      <c:valAx>
        <c:axId val="10587456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522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baseline="0"/>
              <a:t>Beneficiaries by Zone without DREFs (2004-2011)</a:t>
            </a:r>
            <a:endParaRPr lang="en-GB"/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E0A020"/>
              </a:solidFill>
            </c:spPr>
          </c:dPt>
          <c:dPt>
            <c:idx val="1"/>
            <c:bubble3D val="0"/>
            <c:spPr>
              <a:solidFill>
                <a:srgbClr val="202AEC"/>
              </a:solidFill>
            </c:spPr>
          </c:dPt>
          <c:dPt>
            <c:idx val="2"/>
            <c:bubble3D val="0"/>
            <c:spPr>
              <a:solidFill>
                <a:srgbClr val="00B050"/>
              </a:solidFill>
            </c:spPr>
          </c:dPt>
          <c:dPt>
            <c:idx val="4"/>
            <c:bubble3D val="0"/>
            <c:spPr>
              <a:solidFill>
                <a:srgbClr val="FF0000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'Analysis-General'!$AV$27:$AZ$27</c:f>
              <c:strCache>
                <c:ptCount val="5"/>
                <c:pt idx="0">
                  <c:v> Africa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Middle East and North Africa</c:v>
                </c:pt>
              </c:strCache>
            </c:strRef>
          </c:cat>
          <c:val>
            <c:numRef>
              <c:f>'Analysis-General'!$AV$37:$AZ$37</c:f>
              <c:numCache>
                <c:formatCode>General</c:formatCode>
                <c:ptCount val="5"/>
                <c:pt idx="0">
                  <c:v>45135424</c:v>
                </c:pt>
                <c:pt idx="1">
                  <c:v>4995195</c:v>
                </c:pt>
                <c:pt idx="2">
                  <c:v>29631790</c:v>
                </c:pt>
                <c:pt idx="3">
                  <c:v>323394</c:v>
                </c:pt>
                <c:pt idx="4">
                  <c:v>3016315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/>
              <a:t>Beneficiaries and expenditure by Zone (2005-2011 and without DREFs)</a:t>
            </a:r>
            <a:endParaRPr lang="en-GB" sz="1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beneficiaries without DREFs</c:v>
          </c:tx>
          <c:invertIfNegative val="0"/>
          <c:cat>
            <c:strRef>
              <c:f>'Analysis-General'!$AV$27:$AZ$27</c:f>
              <c:strCache>
                <c:ptCount val="5"/>
                <c:pt idx="0">
                  <c:v> Africa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Middle East and North Africa</c:v>
                </c:pt>
              </c:strCache>
            </c:strRef>
          </c:cat>
          <c:val>
            <c:numRef>
              <c:f>'Analysis-General'!$AV$37:$AZ$37</c:f>
              <c:numCache>
                <c:formatCode>General</c:formatCode>
                <c:ptCount val="5"/>
                <c:pt idx="0">
                  <c:v>45135424</c:v>
                </c:pt>
                <c:pt idx="1">
                  <c:v>4995195</c:v>
                </c:pt>
                <c:pt idx="2">
                  <c:v>29631790</c:v>
                </c:pt>
                <c:pt idx="3">
                  <c:v>323394</c:v>
                </c:pt>
                <c:pt idx="4">
                  <c:v>3016315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axId val="111232128"/>
        <c:axId val="111233664"/>
      </c:barChart>
      <c:barChart>
        <c:barDir val="col"/>
        <c:grouping val="clustered"/>
        <c:varyColors val="0"/>
        <c:ser>
          <c:idx val="1"/>
          <c:order val="1"/>
          <c:tx>
            <c:v>expenditure (2005-2011)</c:v>
          </c:tx>
          <c:spPr>
            <a:solidFill>
              <a:schemeClr val="accent3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'Analysis-General'!$AV$24:$AZ$24</c:f>
              <c:numCache>
                <c:formatCode>#,##0</c:formatCode>
                <c:ptCount val="5"/>
                <c:pt idx="0">
                  <c:v>228580400</c:v>
                </c:pt>
                <c:pt idx="1">
                  <c:v>241467375</c:v>
                </c:pt>
                <c:pt idx="2">
                  <c:v>597121091</c:v>
                </c:pt>
                <c:pt idx="3">
                  <c:v>20550047</c:v>
                </c:pt>
                <c:pt idx="4">
                  <c:v>49905143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11254144"/>
        <c:axId val="111252224"/>
      </c:barChart>
      <c:catAx>
        <c:axId val="11123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1233664"/>
        <c:crosses val="autoZero"/>
        <c:auto val="1"/>
        <c:lblAlgn val="ctr"/>
        <c:lblOffset val="100"/>
        <c:noMultiLvlLbl val="0"/>
      </c:catAx>
      <c:valAx>
        <c:axId val="111233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1232128"/>
        <c:crosses val="autoZero"/>
        <c:crossBetween val="between"/>
        <c:dispUnits>
          <c:builtInUnit val="millions"/>
          <c:dispUnitsLbl/>
        </c:dispUnits>
      </c:valAx>
      <c:valAx>
        <c:axId val="11125222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crossAx val="111254144"/>
        <c:crosses val="max"/>
        <c:crossBetween val="between"/>
        <c:dispUnits>
          <c:builtInUnit val="millions"/>
          <c:dispUnitsLbl/>
        </c:dispUnits>
      </c:valAx>
      <c:catAx>
        <c:axId val="111254144"/>
        <c:scaling>
          <c:orientation val="minMax"/>
        </c:scaling>
        <c:delete val="1"/>
        <c:axPos val="b"/>
        <c:majorTickMark val="out"/>
        <c:minorTickMark val="none"/>
        <c:tickLblPos val="none"/>
        <c:crossAx val="11125222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Beneficiaries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'Analysis- Scale'!$B$5</c:f>
              <c:strCache>
                <c:ptCount val="1"/>
                <c:pt idx="0">
                  <c:v>Q1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numRef>
              <c:f>'Analysis- Scale'!$C$4:$E$4</c:f>
              <c:numCache>
                <c:formatCode>General</c:formatCode>
                <c:ptCount val="3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</c:numCache>
            </c:numRef>
          </c:cat>
          <c:val>
            <c:numRef>
              <c:f>'Analysis- Scale'!$C$5:$E$5</c:f>
              <c:numCache>
                <c:formatCode>General</c:formatCode>
                <c:ptCount val="3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'Analysis- Scale'!$B$6</c:f>
              <c:strCache>
                <c:ptCount val="1"/>
                <c:pt idx="0">
                  <c:v>Min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C0504D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numRef>
              <c:f>'Analysis- Scale'!$C$4:$E$4</c:f>
              <c:numCache>
                <c:formatCode>General</c:formatCode>
                <c:ptCount val="3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</c:numCache>
            </c:numRef>
          </c:cat>
          <c:val>
            <c:numRef>
              <c:f>'Analysis- Scale'!$C$6:$E$6</c:f>
              <c:numCache>
                <c:formatCode>General</c:formatCode>
                <c:ptCount val="3"/>
                <c:pt idx="0">
                  <c:v>395</c:v>
                </c:pt>
                <c:pt idx="1">
                  <c:v>177</c:v>
                </c:pt>
                <c:pt idx="2">
                  <c:v>800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'Analysis- Scale'!$B$7</c:f>
              <c:strCache>
                <c:ptCount val="1"/>
                <c:pt idx="0">
                  <c:v>Median 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9BBB59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numRef>
              <c:f>'Analysis- Scale'!$C$4:$E$4</c:f>
              <c:numCache>
                <c:formatCode>General</c:formatCode>
                <c:ptCount val="3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</c:numCache>
            </c:numRef>
          </c:cat>
          <c:val>
            <c:numRef>
              <c:f>'Analysis- Scale'!$C$7:$E$7</c:f>
              <c:numCache>
                <c:formatCode>General</c:formatCode>
                <c:ptCount val="3"/>
                <c:pt idx="0">
                  <c:v>15000</c:v>
                </c:pt>
                <c:pt idx="1">
                  <c:v>12725</c:v>
                </c:pt>
                <c:pt idx="2">
                  <c:v>17706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'Analysis- Scale'!$B$8</c:f>
              <c:strCache>
                <c:ptCount val="1"/>
                <c:pt idx="0">
                  <c:v>Max 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8064A2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numRef>
              <c:f>'Analysis- Scale'!$C$4:$E$4</c:f>
              <c:numCache>
                <c:formatCode>General</c:formatCode>
                <c:ptCount val="3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</c:numCache>
            </c:numRef>
          </c:cat>
          <c:val>
            <c:numRef>
              <c:f>'Analysis- Scale'!$C$8:$E$8</c:f>
              <c:numCache>
                <c:formatCode>General</c:formatCode>
                <c:ptCount val="3"/>
                <c:pt idx="0">
                  <c:v>7300000</c:v>
                </c:pt>
                <c:pt idx="1">
                  <c:v>3000000</c:v>
                </c:pt>
                <c:pt idx="2">
                  <c:v>25000000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'Analysis- Scale'!$B$9</c:f>
              <c:strCache>
                <c:ptCount val="1"/>
                <c:pt idx="0">
                  <c:v>Q3 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4BACC6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numRef>
              <c:f>'Analysis- Scale'!$C$4:$E$4</c:f>
              <c:numCache>
                <c:formatCode>General</c:formatCode>
                <c:ptCount val="3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</c:numCache>
            </c:numRef>
          </c:cat>
          <c:val>
            <c:numRef>
              <c:f>'Analysis- Scale'!$C$9:$E$9</c:f>
              <c:numCache>
                <c:formatCode>General</c:formatCode>
                <c:ptCount val="3"/>
                <c:pt idx="0">
                  <c:v>101205</c:v>
                </c:pt>
                <c:pt idx="1">
                  <c:v>49136.75</c:v>
                </c:pt>
                <c:pt idx="2">
                  <c:v>71250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175">
              <a:solidFill>
                <a:srgbClr val="000000"/>
              </a:solidFill>
              <a:prstDash val="solid"/>
            </a:ln>
          </c:spPr>
        </c:hiLowLines>
        <c:upDownBars>
          <c:gapWidth val="150"/>
          <c:upBars>
            <c:spPr>
              <a:solidFill>
                <a:srgbClr val="F9F9F9"/>
              </a:solidFill>
              <a:ln w="3175">
                <a:solidFill>
                  <a:srgbClr val="000000"/>
                </a:solidFill>
                <a:prstDash val="solid"/>
              </a:ln>
            </c:spPr>
          </c:upBars>
          <c:downBars>
            <c:spPr>
              <a:solidFill>
                <a:srgbClr val="3F3F3F"/>
              </a:solidFill>
              <a:ln w="3175">
                <a:solidFill>
                  <a:srgbClr val="000000"/>
                </a:solidFill>
                <a:prstDash val="solid"/>
              </a:ln>
            </c:spPr>
          </c:downBars>
        </c:upDownBars>
        <c:marker val="1"/>
        <c:smooth val="0"/>
        <c:axId val="97766784"/>
        <c:axId val="101131392"/>
      </c:lineChart>
      <c:catAx>
        <c:axId val="977667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31392"/>
        <c:crosses val="autoZero"/>
        <c:auto val="1"/>
        <c:lblAlgn val="ctr"/>
        <c:lblOffset val="100"/>
        <c:noMultiLvlLbl val="0"/>
      </c:catAx>
      <c:valAx>
        <c:axId val="101131392"/>
        <c:scaling>
          <c:logBase val="10"/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667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144157613210088"/>
          <c:y val="0.50310621389044596"/>
          <c:w val="0.14406790923286425"/>
          <c:h val="0.416149776943516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6823846063828021"/>
          <c:y val="2.1142868952404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Appeals by bene. Interval 2011</c:v>
          </c:tx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572A7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AA4643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89A54E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71588F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'Analysis- Scale'!$B$23:$B$26</c:f>
              <c:strCache>
                <c:ptCount val="4"/>
                <c:pt idx="0">
                  <c:v>≤5000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 Scale'!$J$23:$J$26</c:f>
              <c:numCache>
                <c:formatCode>General</c:formatCode>
                <c:ptCount val="4"/>
                <c:pt idx="0">
                  <c:v>28</c:v>
                </c:pt>
                <c:pt idx="1">
                  <c:v>19</c:v>
                </c:pt>
                <c:pt idx="2">
                  <c:v>22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24217195780514"/>
          <c:y val="0.60236220472440749"/>
          <c:w val="0.19320639060244932"/>
          <c:h val="0.3464566929133873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389" l="0.70000000000000262" r="0.70000000000000262" t="0.750000000000003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Appeals by group beneficiary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&lt; 5.000</c:v>
          </c:tx>
          <c:marker>
            <c:symbol val="none"/>
          </c:marker>
          <c:cat>
            <c:numRef>
              <c:f>'Analysis- Scale'!$H$22:$J$22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'Analysis- Scale'!$H$23:$J$23</c:f>
              <c:numCache>
                <c:formatCode>General</c:formatCode>
                <c:ptCount val="3"/>
                <c:pt idx="0">
                  <c:v>30</c:v>
                </c:pt>
                <c:pt idx="1">
                  <c:v>34</c:v>
                </c:pt>
                <c:pt idx="2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]5.000,10.000]</c:v>
          </c:tx>
          <c:marker>
            <c:symbol val="none"/>
          </c:marker>
          <c:cat>
            <c:numRef>
              <c:f>'Analysis- Scale'!$H$22:$J$22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'Analysis- Scale'!$H$24:$J$24</c:f>
              <c:numCache>
                <c:formatCode>General</c:formatCode>
                <c:ptCount val="3"/>
                <c:pt idx="0">
                  <c:v>11</c:v>
                </c:pt>
                <c:pt idx="1">
                  <c:v>21</c:v>
                </c:pt>
                <c:pt idx="2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]10.000,50.000]</c:v>
          </c:tx>
          <c:marker>
            <c:symbol val="none"/>
          </c:marker>
          <c:cat>
            <c:numRef>
              <c:f>'Analysis- Scale'!$H$22:$J$22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'Analysis- Scale'!$H$25:$J$25</c:f>
              <c:numCache>
                <c:formatCode>General</c:formatCode>
                <c:ptCount val="3"/>
                <c:pt idx="0">
                  <c:v>27</c:v>
                </c:pt>
                <c:pt idx="1">
                  <c:v>42</c:v>
                </c:pt>
                <c:pt idx="2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&gt; 50.000</c:v>
          </c:tx>
          <c:marker>
            <c:symbol val="none"/>
          </c:marker>
          <c:cat>
            <c:numRef>
              <c:f>'Analysis- Scale'!$H$22:$J$22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'Analysis- Scale'!$H$26:$J$26</c:f>
              <c:numCache>
                <c:formatCode>General</c:formatCode>
                <c:ptCount val="3"/>
                <c:pt idx="0">
                  <c:v>27</c:v>
                </c:pt>
                <c:pt idx="1">
                  <c:v>28</c:v>
                </c:pt>
                <c:pt idx="2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27168"/>
        <c:axId val="107128704"/>
      </c:lineChart>
      <c:catAx>
        <c:axId val="1071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128704"/>
        <c:crosses val="autoZero"/>
        <c:auto val="1"/>
        <c:lblAlgn val="ctr"/>
        <c:lblOffset val="100"/>
        <c:noMultiLvlLbl val="0"/>
      </c:catAx>
      <c:valAx>
        <c:axId val="10712870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1271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2360674159139502"/>
          <c:y val="0.37039497624214701"/>
          <c:w val="0.17639319448558943"/>
          <c:h val="0.341941185097723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0" i="0" baseline="0"/>
              <a:t>Number of appeals by group of beneficiary per year</a:t>
            </a:r>
            <a:endParaRPr lang="en-GB"/>
          </a:p>
        </c:rich>
      </c:tx>
      <c:layout>
        <c:manualLayout>
          <c:xMode val="edge"/>
          <c:yMode val="edge"/>
          <c:x val="0.127542024899857"/>
          <c:y val="2.275926521622656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&lt;5.000</c:v>
          </c:tx>
          <c:invertIfNegative val="0"/>
          <c:cat>
            <c:numRef>
              <c:f>'Analysis- Scale'!$C$22:$J$22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 Scale'!$C$23:$J$23</c:f>
              <c:numCache>
                <c:formatCode>General</c:formatCode>
                <c:ptCount val="8"/>
                <c:pt idx="0">
                  <c:v>15</c:v>
                </c:pt>
                <c:pt idx="1">
                  <c:v>22</c:v>
                </c:pt>
                <c:pt idx="2">
                  <c:v>23</c:v>
                </c:pt>
                <c:pt idx="3">
                  <c:v>33</c:v>
                </c:pt>
                <c:pt idx="4">
                  <c:v>28</c:v>
                </c:pt>
                <c:pt idx="5">
                  <c:v>30</c:v>
                </c:pt>
                <c:pt idx="6">
                  <c:v>34</c:v>
                </c:pt>
                <c:pt idx="7">
                  <c:v>28</c:v>
                </c:pt>
              </c:numCache>
            </c:numRef>
          </c:val>
        </c:ser>
        <c:ser>
          <c:idx val="1"/>
          <c:order val="1"/>
          <c:tx>
            <c:v>&gt;5.000,10.000</c:v>
          </c:tx>
          <c:invertIfNegative val="0"/>
          <c:cat>
            <c:numRef>
              <c:f>'Analysis- Scale'!$C$22:$J$22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 Scale'!$C$24:$J$24</c:f>
              <c:numCache>
                <c:formatCode>General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12</c:v>
                </c:pt>
                <c:pt idx="3">
                  <c:v>8</c:v>
                </c:pt>
                <c:pt idx="4">
                  <c:v>18</c:v>
                </c:pt>
                <c:pt idx="5">
                  <c:v>11</c:v>
                </c:pt>
                <c:pt idx="6">
                  <c:v>21</c:v>
                </c:pt>
                <c:pt idx="7">
                  <c:v>19</c:v>
                </c:pt>
              </c:numCache>
            </c:numRef>
          </c:val>
        </c:ser>
        <c:ser>
          <c:idx val="2"/>
          <c:order val="2"/>
          <c:tx>
            <c:v>&gt;10.000,50.000</c:v>
          </c:tx>
          <c:invertIfNegative val="0"/>
          <c:cat>
            <c:numRef>
              <c:f>'Analysis- Scale'!$C$22:$J$22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 Scale'!$C$25:$J$25</c:f>
              <c:numCache>
                <c:formatCode>General</c:formatCode>
                <c:ptCount val="8"/>
                <c:pt idx="0">
                  <c:v>16</c:v>
                </c:pt>
                <c:pt idx="1">
                  <c:v>18</c:v>
                </c:pt>
                <c:pt idx="2">
                  <c:v>27</c:v>
                </c:pt>
                <c:pt idx="3">
                  <c:v>31</c:v>
                </c:pt>
                <c:pt idx="4">
                  <c:v>24</c:v>
                </c:pt>
                <c:pt idx="5">
                  <c:v>27</c:v>
                </c:pt>
                <c:pt idx="6">
                  <c:v>42</c:v>
                </c:pt>
                <c:pt idx="7">
                  <c:v>22</c:v>
                </c:pt>
              </c:numCache>
            </c:numRef>
          </c:val>
        </c:ser>
        <c:ser>
          <c:idx val="3"/>
          <c:order val="3"/>
          <c:tx>
            <c:v>&gt;50.000</c:v>
          </c:tx>
          <c:invertIfNegative val="0"/>
          <c:cat>
            <c:numRef>
              <c:f>'Analysis- Scale'!$C$22:$J$22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 Scale'!$C$26:$J$26</c:f>
              <c:numCache>
                <c:formatCode>General</c:formatCode>
                <c:ptCount val="8"/>
                <c:pt idx="0">
                  <c:v>12</c:v>
                </c:pt>
                <c:pt idx="1">
                  <c:v>18</c:v>
                </c:pt>
                <c:pt idx="2">
                  <c:v>26</c:v>
                </c:pt>
                <c:pt idx="3">
                  <c:v>32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992640"/>
        <c:axId val="112994176"/>
      </c:barChart>
      <c:catAx>
        <c:axId val="1129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2994176"/>
        <c:crosses val="autoZero"/>
        <c:auto val="1"/>
        <c:lblAlgn val="ctr"/>
        <c:lblOffset val="100"/>
        <c:noMultiLvlLbl val="0"/>
      </c:catAx>
      <c:valAx>
        <c:axId val="1129941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12992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262" r="0.70000000000000262" t="0.75000000000000289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1" i="0" baseline="0">
                <a:effectLst/>
              </a:rPr>
              <a:t>Average CHF per beneficiary, per interval 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1303906269351795"/>
          <c:y val="6.086220660642485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average (2004-2011)</c:v>
          </c:tx>
          <c:marker>
            <c:symbol val="none"/>
          </c:marker>
          <c:cat>
            <c:strRef>
              <c:f>'Analysis- Scale'!$J$52:$M$52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 Scale'!$J$61:$M$61</c:f>
              <c:numCache>
                <c:formatCode>General</c:formatCode>
                <c:ptCount val="4"/>
                <c:pt idx="0">
                  <c:v>64.375</c:v>
                </c:pt>
                <c:pt idx="1">
                  <c:v>31.625</c:v>
                </c:pt>
                <c:pt idx="2">
                  <c:v>24.25</c:v>
                </c:pt>
                <c:pt idx="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22848"/>
        <c:axId val="113024384"/>
      </c:lineChart>
      <c:catAx>
        <c:axId val="113022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13024384"/>
        <c:crosses val="autoZero"/>
        <c:auto val="1"/>
        <c:lblAlgn val="ctr"/>
        <c:lblOffset val="100"/>
        <c:noMultiLvlLbl val="0"/>
      </c:catAx>
      <c:valAx>
        <c:axId val="113024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3022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000000000000211" r="0.75000000000000211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400" b="0"/>
              <a:t>Percentage </a:t>
            </a:r>
            <a:r>
              <a:rPr lang="en-GB" sz="1400" b="0" i="0" u="none" strike="noStrike" baseline="0"/>
              <a:t>of appeals by group of beneficiary per year</a:t>
            </a:r>
            <a:endParaRPr lang="en-GB" sz="1400" b="0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'Analysis- Scale'!$B$23</c:f>
              <c:strCache>
                <c:ptCount val="1"/>
                <c:pt idx="0">
                  <c:v>≤5000</c:v>
                </c:pt>
              </c:strCache>
            </c:strRef>
          </c:tx>
          <c:invertIfNegative val="0"/>
          <c:cat>
            <c:numRef>
              <c:f>'Analysis- Scale'!$K$22:$R$22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 Scale'!$K$23:$R$23</c:f>
              <c:numCache>
                <c:formatCode>General</c:formatCode>
                <c:ptCount val="8"/>
                <c:pt idx="0">
                  <c:v>0.26315789473684209</c:v>
                </c:pt>
                <c:pt idx="1">
                  <c:v>0.23404255319148937</c:v>
                </c:pt>
                <c:pt idx="2">
                  <c:v>0.24210526315789474</c:v>
                </c:pt>
                <c:pt idx="3">
                  <c:v>0.3473684210526316</c:v>
                </c:pt>
                <c:pt idx="4">
                  <c:v>0.27722772277227725</c:v>
                </c:pt>
                <c:pt idx="5">
                  <c:v>0.32258064516129031</c:v>
                </c:pt>
                <c:pt idx="6">
                  <c:v>0.265625</c:v>
                </c:pt>
                <c:pt idx="7">
                  <c:v>0.25225225225225223</c:v>
                </c:pt>
              </c:numCache>
            </c:numRef>
          </c:val>
        </c:ser>
        <c:ser>
          <c:idx val="1"/>
          <c:order val="1"/>
          <c:tx>
            <c:strRef>
              <c:f>'Analysis- Scale'!$B$24</c:f>
              <c:strCache>
                <c:ptCount val="1"/>
                <c:pt idx="0">
                  <c:v>]5000,10000]</c:v>
                </c:pt>
              </c:strCache>
            </c:strRef>
          </c:tx>
          <c:invertIfNegative val="0"/>
          <c:cat>
            <c:numRef>
              <c:f>'Analysis- Scale'!$K$22:$R$22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 Scale'!$K$24:$R$24</c:f>
              <c:numCache>
                <c:formatCode>General</c:formatCode>
                <c:ptCount val="8"/>
                <c:pt idx="0">
                  <c:v>0.14035087719298245</c:v>
                </c:pt>
                <c:pt idx="1">
                  <c:v>0.1276595744680851</c:v>
                </c:pt>
                <c:pt idx="2">
                  <c:v>0.12631578947368421</c:v>
                </c:pt>
                <c:pt idx="3">
                  <c:v>8.4210526315789472E-2</c:v>
                </c:pt>
                <c:pt idx="4">
                  <c:v>0.17821782178217821</c:v>
                </c:pt>
                <c:pt idx="5">
                  <c:v>0.11827956989247312</c:v>
                </c:pt>
                <c:pt idx="6">
                  <c:v>0.1640625</c:v>
                </c:pt>
                <c:pt idx="7">
                  <c:v>0.17117117117117117</c:v>
                </c:pt>
              </c:numCache>
            </c:numRef>
          </c:val>
        </c:ser>
        <c:ser>
          <c:idx val="2"/>
          <c:order val="2"/>
          <c:tx>
            <c:strRef>
              <c:f>'Analysis- Scale'!$B$25</c:f>
              <c:strCache>
                <c:ptCount val="1"/>
                <c:pt idx="0">
                  <c:v>]10000,50000]</c:v>
                </c:pt>
              </c:strCache>
            </c:strRef>
          </c:tx>
          <c:invertIfNegative val="0"/>
          <c:cat>
            <c:numRef>
              <c:f>'Analysis- Scale'!$K$22:$R$22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 Scale'!$K$25:$R$25</c:f>
              <c:numCache>
                <c:formatCode>General</c:formatCode>
                <c:ptCount val="8"/>
                <c:pt idx="0">
                  <c:v>0.2807017543859649</c:v>
                </c:pt>
                <c:pt idx="1">
                  <c:v>0.19148936170212766</c:v>
                </c:pt>
                <c:pt idx="2">
                  <c:v>0.28421052631578947</c:v>
                </c:pt>
                <c:pt idx="3">
                  <c:v>0.32631578947368423</c:v>
                </c:pt>
                <c:pt idx="4">
                  <c:v>0.23762376237623761</c:v>
                </c:pt>
                <c:pt idx="5">
                  <c:v>0.29032258064516131</c:v>
                </c:pt>
                <c:pt idx="6">
                  <c:v>0.328125</c:v>
                </c:pt>
                <c:pt idx="7">
                  <c:v>0.1981981981981982</c:v>
                </c:pt>
              </c:numCache>
            </c:numRef>
          </c:val>
        </c:ser>
        <c:ser>
          <c:idx val="3"/>
          <c:order val="3"/>
          <c:tx>
            <c:strRef>
              <c:f>'Analysis- Scale'!$B$26</c:f>
              <c:strCache>
                <c:ptCount val="1"/>
                <c:pt idx="0">
                  <c:v>&gt;50000</c:v>
                </c:pt>
              </c:strCache>
            </c:strRef>
          </c:tx>
          <c:invertIfNegative val="0"/>
          <c:cat>
            <c:numRef>
              <c:f>'Analysis- Scale'!$K$22:$R$22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 Scale'!$K$26:$R$26</c:f>
              <c:numCache>
                <c:formatCode>General</c:formatCode>
                <c:ptCount val="8"/>
                <c:pt idx="0">
                  <c:v>0.21052631578947367</c:v>
                </c:pt>
                <c:pt idx="1">
                  <c:v>0.19148936170212766</c:v>
                </c:pt>
                <c:pt idx="2">
                  <c:v>0.27368421052631581</c:v>
                </c:pt>
                <c:pt idx="3">
                  <c:v>0.33684210526315789</c:v>
                </c:pt>
                <c:pt idx="4">
                  <c:v>0.28712871287128711</c:v>
                </c:pt>
                <c:pt idx="5">
                  <c:v>0.29032258064516131</c:v>
                </c:pt>
                <c:pt idx="6">
                  <c:v>0.21875</c:v>
                </c:pt>
                <c:pt idx="7">
                  <c:v>0.36036036036036034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076096"/>
        <c:axId val="113077632"/>
      </c:barChart>
      <c:catAx>
        <c:axId val="11307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077632"/>
        <c:crosses val="autoZero"/>
        <c:auto val="1"/>
        <c:lblAlgn val="ctr"/>
        <c:lblOffset val="100"/>
        <c:noMultiLvlLbl val="0"/>
      </c:catAx>
      <c:valAx>
        <c:axId val="1130776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307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1" i="0" baseline="0">
                <a:effectLst/>
              </a:rPr>
              <a:t>CHF per beneficiary, per interval and per year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1303906269351795"/>
          <c:y val="6.086220660642487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2005</c:v>
          </c:tx>
          <c:invertIfNegative val="0"/>
          <c:cat>
            <c:strRef>
              <c:f>'Analysis- Scale'!$J$52:$M$52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 Scale'!$J$59:$M$59</c:f>
              <c:numCache>
                <c:formatCode>General</c:formatCode>
                <c:ptCount val="4"/>
                <c:pt idx="0">
                  <c:v>50</c:v>
                </c:pt>
                <c:pt idx="1">
                  <c:v>19</c:v>
                </c:pt>
                <c:pt idx="2">
                  <c:v>24</c:v>
                </c:pt>
                <c:pt idx="3">
                  <c:v>24</c:v>
                </c:pt>
              </c:numCache>
            </c:numRef>
          </c:val>
        </c:ser>
        <c:ser>
          <c:idx val="2"/>
          <c:order val="1"/>
          <c:tx>
            <c:v>2006</c:v>
          </c:tx>
          <c:invertIfNegative val="0"/>
          <c:val>
            <c:numRef>
              <c:f>'Analysis- Scale'!$J$58:$M$58</c:f>
              <c:numCache>
                <c:formatCode>General</c:formatCode>
                <c:ptCount val="4"/>
                <c:pt idx="0">
                  <c:v>38</c:v>
                </c:pt>
                <c:pt idx="1">
                  <c:v>42</c:v>
                </c:pt>
                <c:pt idx="2">
                  <c:v>21</c:v>
                </c:pt>
                <c:pt idx="3">
                  <c:v>11</c:v>
                </c:pt>
              </c:numCache>
            </c:numRef>
          </c:val>
        </c:ser>
        <c:ser>
          <c:idx val="3"/>
          <c:order val="2"/>
          <c:tx>
            <c:v>2007</c:v>
          </c:tx>
          <c:invertIfNegative val="0"/>
          <c:val>
            <c:numRef>
              <c:f>'Analysis- Scale'!$J$57:$M$57</c:f>
              <c:numCache>
                <c:formatCode>General</c:formatCode>
                <c:ptCount val="4"/>
                <c:pt idx="0">
                  <c:v>46</c:v>
                </c:pt>
                <c:pt idx="1">
                  <c:v>47</c:v>
                </c:pt>
                <c:pt idx="2">
                  <c:v>27</c:v>
                </c:pt>
                <c:pt idx="3">
                  <c:v>16</c:v>
                </c:pt>
              </c:numCache>
            </c:numRef>
          </c:val>
        </c:ser>
        <c:ser>
          <c:idx val="4"/>
          <c:order val="3"/>
          <c:tx>
            <c:v>2008</c:v>
          </c:tx>
          <c:invertIfNegative val="0"/>
          <c:val>
            <c:numRef>
              <c:f>'Analysis- Scale'!$J$56:$M$56</c:f>
              <c:numCache>
                <c:formatCode>General</c:formatCode>
                <c:ptCount val="4"/>
                <c:pt idx="0">
                  <c:v>103</c:v>
                </c:pt>
                <c:pt idx="1">
                  <c:v>29</c:v>
                </c:pt>
                <c:pt idx="2">
                  <c:v>39</c:v>
                </c:pt>
                <c:pt idx="3">
                  <c:v>13</c:v>
                </c:pt>
              </c:numCache>
            </c:numRef>
          </c:val>
        </c:ser>
        <c:ser>
          <c:idx val="5"/>
          <c:order val="4"/>
          <c:tx>
            <c:v>2009</c:v>
          </c:tx>
          <c:invertIfNegative val="0"/>
          <c:val>
            <c:numRef>
              <c:f>'Analysis- Scale'!$J$55:$M$55</c:f>
              <c:numCache>
                <c:formatCode>General</c:formatCode>
                <c:ptCount val="4"/>
                <c:pt idx="0">
                  <c:v>78</c:v>
                </c:pt>
                <c:pt idx="1">
                  <c:v>33</c:v>
                </c:pt>
                <c:pt idx="2" formatCode="0">
                  <c:v>17</c:v>
                </c:pt>
                <c:pt idx="3">
                  <c:v>9</c:v>
                </c:pt>
              </c:numCache>
            </c:numRef>
          </c:val>
        </c:ser>
        <c:ser>
          <c:idx val="6"/>
          <c:order val="5"/>
          <c:tx>
            <c:v>2010</c:v>
          </c:tx>
          <c:invertIfNegative val="0"/>
          <c:val>
            <c:numRef>
              <c:f>'Analysis- Scale'!$J$54:$M$54</c:f>
              <c:numCache>
                <c:formatCode>0</c:formatCode>
                <c:ptCount val="4"/>
                <c:pt idx="0">
                  <c:v>85</c:v>
                </c:pt>
                <c:pt idx="1">
                  <c:v>34</c:v>
                </c:pt>
                <c:pt idx="2">
                  <c:v>21</c:v>
                </c:pt>
                <c:pt idx="3">
                  <c:v>26</c:v>
                </c:pt>
              </c:numCache>
            </c:numRef>
          </c:val>
        </c:ser>
        <c:ser>
          <c:idx val="7"/>
          <c:order val="6"/>
          <c:tx>
            <c:v>2011</c:v>
          </c:tx>
          <c:invertIfNegative val="0"/>
          <c:val>
            <c:numRef>
              <c:f>'Analysis- Scale'!$J$53:$M$53</c:f>
              <c:numCache>
                <c:formatCode>General</c:formatCode>
                <c:ptCount val="4"/>
                <c:pt idx="0">
                  <c:v>53</c:v>
                </c:pt>
                <c:pt idx="1">
                  <c:v>31</c:v>
                </c:pt>
                <c:pt idx="2">
                  <c:v>14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11424"/>
        <c:axId val="113112960"/>
      </c:barChart>
      <c:catAx>
        <c:axId val="113111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3112960"/>
        <c:crosses val="autoZero"/>
        <c:auto val="1"/>
        <c:lblAlgn val="ctr"/>
        <c:lblOffset val="100"/>
        <c:noMultiLvlLbl val="0"/>
      </c:catAx>
      <c:valAx>
        <c:axId val="11311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311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000000000000233" r="0.75000000000000233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Watsan beneficiaries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-2.464788817815962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4647888178159622E-2"/>
                  <c:y val="1.6959420691116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'Analysis-WatSan'!$B$5:$B$17</c:f>
              <c:numCache>
                <c:formatCode>General</c:formatCode>
                <c:ptCount val="13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'Analysis-WatSan'!$C$5:$C$12</c:f>
              <c:numCache>
                <c:formatCode>#,##0</c:formatCode>
                <c:ptCount val="8"/>
                <c:pt idx="0">
                  <c:v>1422918</c:v>
                </c:pt>
                <c:pt idx="1">
                  <c:v>2523041</c:v>
                </c:pt>
                <c:pt idx="2">
                  <c:v>2568951</c:v>
                </c:pt>
                <c:pt idx="3">
                  <c:v>1425031</c:v>
                </c:pt>
                <c:pt idx="4">
                  <c:v>2429892</c:v>
                </c:pt>
                <c:pt idx="5">
                  <c:v>1317343</c:v>
                </c:pt>
                <c:pt idx="6">
                  <c:v>1985206</c:v>
                </c:pt>
                <c:pt idx="7">
                  <c:v>989581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47264"/>
        <c:axId val="112748800"/>
      </c:barChart>
      <c:lineChart>
        <c:grouping val="standard"/>
        <c:varyColors val="0"/>
        <c:ser>
          <c:idx val="1"/>
          <c:order val="1"/>
          <c:tx>
            <c:v>Watsan expenditure</c:v>
          </c:tx>
          <c:cat>
            <c:numRef>
              <c:f>'Analysis-WatSan'!$B$5:$B$12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'Analysis-WatSan'!$D$5:$D$12</c:f>
              <c:numCache>
                <c:formatCode>#,##0</c:formatCode>
                <c:ptCount val="8"/>
                <c:pt idx="0">
                  <c:v>5053991.51</c:v>
                </c:pt>
                <c:pt idx="1">
                  <c:v>27694680.520000003</c:v>
                </c:pt>
                <c:pt idx="2">
                  <c:v>4323180.16</c:v>
                </c:pt>
                <c:pt idx="3">
                  <c:v>9332084.620000001</c:v>
                </c:pt>
                <c:pt idx="4">
                  <c:v>3799283.76</c:v>
                </c:pt>
                <c:pt idx="5">
                  <c:v>2518448.7000000002</c:v>
                </c:pt>
                <c:pt idx="6">
                  <c:v>10339590.66</c:v>
                </c:pt>
                <c:pt idx="7">
                  <c:v>77665294.159999996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52512"/>
        <c:axId val="112750592"/>
      </c:lineChart>
      <c:dateAx>
        <c:axId val="11274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748800"/>
        <c:crosses val="autoZero"/>
        <c:auto val="0"/>
        <c:lblOffset val="100"/>
        <c:baseTimeUnit val="days"/>
      </c:dateAx>
      <c:valAx>
        <c:axId val="1127488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low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747264"/>
        <c:crosses val="autoZero"/>
        <c:crossBetween val="between"/>
      </c:valAx>
      <c:valAx>
        <c:axId val="11275059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high"/>
        <c:crossAx val="112752512"/>
        <c:crosses val="max"/>
        <c:crossBetween val="between"/>
        <c:dispUnits>
          <c:builtInUnit val="millions"/>
          <c:dispUnitsLbl/>
        </c:dispUnits>
      </c:valAx>
      <c:catAx>
        <c:axId val="11275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75059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25400">
          <a:noFill/>
        </a:ln>
      </c:spPr>
    </c:plotArea>
    <c:legend>
      <c:legendPos val="t"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400"/>
              <a:t>Operations</a:t>
            </a:r>
            <a:r>
              <a:rPr lang="en-GB" sz="1400" baseline="0"/>
              <a:t> </a:t>
            </a:r>
            <a:r>
              <a:rPr lang="en-GB" sz="1400"/>
              <a:t>per zone 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2852143482102E-2"/>
          <c:y val="0.16401796490767101"/>
          <c:w val="0.68755990615842988"/>
          <c:h val="0.66349790217828752"/>
        </c:manualLayout>
      </c:layout>
      <c:lineChart>
        <c:grouping val="standard"/>
        <c:varyColors val="0"/>
        <c:ser>
          <c:idx val="0"/>
          <c:order val="0"/>
          <c:tx>
            <c:strRef>
              <c:f>'Analysis-General'!$J$4</c:f>
              <c:strCache>
                <c:ptCount val="1"/>
                <c:pt idx="0">
                  <c:v>Africa </c:v>
                </c:pt>
              </c:strCache>
            </c:strRef>
          </c:tx>
          <c:marker>
            <c:symbol val="none"/>
          </c:marker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'Analysis-General'!$J$5:$J$12</c:f>
              <c:numCache>
                <c:formatCode>General</c:formatCode>
                <c:ptCount val="8"/>
                <c:pt idx="0">
                  <c:v>20</c:v>
                </c:pt>
                <c:pt idx="1">
                  <c:v>40</c:v>
                </c:pt>
                <c:pt idx="2">
                  <c:v>53</c:v>
                </c:pt>
                <c:pt idx="3">
                  <c:v>44</c:v>
                </c:pt>
                <c:pt idx="4">
                  <c:v>45</c:v>
                </c:pt>
                <c:pt idx="5">
                  <c:v>45</c:v>
                </c:pt>
                <c:pt idx="6">
                  <c:v>50</c:v>
                </c:pt>
                <c:pt idx="7">
                  <c:v>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'Analysis-General'!$K$4</c:f>
              <c:strCache>
                <c:ptCount val="1"/>
                <c:pt idx="0">
                  <c:v>Americas</c:v>
                </c:pt>
              </c:strCache>
            </c:strRef>
          </c:tx>
          <c:marker>
            <c:symbol val="none"/>
          </c:marker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'Analysis-General'!$K$5:$K$12</c:f>
              <c:numCache>
                <c:formatCode>General</c:formatCode>
                <c:ptCount val="8"/>
                <c:pt idx="0">
                  <c:v>15</c:v>
                </c:pt>
                <c:pt idx="1">
                  <c:v>20</c:v>
                </c:pt>
                <c:pt idx="2">
                  <c:v>16</c:v>
                </c:pt>
                <c:pt idx="3">
                  <c:v>19</c:v>
                </c:pt>
                <c:pt idx="4">
                  <c:v>26</c:v>
                </c:pt>
                <c:pt idx="5">
                  <c:v>19</c:v>
                </c:pt>
                <c:pt idx="6">
                  <c:v>24</c:v>
                </c:pt>
                <c:pt idx="7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'Analysis-General'!$L$4</c:f>
              <c:strCache>
                <c:ptCount val="1"/>
                <c:pt idx="0">
                  <c:v>Asia Pacific</c:v>
                </c:pt>
              </c:strCache>
            </c:strRef>
          </c:tx>
          <c:marker>
            <c:symbol val="none"/>
          </c:marker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'Analysis-General'!$L$5:$L$12</c:f>
              <c:numCache>
                <c:formatCode>General</c:formatCode>
                <c:ptCount val="8"/>
                <c:pt idx="0">
                  <c:v>13</c:v>
                </c:pt>
                <c:pt idx="1">
                  <c:v>11</c:v>
                </c:pt>
                <c:pt idx="2">
                  <c:v>11</c:v>
                </c:pt>
                <c:pt idx="3">
                  <c:v>14</c:v>
                </c:pt>
                <c:pt idx="4">
                  <c:v>17</c:v>
                </c:pt>
                <c:pt idx="5">
                  <c:v>13</c:v>
                </c:pt>
                <c:pt idx="6">
                  <c:v>24</c:v>
                </c:pt>
                <c:pt idx="7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'Analysis-General'!$M$4</c:f>
              <c:strCache>
                <c:ptCount val="1"/>
                <c:pt idx="0">
                  <c:v>Europe</c:v>
                </c:pt>
              </c:strCache>
            </c:strRef>
          </c:tx>
          <c:marker>
            <c:symbol val="none"/>
          </c:marker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'Analysis-General'!$M$5:$M$12</c:f>
              <c:numCache>
                <c:formatCode>General</c:formatCode>
                <c:ptCount val="8"/>
                <c:pt idx="0">
                  <c:v>7</c:v>
                </c:pt>
                <c:pt idx="1">
                  <c:v>17</c:v>
                </c:pt>
                <c:pt idx="2">
                  <c:v>7</c:v>
                </c:pt>
                <c:pt idx="3">
                  <c:v>10</c:v>
                </c:pt>
                <c:pt idx="4">
                  <c:v>6</c:v>
                </c:pt>
                <c:pt idx="5">
                  <c:v>12</c:v>
                </c:pt>
                <c:pt idx="6">
                  <c:v>24</c:v>
                </c:pt>
                <c:pt idx="7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'Analysis-General'!$N$4</c:f>
              <c:strCache>
                <c:ptCount val="1"/>
                <c:pt idx="0">
                  <c:v>MENA</c:v>
                </c:pt>
              </c:strCache>
            </c:strRef>
          </c:tx>
          <c:marker>
            <c:symbol val="none"/>
          </c:marker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'Analysis-General'!$N$5:$N$12</c:f>
              <c:numCache>
                <c:formatCode>General</c:formatCode>
                <c:ptCount val="8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6</c:v>
                </c:pt>
                <c:pt idx="7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88064"/>
        <c:axId val="108889600"/>
      </c:lineChart>
      <c:catAx>
        <c:axId val="1088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889600"/>
        <c:crosses val="autoZero"/>
        <c:auto val="1"/>
        <c:lblAlgn val="ctr"/>
        <c:lblOffset val="100"/>
        <c:noMultiLvlLbl val="0"/>
      </c:catAx>
      <c:valAx>
        <c:axId val="108889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8880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477752184007403"/>
          <c:y val="0.13366121205652201"/>
          <c:w val="0.14976478750239663"/>
          <c:h val="0.801993546427135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Watsan expenditure (CHF)</a:t>
            </a:r>
          </a:p>
        </c:rich>
      </c:tx>
      <c:layout>
        <c:manualLayout>
          <c:xMode val="edge"/>
          <c:yMode val="edge"/>
          <c:x val="0.25653401432929002"/>
          <c:y val="2.9895473592116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79855701094149"/>
          <c:y val="0.20167681485565137"/>
          <c:w val="0.73376991136079128"/>
          <c:h val="0.64296015983076549"/>
        </c:manualLayout>
      </c:layout>
      <c:barChart>
        <c:barDir val="col"/>
        <c:grouping val="clustered"/>
        <c:varyColors val="0"/>
        <c:ser>
          <c:idx val="0"/>
          <c:order val="0"/>
          <c:tx>
            <c:v>WatSan expenditures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'Analysis-WatSan'!$B$5:$B$12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'Analysis-WatSan'!$D$5:$D$12</c:f>
              <c:numCache>
                <c:formatCode>#,##0</c:formatCode>
                <c:ptCount val="8"/>
                <c:pt idx="0">
                  <c:v>5053991.51</c:v>
                </c:pt>
                <c:pt idx="1">
                  <c:v>27694680.520000003</c:v>
                </c:pt>
                <c:pt idx="2">
                  <c:v>4323180.16</c:v>
                </c:pt>
                <c:pt idx="3">
                  <c:v>9332084.620000001</c:v>
                </c:pt>
                <c:pt idx="4">
                  <c:v>3799283.76</c:v>
                </c:pt>
                <c:pt idx="5">
                  <c:v>2518448.7000000002</c:v>
                </c:pt>
                <c:pt idx="6">
                  <c:v>10339590.66</c:v>
                </c:pt>
                <c:pt idx="7">
                  <c:v>77665294.159999996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69280"/>
        <c:axId val="112406528"/>
      </c:barChart>
      <c:catAx>
        <c:axId val="1127692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406528"/>
        <c:crosses val="autoZero"/>
        <c:auto val="1"/>
        <c:lblAlgn val="ctr"/>
        <c:lblOffset val="100"/>
        <c:noMultiLvlLbl val="0"/>
      </c:catAx>
      <c:valAx>
        <c:axId val="112406528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high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769280"/>
        <c:crosses val="autoZero"/>
        <c:crossBetween val="between"/>
        <c:dispUnits>
          <c:builtInUnit val="millions"/>
          <c:dispUnitsLbl/>
        </c:dispUnits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Watsan Exp/beneficiary (CHF per beneficiary)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Watsan Exp/beneficiary by year</c:v>
          </c:tx>
          <c:spPr>
            <a:solidFill>
              <a:schemeClr val="accent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 w="25400">
                <a:noFill/>
              </a:ln>
            </c:spPr>
          </c:dPt>
          <c:dLbls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'Analysis-WatSan'!$B$5:$B$11</c:f>
              <c:numCache>
                <c:formatCode>General</c:formatCode>
                <c:ptCount val="7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</c:numCache>
            </c:numRef>
          </c:cat>
          <c:val>
            <c:numRef>
              <c:f>'Analysis-WatSan'!$E$5:$E$11</c:f>
              <c:numCache>
                <c:formatCode>#,##0</c:formatCode>
                <c:ptCount val="7"/>
                <c:pt idx="0">
                  <c:v>3.5518501487787768</c:v>
                </c:pt>
                <c:pt idx="1">
                  <c:v>10.976706490302774</c:v>
                </c:pt>
                <c:pt idx="2">
                  <c:v>1.6828581627286781</c:v>
                </c:pt>
                <c:pt idx="3">
                  <c:v>6.548688849575905</c:v>
                </c:pt>
                <c:pt idx="4">
                  <c:v>1.5635607508481857</c:v>
                </c:pt>
                <c:pt idx="5">
                  <c:v>1.9117638306803924</c:v>
                </c:pt>
                <c:pt idx="6">
                  <c:v>5.2083212825268514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40064"/>
        <c:axId val="112441600"/>
      </c:barChart>
      <c:catAx>
        <c:axId val="1124400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441600"/>
        <c:crosses val="autoZero"/>
        <c:auto val="1"/>
        <c:lblAlgn val="ctr"/>
        <c:lblOffset val="100"/>
        <c:noMultiLvlLbl val="0"/>
      </c:catAx>
      <c:valAx>
        <c:axId val="112441600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high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4400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 paperSize="9" orientation="landscape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400"/>
              <a:t>Water and Sanitation beneficiaries </a:t>
            </a:r>
          </a:p>
        </c:rich>
      </c:tx>
      <c:layout>
        <c:manualLayout>
          <c:xMode val="edge"/>
          <c:yMode val="edge"/>
          <c:x val="0.31082409690443502"/>
          <c:y val="3.3602677315793091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69816516215341"/>
          <c:y val="0.16024912047879175"/>
          <c:w val="0.70552496755560634"/>
          <c:h val="0.71171321467778781"/>
        </c:manualLayout>
      </c:layout>
      <c:barChart>
        <c:barDir val="col"/>
        <c:grouping val="clustered"/>
        <c:varyColors val="0"/>
        <c:ser>
          <c:idx val="0"/>
          <c:order val="0"/>
          <c:tx>
            <c:v>WATER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'Analysis-WatSan'!$B$5:$B$12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'Analysis-WatSan'!$F$5:$F$12</c:f>
              <c:numCache>
                <c:formatCode>#,##0</c:formatCode>
                <c:ptCount val="8"/>
                <c:pt idx="0">
                  <c:v>1348195</c:v>
                </c:pt>
                <c:pt idx="1">
                  <c:v>2308854</c:v>
                </c:pt>
                <c:pt idx="2">
                  <c:v>2428623</c:v>
                </c:pt>
                <c:pt idx="3">
                  <c:v>1017774</c:v>
                </c:pt>
                <c:pt idx="4">
                  <c:v>2336772</c:v>
                </c:pt>
                <c:pt idx="5">
                  <c:v>1196936</c:v>
                </c:pt>
                <c:pt idx="6">
                  <c:v>1957235</c:v>
                </c:pt>
                <c:pt idx="7">
                  <c:v>965541</c:v>
                </c:pt>
              </c:numCache>
            </c:numRef>
          </c:val>
        </c:ser>
        <c:ser>
          <c:idx val="1"/>
          <c:order val="1"/>
          <c:tx>
            <c:v>SANITATION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'Analysis-WatSan'!$B$5:$B$12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'Analysis-WatSan'!$G$5:$G$12</c:f>
              <c:numCache>
                <c:formatCode>#,##0</c:formatCode>
                <c:ptCount val="8"/>
                <c:pt idx="0">
                  <c:v>567823</c:v>
                </c:pt>
                <c:pt idx="1">
                  <c:v>890088</c:v>
                </c:pt>
                <c:pt idx="2">
                  <c:v>710693</c:v>
                </c:pt>
                <c:pt idx="3">
                  <c:v>394137</c:v>
                </c:pt>
                <c:pt idx="4">
                  <c:v>293468</c:v>
                </c:pt>
                <c:pt idx="5">
                  <c:v>780462</c:v>
                </c:pt>
                <c:pt idx="6">
                  <c:v>204670</c:v>
                </c:pt>
                <c:pt idx="7">
                  <c:v>400610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68736"/>
        <c:axId val="112874624"/>
      </c:barChart>
      <c:catAx>
        <c:axId val="1128687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874624"/>
        <c:crosses val="autoZero"/>
        <c:auto val="1"/>
        <c:lblAlgn val="ctr"/>
        <c:lblOffset val="100"/>
        <c:noMultiLvlLbl val="0"/>
      </c:catAx>
      <c:valAx>
        <c:axId val="112874624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high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8687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5723186018972164"/>
          <c:y val="0.34723786537383788"/>
          <c:w val="0.14094693929657628"/>
          <c:h val="0.3558549046239805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Average number of Bene. per appeal by year (WATSAN)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average number of Bene. Per appeal by year (WATSAN)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'Analysis-WatSan'!$B$5:$B$11</c:f>
              <c:numCache>
                <c:formatCode>General</c:formatCode>
                <c:ptCount val="7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</c:numCache>
            </c:numRef>
          </c:cat>
          <c:val>
            <c:numRef>
              <c:f>'Analysis-WatSan'!$K$5:$K$11</c:f>
              <c:numCache>
                <c:formatCode>#,##0</c:formatCode>
                <c:ptCount val="7"/>
                <c:pt idx="0">
                  <c:v>12819.081081081082</c:v>
                </c:pt>
                <c:pt idx="1">
                  <c:v>19711.2578125</c:v>
                </c:pt>
                <c:pt idx="2">
                  <c:v>27623.129032258064</c:v>
                </c:pt>
                <c:pt idx="3">
                  <c:v>14109.217821782178</c:v>
                </c:pt>
                <c:pt idx="4">
                  <c:v>25577.810526315789</c:v>
                </c:pt>
                <c:pt idx="5">
                  <c:v>13866.768421052631</c:v>
                </c:pt>
                <c:pt idx="6">
                  <c:v>21119.212765957447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03680"/>
        <c:axId val="112905216"/>
      </c:barChart>
      <c:catAx>
        <c:axId val="1129036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905216"/>
        <c:crosses val="autoZero"/>
        <c:auto val="1"/>
        <c:lblAlgn val="ctr"/>
        <c:lblOffset val="100"/>
        <c:noMultiLvlLbl val="0"/>
      </c:catAx>
      <c:valAx>
        <c:axId val="112905216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high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9036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Number of flood appeals by bene. interval</a:t>
            </a:r>
          </a:p>
        </c:rich>
      </c:tx>
      <c:layout>
        <c:manualLayout>
          <c:xMode val="edge"/>
          <c:yMode val="edge"/>
          <c:x val="0.11896515959698611"/>
          <c:y val="2.7799306656633962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463914035792149E-2"/>
          <c:y val="0.14914062571446901"/>
          <c:w val="0.79312846891133559"/>
          <c:h val="0.73447538569873905"/>
        </c:manualLayout>
      </c:layout>
      <c:barChart>
        <c:barDir val="col"/>
        <c:grouping val="clustered"/>
        <c:varyColors val="0"/>
        <c:ser>
          <c:idx val="2"/>
          <c:order val="0"/>
          <c:tx>
            <c:v>2009</c:v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'Analysis-WatSan'!$BJ$19:$BM$19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'Analysis-WatSan'!$BJ$20:$BM$20</c:f>
              <c:numCache>
                <c:formatCode>General</c:formatCode>
                <c:ptCount val="4"/>
                <c:pt idx="0">
                  <c:v>14</c:v>
                </c:pt>
                <c:pt idx="1">
                  <c:v>5</c:v>
                </c:pt>
                <c:pt idx="2">
                  <c:v>16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tx>
            <c:v>2010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'Analysis-WatSan'!$BJ$19:$BM$19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'Analysis-WatSan'!$BJ$13:$BM$13</c:f>
              <c:numCache>
                <c:formatCode>General</c:formatCode>
                <c:ptCount val="4"/>
                <c:pt idx="0">
                  <c:v>23</c:v>
                </c:pt>
                <c:pt idx="1">
                  <c:v>14</c:v>
                </c:pt>
                <c:pt idx="2">
                  <c:v>23</c:v>
                </c:pt>
                <c:pt idx="3">
                  <c:v>5</c:v>
                </c:pt>
              </c:numCache>
            </c:numRef>
          </c:val>
        </c:ser>
        <c:ser>
          <c:idx val="0"/>
          <c:order val="2"/>
          <c:tx>
            <c:v>2011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'Analysis-WatSan'!$BJ$19:$BM$19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'Analysis-WatSan'!$BJ$5:$BM$5</c:f>
              <c:numCache>
                <c:formatCode>General</c:formatCode>
                <c:ptCount val="4"/>
                <c:pt idx="0">
                  <c:v>14</c:v>
                </c:pt>
                <c:pt idx="1">
                  <c:v>12</c:v>
                </c:pt>
                <c:pt idx="2">
                  <c:v>9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80064"/>
        <c:axId val="113481600"/>
      </c:barChart>
      <c:catAx>
        <c:axId val="1134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481600"/>
        <c:crosses val="autoZero"/>
        <c:auto val="1"/>
        <c:lblAlgn val="ctr"/>
        <c:lblOffset val="100"/>
        <c:noMultiLvlLbl val="0"/>
      </c:catAx>
      <c:valAx>
        <c:axId val="113481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4800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8100203200406402"/>
          <c:y val="0.440273037542662"/>
          <c:w val="0.10229637625942115"/>
          <c:h val="0.2457337883959043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Percentage of flood appeals by bene. interval</a:t>
            </a:r>
          </a:p>
        </c:rich>
      </c:tx>
      <c:layout>
        <c:manualLayout>
          <c:xMode val="edge"/>
          <c:yMode val="edge"/>
          <c:x val="0.18829152416554001"/>
          <c:y val="9.2664355522113651E-3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42413895898385E-2"/>
          <c:y val="0.204652063503663"/>
          <c:w val="0.81236288793629485"/>
          <c:h val="0.67909896413760462"/>
        </c:manualLayout>
      </c:layout>
      <c:barChart>
        <c:barDir val="col"/>
        <c:grouping val="clustered"/>
        <c:varyColors val="0"/>
        <c:ser>
          <c:idx val="2"/>
          <c:order val="0"/>
          <c:tx>
            <c:v>2009</c:v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'Analysis-WatSan'!$BJ$19:$BM$19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'Analysis-WatSan'!$BJ$23:$BM$23</c:f>
              <c:numCache>
                <c:formatCode>General</c:formatCode>
                <c:ptCount val="4"/>
                <c:pt idx="0">
                  <c:v>0.35</c:v>
                </c:pt>
                <c:pt idx="1">
                  <c:v>0.125</c:v>
                </c:pt>
                <c:pt idx="2">
                  <c:v>0.4</c:v>
                </c:pt>
                <c:pt idx="3">
                  <c:v>0.125</c:v>
                </c:pt>
              </c:numCache>
            </c:numRef>
          </c:val>
        </c:ser>
        <c:ser>
          <c:idx val="1"/>
          <c:order val="1"/>
          <c:tx>
            <c:v>2010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'Analysis-WatSan'!$BJ$19:$BM$19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'Analysis-WatSan'!$BJ$16:$BM$16</c:f>
              <c:numCache>
                <c:formatCode>General</c:formatCode>
                <c:ptCount val="4"/>
                <c:pt idx="0">
                  <c:v>0.35384615384615387</c:v>
                </c:pt>
                <c:pt idx="1">
                  <c:v>0.2153846153846154</c:v>
                </c:pt>
                <c:pt idx="2">
                  <c:v>0.35384615384615387</c:v>
                </c:pt>
                <c:pt idx="3">
                  <c:v>7.6923076923076927E-2</c:v>
                </c:pt>
              </c:numCache>
            </c:numRef>
          </c:val>
        </c:ser>
        <c:ser>
          <c:idx val="0"/>
          <c:order val="2"/>
          <c:tx>
            <c:v>2011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'Analysis-WatSan'!$BJ$19:$BM$19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'Analysis-WatSan'!$BJ$8:$BM$8</c:f>
              <c:numCache>
                <c:formatCode>General</c:formatCode>
                <c:ptCount val="4"/>
                <c:pt idx="0">
                  <c:v>0.35</c:v>
                </c:pt>
                <c:pt idx="1">
                  <c:v>0.3</c:v>
                </c:pt>
                <c:pt idx="2">
                  <c:v>0.22500000000000001</c:v>
                </c:pt>
                <c:pt idx="3">
                  <c:v>0.125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24096"/>
        <c:axId val="113529984"/>
      </c:barChart>
      <c:catAx>
        <c:axId val="1135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29984"/>
        <c:crosses val="autoZero"/>
        <c:auto val="1"/>
        <c:lblAlgn val="ctr"/>
        <c:lblOffset val="100"/>
        <c:noMultiLvlLbl val="0"/>
      </c:catAx>
      <c:valAx>
        <c:axId val="11352998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240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8912219305920059"/>
          <c:y val="0.43537556099003288"/>
          <c:w val="0.102510458919908"/>
          <c:h val="0.2448985515035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Ratio between water and sanitation beneficiaries</a:t>
            </a:r>
          </a:p>
        </c:rich>
      </c:tx>
      <c:layout>
        <c:manualLayout>
          <c:xMode val="edge"/>
          <c:yMode val="edge"/>
          <c:x val="0.16649305064411901"/>
          <c:y val="3.6981996968688792E-2"/>
        </c:manualLayout>
      </c:layout>
      <c:overlay val="1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25400">
                <a:noFill/>
              </a:ln>
            </c:spPr>
          </c:dPt>
          <c:dLbls>
            <c:numFmt formatCode="#,##0.0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'Analysis-WatSan'!$B$5:$B$12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'Analysis-WatSan'!$J$5:$J$12</c:f>
              <c:numCache>
                <c:formatCode>#,##0</c:formatCode>
                <c:ptCount val="8"/>
                <c:pt idx="0">
                  <c:v>2.3743226322287052</c:v>
                </c:pt>
                <c:pt idx="1">
                  <c:v>2.5939614959419743</c:v>
                </c:pt>
                <c:pt idx="2">
                  <c:v>3.417260336038205</c:v>
                </c:pt>
                <c:pt idx="3">
                  <c:v>2.582284840042929</c:v>
                </c:pt>
                <c:pt idx="4">
                  <c:v>7.9626126187523001</c:v>
                </c:pt>
                <c:pt idx="5">
                  <c:v>1.5336249554750905</c:v>
                </c:pt>
                <c:pt idx="6">
                  <c:v>9.5628817120242342</c:v>
                </c:pt>
                <c:pt idx="7">
                  <c:v>2.4101769801053394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55712"/>
        <c:axId val="113639424"/>
      </c:barChart>
      <c:catAx>
        <c:axId val="11355571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639424"/>
        <c:crosses val="autoZero"/>
        <c:auto val="1"/>
        <c:lblAlgn val="ctr"/>
        <c:lblOffset val="100"/>
        <c:noMultiLvlLbl val="0"/>
      </c:catAx>
      <c:valAx>
        <c:axId val="113639424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high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557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Expenditure by sector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Watsan expenditure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'Analysis-WatSan'!$B$5:$B$12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'Analysis-WatSan'!$D$5:$D$12</c:f>
              <c:numCache>
                <c:formatCode>#,##0</c:formatCode>
                <c:ptCount val="8"/>
                <c:pt idx="0">
                  <c:v>5053991.51</c:v>
                </c:pt>
                <c:pt idx="1">
                  <c:v>27694680.520000003</c:v>
                </c:pt>
                <c:pt idx="2">
                  <c:v>4323180.16</c:v>
                </c:pt>
                <c:pt idx="3">
                  <c:v>9332084.620000001</c:v>
                </c:pt>
                <c:pt idx="4">
                  <c:v>3799283.76</c:v>
                </c:pt>
                <c:pt idx="5">
                  <c:v>2518448.7000000002</c:v>
                </c:pt>
                <c:pt idx="6">
                  <c:v>10339590.66</c:v>
                </c:pt>
                <c:pt idx="7">
                  <c:v>77665294.159999996</c:v>
                </c:pt>
              </c:numCache>
            </c:numRef>
          </c:val>
        </c:ser>
        <c:ser>
          <c:idx val="1"/>
          <c:order val="1"/>
          <c:tx>
            <c:strRef>
              <c:f>'Analysis-WatSan'!$L$4</c:f>
              <c:strCache>
                <c:ptCount val="1"/>
                <c:pt idx="0">
                  <c:v>Medical and First Aid Expenditure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'Analysis-WatSan'!$B$5:$B$12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'Analysis-WatSan'!$L$5:$L$12</c:f>
              <c:numCache>
                <c:formatCode>#,##0</c:formatCode>
                <c:ptCount val="8"/>
                <c:pt idx="0">
                  <c:v>970721.39</c:v>
                </c:pt>
                <c:pt idx="1">
                  <c:v>4454019.75</c:v>
                </c:pt>
                <c:pt idx="2">
                  <c:v>772984.9</c:v>
                </c:pt>
                <c:pt idx="3">
                  <c:v>2105138.59</c:v>
                </c:pt>
                <c:pt idx="4">
                  <c:v>5612910.3600000003</c:v>
                </c:pt>
                <c:pt idx="5">
                  <c:v>2138419.0700000003</c:v>
                </c:pt>
                <c:pt idx="6">
                  <c:v>3358863</c:v>
                </c:pt>
                <c:pt idx="7">
                  <c:v>96695690</c:v>
                </c:pt>
              </c:numCache>
            </c:numRef>
          </c:val>
        </c:ser>
        <c:ser>
          <c:idx val="2"/>
          <c:order val="2"/>
          <c:tx>
            <c:v>Other expenditures</c:v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numRef>
              <c:f>'Analysis-WatSan'!$B$5:$B$12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'Analysis-WatSan'!$N$5:$N$12</c:f>
              <c:numCache>
                <c:formatCode>#,##0</c:formatCode>
                <c:ptCount val="8"/>
                <c:pt idx="0">
                  <c:v>62753650.011599995</c:v>
                </c:pt>
                <c:pt idx="1">
                  <c:v>273507873.91000003</c:v>
                </c:pt>
                <c:pt idx="2">
                  <c:v>49898965.079999998</c:v>
                </c:pt>
                <c:pt idx="3">
                  <c:v>260519733.79000002</c:v>
                </c:pt>
                <c:pt idx="4">
                  <c:v>115273277.55</c:v>
                </c:pt>
                <c:pt idx="5">
                  <c:v>81075284.229999989</c:v>
                </c:pt>
                <c:pt idx="6">
                  <c:v>212120953.16000006</c:v>
                </c:pt>
                <c:pt idx="7">
                  <c:v>540940976.93999922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669248"/>
        <c:axId val="113670784"/>
      </c:barChart>
      <c:catAx>
        <c:axId val="113669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670784"/>
        <c:crosses val="autoZero"/>
        <c:auto val="1"/>
        <c:lblAlgn val="ctr"/>
        <c:lblOffset val="100"/>
        <c:noMultiLvlLbl val="0"/>
      </c:catAx>
      <c:valAx>
        <c:axId val="113670784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high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6692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3024867957746564"/>
          <c:y val="0.31952744488005558"/>
          <c:w val="0.26713007874015693"/>
          <c:h val="0.259874311485712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Watsan HP beneficiaries</c:v>
          </c:tx>
          <c:invertIfNegative val="0"/>
          <c:cat>
            <c:numRef>
              <c:f>'Analysis-WatSan'!$B$5:$B$7</c:f>
              <c:numCache>
                <c:formatCode>General</c:formatCode>
                <c:ptCount val="3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</c:numCache>
            </c:numRef>
          </c:cat>
          <c:val>
            <c:numRef>
              <c:f>'Analysis-WatSan'!$C$5:$C$7</c:f>
              <c:numCache>
                <c:formatCode>#,##0</c:formatCode>
                <c:ptCount val="3"/>
                <c:pt idx="0">
                  <c:v>1422918</c:v>
                </c:pt>
                <c:pt idx="1">
                  <c:v>2523041</c:v>
                </c:pt>
                <c:pt idx="2">
                  <c:v>2568951</c:v>
                </c:pt>
              </c:numCache>
            </c:numRef>
          </c:val>
        </c:ser>
        <c:ser>
          <c:idx val="3"/>
          <c:order val="1"/>
          <c:tx>
            <c:v>Hygiene beneficiaries</c:v>
          </c:tx>
          <c:invertIfNegative val="0"/>
          <c:cat>
            <c:numRef>
              <c:f>'Analysis-WatSan'!$B$5:$B$7</c:f>
              <c:numCache>
                <c:formatCode>General</c:formatCode>
                <c:ptCount val="3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</c:numCache>
            </c:numRef>
          </c:cat>
          <c:val>
            <c:numRef>
              <c:f>'Analysis-WatSan'!$H$5:$H$7</c:f>
              <c:numCache>
                <c:formatCode>#,##0</c:formatCode>
                <c:ptCount val="3"/>
                <c:pt idx="0">
                  <c:v>4997039</c:v>
                </c:pt>
                <c:pt idx="1">
                  <c:v>2600598</c:v>
                </c:pt>
                <c:pt idx="2">
                  <c:v>4638770</c:v>
                </c:pt>
              </c:numCache>
            </c:numRef>
          </c:val>
        </c:ser>
        <c:ser>
          <c:idx val="1"/>
          <c:order val="2"/>
          <c:tx>
            <c:v>Health beneficiaries</c:v>
          </c:tx>
          <c:invertIfNegative val="0"/>
          <c:cat>
            <c:numRef>
              <c:f>'Analysis-WatSan'!$B$5:$B$7</c:f>
              <c:numCache>
                <c:formatCode>General</c:formatCode>
                <c:ptCount val="3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</c:numCache>
            </c:numRef>
          </c:cat>
          <c:val>
            <c:numRef>
              <c:f>'Analysis-WatSan'!$I$5:$I$7</c:f>
              <c:numCache>
                <c:formatCode>#,##0</c:formatCode>
                <c:ptCount val="3"/>
                <c:pt idx="0">
                  <c:v>16920427</c:v>
                </c:pt>
                <c:pt idx="1">
                  <c:v>5300418</c:v>
                </c:pt>
                <c:pt idx="2">
                  <c:v>12730576</c:v>
                </c:pt>
              </c:numCache>
            </c:numRef>
          </c:val>
        </c:ser>
        <c:ser>
          <c:idx val="0"/>
          <c:order val="3"/>
          <c:tx>
            <c:v>Total beneficiaries</c:v>
          </c:tx>
          <c:invertIfNegative val="0"/>
          <c:cat>
            <c:numRef>
              <c:f>'Analysis-WatSan'!$B$5:$B$7</c:f>
              <c:numCache>
                <c:formatCode>General</c:formatCode>
                <c:ptCount val="3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</c:numCache>
            </c:numRef>
          </c:cat>
          <c:val>
            <c:numRef>
              <c:f>'Analysis-WatSan'!$O$5:$O$7</c:f>
              <c:numCache>
                <c:formatCode>#,##0</c:formatCode>
                <c:ptCount val="3"/>
                <c:pt idx="0">
                  <c:v>27446633</c:v>
                </c:pt>
                <c:pt idx="1">
                  <c:v>17039001</c:v>
                </c:pt>
                <c:pt idx="2">
                  <c:v>38774110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59648"/>
        <c:axId val="113261184"/>
      </c:barChart>
      <c:catAx>
        <c:axId val="1132596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261184"/>
        <c:crosses val="autoZero"/>
        <c:auto val="1"/>
        <c:lblAlgn val="ctr"/>
        <c:lblOffset val="100"/>
        <c:noMultiLvlLbl val="0"/>
      </c:catAx>
      <c:valAx>
        <c:axId val="113261184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high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259648"/>
        <c:crosses val="autoZero"/>
        <c:crossBetween val="between"/>
        <c:dispUnits>
          <c:builtInUnit val="millions"/>
          <c:dispUnitsLbl/>
        </c:dispUnits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7634854771784303"/>
          <c:y val="0.36271257618221664"/>
          <c:w val="0.32154125962470431"/>
          <c:h val="0.33371021842608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'Analysis-WatSan'!$B$36</c:f>
              <c:strCache>
                <c:ptCount val="1"/>
                <c:pt idx="0">
                  <c:v>Total appeals</c:v>
                </c:pt>
              </c:strCache>
            </c:strRef>
          </c:tx>
          <c:invertIfNegative val="0"/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'Analysis-WatSan'!$B$37:$B$44</c:f>
              <c:numCache>
                <c:formatCode>General</c:formatCode>
                <c:ptCount val="8"/>
                <c:pt idx="0">
                  <c:v>111</c:v>
                </c:pt>
                <c:pt idx="1">
                  <c:v>128</c:v>
                </c:pt>
                <c:pt idx="2">
                  <c:v>93</c:v>
                </c:pt>
                <c:pt idx="3">
                  <c:v>101</c:v>
                </c:pt>
                <c:pt idx="4">
                  <c:v>95</c:v>
                </c:pt>
                <c:pt idx="5">
                  <c:v>95</c:v>
                </c:pt>
                <c:pt idx="6">
                  <c:v>94</c:v>
                </c:pt>
                <c:pt idx="7">
                  <c:v>57</c:v>
                </c:pt>
              </c:numCache>
            </c:numRef>
          </c:val>
        </c:ser>
        <c:ser>
          <c:idx val="2"/>
          <c:order val="1"/>
          <c:tx>
            <c:strRef>
              <c:f>'Analysis-WatSan'!$C$36</c:f>
              <c:strCache>
                <c:ptCount val="1"/>
                <c:pt idx="0">
                  <c:v>N. Of Appeal with WatSan beneficiaries</c:v>
                </c:pt>
              </c:strCache>
            </c:strRef>
          </c:tx>
          <c:invertIfNegative val="0"/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'Analysis-WatSan'!$C$37:$C$44</c:f>
              <c:numCache>
                <c:formatCode>General</c:formatCode>
                <c:ptCount val="8"/>
                <c:pt idx="0">
                  <c:v>72</c:v>
                </c:pt>
                <c:pt idx="1">
                  <c:v>66</c:v>
                </c:pt>
                <c:pt idx="2">
                  <c:v>46</c:v>
                </c:pt>
                <c:pt idx="3">
                  <c:v>44</c:v>
                </c:pt>
                <c:pt idx="4">
                  <c:v>42</c:v>
                </c:pt>
                <c:pt idx="5">
                  <c:v>45</c:v>
                </c:pt>
                <c:pt idx="6">
                  <c:v>42</c:v>
                </c:pt>
                <c:pt idx="7">
                  <c:v>17</c:v>
                </c:pt>
              </c:numCache>
            </c:numRef>
          </c:val>
        </c:ser>
        <c:ser>
          <c:idx val="3"/>
          <c:order val="2"/>
          <c:tx>
            <c:strRef>
              <c:f>'Analysis-WatSan'!$H$36</c:f>
              <c:strCache>
                <c:ptCount val="1"/>
                <c:pt idx="0">
                  <c:v>With Sanitation</c:v>
                </c:pt>
              </c:strCache>
            </c:strRef>
          </c:tx>
          <c:invertIfNegative val="0"/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'Analysis-WatSan'!$H$37:$H$44</c:f>
              <c:numCache>
                <c:formatCode>General</c:formatCode>
                <c:ptCount val="8"/>
                <c:pt idx="0">
                  <c:v>39</c:v>
                </c:pt>
                <c:pt idx="1">
                  <c:v>34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19</c:v>
                </c:pt>
                <c:pt idx="6">
                  <c:v>16</c:v>
                </c:pt>
                <c:pt idx="7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95744"/>
        <c:axId val="113297280"/>
      </c:barChart>
      <c:catAx>
        <c:axId val="1132957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113297280"/>
        <c:crosses val="autoZero"/>
        <c:auto val="1"/>
        <c:lblAlgn val="ctr"/>
        <c:lblOffset val="100"/>
        <c:noMultiLvlLbl val="0"/>
      </c:catAx>
      <c:valAx>
        <c:axId val="113297280"/>
        <c:scaling>
          <c:orientation val="minMax"/>
        </c:scaling>
        <c:delete val="0"/>
        <c:axPos val="t"/>
        <c:majorGridlines/>
        <c:numFmt formatCode="General" sourceLinked="1"/>
        <c:majorTickMark val="out"/>
        <c:minorTickMark val="none"/>
        <c:tickLblPos val="nextTo"/>
        <c:crossAx val="11329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162" r="0.70000000000000162" t="0.750000000000001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Floods per zone (2009, 2010, 2011, absolute number)</a:t>
            </a:r>
          </a:p>
        </c:rich>
      </c:tx>
      <c:layout>
        <c:manualLayout>
          <c:xMode val="edge"/>
          <c:yMode val="edge"/>
          <c:x val="0.10388554462741502"/>
          <c:y val="2.7777691392540407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239955357333101E-2"/>
          <c:y val="0.14526610626835501"/>
          <c:w val="0.74884222355110452"/>
          <c:h val="0.69123808358842964"/>
        </c:manualLayout>
      </c:layout>
      <c:barChart>
        <c:barDir val="col"/>
        <c:grouping val="clustered"/>
        <c:varyColors val="0"/>
        <c:ser>
          <c:idx val="2"/>
          <c:order val="0"/>
          <c:tx>
            <c:v>Floods 2009</c:v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'Analysis-General'!$V$4:$Z$4</c:f>
              <c:strCache>
                <c:ptCount val="5"/>
                <c:pt idx="0">
                  <c:v> Africa</c:v>
                </c:pt>
                <c:pt idx="1">
                  <c:v>Asia Pacific</c:v>
                </c:pt>
                <c:pt idx="2">
                  <c:v>Europe</c:v>
                </c:pt>
                <c:pt idx="3">
                  <c:v>Middle East and North Africa</c:v>
                </c:pt>
                <c:pt idx="4">
                  <c:v>Americas</c:v>
                </c:pt>
              </c:strCache>
            </c:strRef>
          </c:cat>
          <c:val>
            <c:numRef>
              <c:f>'Analysis-General'!$AN$11:$AR$11</c:f>
              <c:numCache>
                <c:formatCode>General</c:formatCode>
                <c:ptCount val="5"/>
                <c:pt idx="0">
                  <c:v>14</c:v>
                </c:pt>
                <c:pt idx="1">
                  <c:v>4</c:v>
                </c:pt>
                <c:pt idx="2">
                  <c:v>7</c:v>
                </c:pt>
                <c:pt idx="3">
                  <c:v>2</c:v>
                </c:pt>
                <c:pt idx="4">
                  <c:v>10</c:v>
                </c:pt>
              </c:numCache>
            </c:numRef>
          </c:val>
        </c:ser>
        <c:ser>
          <c:idx val="1"/>
          <c:order val="1"/>
          <c:tx>
            <c:v>Floods 2010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'Analysis-General'!$V$4:$Z$4</c:f>
              <c:strCache>
                <c:ptCount val="5"/>
                <c:pt idx="0">
                  <c:v> Africa</c:v>
                </c:pt>
                <c:pt idx="1">
                  <c:v>Asia Pacific</c:v>
                </c:pt>
                <c:pt idx="2">
                  <c:v>Europe</c:v>
                </c:pt>
                <c:pt idx="3">
                  <c:v>Middle East and North Africa</c:v>
                </c:pt>
                <c:pt idx="4">
                  <c:v>Americas</c:v>
                </c:pt>
              </c:strCache>
            </c:strRef>
          </c:cat>
          <c:val>
            <c:numRef>
              <c:f>'Analysis-General'!$AE$11:$AI$11</c:f>
              <c:numCache>
                <c:formatCode>General</c:formatCode>
                <c:ptCount val="5"/>
                <c:pt idx="0">
                  <c:v>23</c:v>
                </c:pt>
                <c:pt idx="1">
                  <c:v>11</c:v>
                </c:pt>
                <c:pt idx="2">
                  <c:v>16</c:v>
                </c:pt>
                <c:pt idx="3">
                  <c:v>4</c:v>
                </c:pt>
                <c:pt idx="4">
                  <c:v>12</c:v>
                </c:pt>
              </c:numCache>
            </c:numRef>
          </c:val>
        </c:ser>
        <c:ser>
          <c:idx val="0"/>
          <c:order val="2"/>
          <c:tx>
            <c:v>Floods 2011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'Analysis-General'!$V$4:$Z$4</c:f>
              <c:strCache>
                <c:ptCount val="5"/>
                <c:pt idx="0">
                  <c:v> Africa</c:v>
                </c:pt>
                <c:pt idx="1">
                  <c:v>Asia Pacific</c:v>
                </c:pt>
                <c:pt idx="2">
                  <c:v>Europe</c:v>
                </c:pt>
                <c:pt idx="3">
                  <c:v>Middle East and North Africa</c:v>
                </c:pt>
                <c:pt idx="4">
                  <c:v>Americas</c:v>
                </c:pt>
              </c:strCache>
            </c:strRef>
          </c:cat>
          <c:val>
            <c:numRef>
              <c:f>'Analysis-General'!$V$11:$Z$11</c:f>
              <c:numCache>
                <c:formatCode>General</c:formatCode>
                <c:ptCount val="5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1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907520"/>
        <c:axId val="109986560"/>
      </c:barChart>
      <c:catAx>
        <c:axId val="10890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986560"/>
        <c:crosses val="autoZero"/>
        <c:auto val="1"/>
        <c:lblAlgn val="ctr"/>
        <c:lblOffset val="100"/>
        <c:noMultiLvlLbl val="0"/>
      </c:catAx>
      <c:valAx>
        <c:axId val="10998656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9075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310485614585902"/>
          <c:y val="0.37847368037328977"/>
          <c:w val="0.18199273941332247"/>
          <c:h val="0.2500007290755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0" i="0" baseline="0"/>
              <a:t>Ratio between water and sanitation beneficiaries by scale size</a:t>
            </a:r>
            <a:endParaRPr lang="en-GB" sz="1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'Analysis-WatSan'!$A$44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cat>
            <c:strRef>
              <c:f>'Analysis-WatSan'!$M$36:$P$36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'Analysis-WatSan'!$M$44:$P$44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12.2</c:v>
                </c:pt>
                <c:pt idx="3">
                  <c:v>2.15</c:v>
                </c:pt>
              </c:numCache>
            </c:numRef>
          </c:val>
        </c:ser>
        <c:ser>
          <c:idx val="6"/>
          <c:order val="1"/>
          <c:tx>
            <c:strRef>
              <c:f>'Analysis-WatSan'!$A$43</c:f>
              <c:strCache>
                <c:ptCount val="1"/>
                <c:pt idx="0">
                  <c:v>2005</c:v>
                </c:pt>
              </c:strCache>
            </c:strRef>
          </c:tx>
          <c:invertIfNegative val="0"/>
          <c:cat>
            <c:strRef>
              <c:f>'Analysis-WatSan'!$M$36:$P$36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'Analysis-WatSan'!$M$43:$P$43</c:f>
              <c:numCache>
                <c:formatCode>General</c:formatCode>
                <c:ptCount val="4"/>
                <c:pt idx="0">
                  <c:v>2.6</c:v>
                </c:pt>
                <c:pt idx="1">
                  <c:v>2.42</c:v>
                </c:pt>
                <c:pt idx="2">
                  <c:v>5.3</c:v>
                </c:pt>
                <c:pt idx="3">
                  <c:v>13</c:v>
                </c:pt>
              </c:numCache>
            </c:numRef>
          </c:val>
        </c:ser>
        <c:ser>
          <c:idx val="5"/>
          <c:order val="2"/>
          <c:tx>
            <c:strRef>
              <c:f>'Analysis-WatSan'!$A$42</c:f>
              <c:strCache>
                <c:ptCount val="1"/>
                <c:pt idx="0">
                  <c:v>2006</c:v>
                </c:pt>
              </c:strCache>
            </c:strRef>
          </c:tx>
          <c:invertIfNegative val="0"/>
          <c:cat>
            <c:strRef>
              <c:f>'Analysis-WatSan'!$M$36:$P$36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'Analysis-WatSan'!$M$42:$P$42</c:f>
              <c:numCache>
                <c:formatCode>General</c:formatCode>
                <c:ptCount val="4"/>
                <c:pt idx="0">
                  <c:v>4.4000000000000004</c:v>
                </c:pt>
                <c:pt idx="1">
                  <c:v>0.99</c:v>
                </c:pt>
                <c:pt idx="2">
                  <c:v>2.4</c:v>
                </c:pt>
                <c:pt idx="3">
                  <c:v>1.4</c:v>
                </c:pt>
              </c:numCache>
            </c:numRef>
          </c:val>
        </c:ser>
        <c:ser>
          <c:idx val="4"/>
          <c:order val="3"/>
          <c:tx>
            <c:strRef>
              <c:f>'Analysis-WatSan'!$A$41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'Analysis-WatSan'!$M$36:$P$36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'Analysis-WatSan'!$M$41:$P$41</c:f>
              <c:numCache>
                <c:formatCode>General</c:formatCode>
                <c:ptCount val="4"/>
                <c:pt idx="0">
                  <c:v>9.6</c:v>
                </c:pt>
                <c:pt idx="1">
                  <c:v>0.92</c:v>
                </c:pt>
                <c:pt idx="2">
                  <c:v>11</c:v>
                </c:pt>
                <c:pt idx="3">
                  <c:v>7.6</c:v>
                </c:pt>
              </c:numCache>
            </c:numRef>
          </c:val>
        </c:ser>
        <c:ser>
          <c:idx val="3"/>
          <c:order val="4"/>
          <c:tx>
            <c:strRef>
              <c:f>'Analysis-WatSan'!$A$40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'Analysis-WatSan'!$M$36:$P$36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'Analysis-WatSan'!$M$40:$P$40</c:f>
              <c:numCache>
                <c:formatCode>General</c:formatCode>
                <c:ptCount val="4"/>
                <c:pt idx="0">
                  <c:v>1.74</c:v>
                </c:pt>
                <c:pt idx="1">
                  <c:v>1.4</c:v>
                </c:pt>
                <c:pt idx="2">
                  <c:v>1.3</c:v>
                </c:pt>
                <c:pt idx="3">
                  <c:v>2.9</c:v>
                </c:pt>
              </c:numCache>
            </c:numRef>
          </c:val>
        </c:ser>
        <c:ser>
          <c:idx val="2"/>
          <c:order val="5"/>
          <c:tx>
            <c:strRef>
              <c:f>'Analysis-WatSan'!$A$39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'Analysis-WatSan'!$M$36:$P$36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'Analysis-WatSan'!$M$39:$P$39</c:f>
              <c:numCache>
                <c:formatCode>General</c:formatCode>
                <c:ptCount val="4"/>
                <c:pt idx="0">
                  <c:v>5.44</c:v>
                </c:pt>
                <c:pt idx="1">
                  <c:v>17</c:v>
                </c:pt>
                <c:pt idx="2">
                  <c:v>7.7</c:v>
                </c:pt>
                <c:pt idx="3">
                  <c:v>3.14</c:v>
                </c:pt>
              </c:numCache>
            </c:numRef>
          </c:val>
        </c:ser>
        <c:ser>
          <c:idx val="1"/>
          <c:order val="6"/>
          <c:tx>
            <c:strRef>
              <c:f>'Analysis-WatSan'!$A$38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'Analysis-WatSan'!$M$36:$P$36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'Analysis-WatSan'!$M$38:$P$38</c:f>
              <c:numCache>
                <c:formatCode>General</c:formatCode>
                <c:ptCount val="4"/>
                <c:pt idx="0">
                  <c:v>5.32</c:v>
                </c:pt>
                <c:pt idx="1">
                  <c:v>1.5</c:v>
                </c:pt>
                <c:pt idx="2">
                  <c:v>20.7</c:v>
                </c:pt>
                <c:pt idx="3">
                  <c:v>2.17</c:v>
                </c:pt>
              </c:numCache>
            </c:numRef>
          </c:val>
        </c:ser>
        <c:ser>
          <c:idx val="0"/>
          <c:order val="7"/>
          <c:tx>
            <c:strRef>
              <c:f>'Analysis-WatSan'!$A$37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'Analysis-WatSan'!$M$36:$P$36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'Analysis-WatSan'!$M$37:$P$37</c:f>
              <c:numCache>
                <c:formatCode>General</c:formatCode>
                <c:ptCount val="4"/>
                <c:pt idx="0">
                  <c:v>4.57</c:v>
                </c:pt>
                <c:pt idx="1">
                  <c:v>3</c:v>
                </c:pt>
                <c:pt idx="2">
                  <c:v>2.5</c:v>
                </c:pt>
                <c:pt idx="3">
                  <c:v>2.25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347584"/>
        <c:axId val="113357568"/>
      </c:barChart>
      <c:catAx>
        <c:axId val="11334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357568"/>
        <c:crosses val="autoZero"/>
        <c:auto val="1"/>
        <c:lblAlgn val="ctr"/>
        <c:lblOffset val="100"/>
        <c:noMultiLvlLbl val="0"/>
      </c:catAx>
      <c:valAx>
        <c:axId val="11335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334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162" r="0.70000000000000162" t="0.75000000000000189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="0"/>
              <a:t>N.appeals</a:t>
            </a:r>
            <a:r>
              <a:rPr lang="en-GB" b="0" baseline="0"/>
              <a:t> with WatSan activities by group of beneficiaries</a:t>
            </a:r>
            <a:endParaRPr lang="en-GB" b="0"/>
          </a:p>
        </c:rich>
      </c:tx>
      <c:layout>
        <c:manualLayout>
          <c:xMode val="edge"/>
          <c:yMode val="edge"/>
          <c:x val="0.11513188976378011"/>
          <c:y val="4.15841713835414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1988407699037568E-2"/>
          <c:y val="0.12060573912499302"/>
          <c:w val="0.83005468066491761"/>
          <c:h val="0.76364401038767904"/>
        </c:manualLayout>
      </c:layout>
      <c:lineChart>
        <c:grouping val="standard"/>
        <c:varyColors val="0"/>
        <c:ser>
          <c:idx val="7"/>
          <c:order val="0"/>
          <c:tx>
            <c:strRef>
              <c:f>'Analysis-WatSan'!$A$44</c:f>
              <c:strCache>
                <c:ptCount val="1"/>
                <c:pt idx="0">
                  <c:v>2004</c:v>
                </c:pt>
              </c:strCache>
            </c:strRef>
          </c:tx>
          <c:marker>
            <c:symbol val="none"/>
          </c:marker>
          <c:cat>
            <c:strRef>
              <c:f>'Analysis-WatSan'!$D$36:$G$36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'Analysis-WatSan'!$D$44:$G$44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8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'Analysis-WatSan'!$A$43</c:f>
              <c:strCache>
                <c:ptCount val="1"/>
                <c:pt idx="0">
                  <c:v>2005</c:v>
                </c:pt>
              </c:strCache>
            </c:strRef>
          </c:tx>
          <c:marker>
            <c:symbol val="none"/>
          </c:marker>
          <c:cat>
            <c:strRef>
              <c:f>'Analysis-WatSan'!$D$36:$G$36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'Analysis-WatSan'!$D$43:$G$43</c:f>
              <c:numCache>
                <c:formatCode>General</c:formatCode>
                <c:ptCount val="4"/>
                <c:pt idx="0">
                  <c:v>7</c:v>
                </c:pt>
                <c:pt idx="1">
                  <c:v>5</c:v>
                </c:pt>
                <c:pt idx="2">
                  <c:v>10</c:v>
                </c:pt>
                <c:pt idx="3">
                  <c:v>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'Analysis-WatSan'!$A$42</c:f>
              <c:strCache>
                <c:ptCount val="1"/>
                <c:pt idx="0">
                  <c:v>2006</c:v>
                </c:pt>
              </c:strCache>
            </c:strRef>
          </c:tx>
          <c:marker>
            <c:symbol val="none"/>
          </c:marker>
          <c:cat>
            <c:strRef>
              <c:f>'Analysis-WatSan'!$D$36:$G$36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'Analysis-WatSan'!$D$42:$G$42</c:f>
              <c:numCache>
                <c:formatCode>General</c:formatCode>
                <c:ptCount val="4"/>
                <c:pt idx="0">
                  <c:v>9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'Analysis-WatSan'!$A$41</c:f>
              <c:strCache>
                <c:ptCount val="1"/>
                <c:pt idx="0">
                  <c:v>2007</c:v>
                </c:pt>
              </c:strCache>
            </c:strRef>
          </c:tx>
          <c:marker>
            <c:symbol val="none"/>
          </c:marker>
          <c:cat>
            <c:strRef>
              <c:f>'Analysis-WatSan'!$D$36:$G$36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'Analysis-WatSan'!$D$41:$G$41</c:f>
              <c:numCache>
                <c:formatCode>General</c:formatCode>
                <c:ptCount val="4"/>
                <c:pt idx="0">
                  <c:v>10</c:v>
                </c:pt>
                <c:pt idx="1">
                  <c:v>3</c:v>
                </c:pt>
                <c:pt idx="2">
                  <c:v>13</c:v>
                </c:pt>
                <c:pt idx="3">
                  <c:v>15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'Analysis-WatSan'!$A$40</c:f>
              <c:strCache>
                <c:ptCount val="1"/>
                <c:pt idx="0">
                  <c:v>2008</c:v>
                </c:pt>
              </c:strCache>
            </c:strRef>
          </c:tx>
          <c:marker>
            <c:symbol val="none"/>
          </c:marker>
          <c:cat>
            <c:strRef>
              <c:f>'Analysis-WatSan'!$D$36:$G$36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'Analysis-WatSan'!$D$40:$G$40</c:f>
              <c:numCache>
                <c:formatCode>General</c:formatCode>
                <c:ptCount val="4"/>
                <c:pt idx="0">
                  <c:v>8</c:v>
                </c:pt>
                <c:pt idx="1">
                  <c:v>11</c:v>
                </c:pt>
                <c:pt idx="2">
                  <c:v>10</c:v>
                </c:pt>
                <c:pt idx="3">
                  <c:v>15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'Analysis-WatSan'!$A$39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'Analysis-WatSan'!$D$36:$G$36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'Analysis-WatSan'!$D$39:$G$39</c:f>
              <c:numCache>
                <c:formatCode>General</c:formatCode>
                <c:ptCount val="4"/>
                <c:pt idx="0">
                  <c:v>14</c:v>
                </c:pt>
                <c:pt idx="1">
                  <c:v>3</c:v>
                </c:pt>
                <c:pt idx="2">
                  <c:v>16</c:v>
                </c:pt>
                <c:pt idx="3">
                  <c:v>13</c:v>
                </c:pt>
              </c:numCache>
            </c:numRef>
          </c:val>
          <c:smooth val="0"/>
        </c:ser>
        <c:ser>
          <c:idx val="1"/>
          <c:order val="6"/>
          <c:tx>
            <c:strRef>
              <c:f>'Analysis-WatSan'!$A$38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'Analysis-WatSan'!$D$36:$G$36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'Analysis-WatSan'!$D$38:$G$38</c:f>
              <c:numCache>
                <c:formatCode>General</c:formatCode>
                <c:ptCount val="4"/>
                <c:pt idx="0">
                  <c:v>14</c:v>
                </c:pt>
                <c:pt idx="1">
                  <c:v>15</c:v>
                </c:pt>
                <c:pt idx="2">
                  <c:v>21</c:v>
                </c:pt>
                <c:pt idx="3">
                  <c:v>16</c:v>
                </c:pt>
              </c:numCache>
            </c:numRef>
          </c:val>
          <c:smooth val="0"/>
        </c:ser>
        <c:ser>
          <c:idx val="0"/>
          <c:order val="7"/>
          <c:tx>
            <c:strRef>
              <c:f>'Analysis-WatSan'!$A$37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'Analysis-WatSan'!$D$36:$G$36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'Analysis-WatSan'!$D$37:$G$37</c:f>
              <c:numCache>
                <c:formatCode>General</c:formatCode>
                <c:ptCount val="4"/>
                <c:pt idx="0">
                  <c:v>16</c:v>
                </c:pt>
                <c:pt idx="1">
                  <c:v>13</c:v>
                </c:pt>
                <c:pt idx="2">
                  <c:v>17</c:v>
                </c:pt>
                <c:pt idx="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5968"/>
        <c:axId val="113410048"/>
      </c:lineChart>
      <c:catAx>
        <c:axId val="11339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3410048"/>
        <c:crosses val="autoZero"/>
        <c:auto val="1"/>
        <c:lblAlgn val="ctr"/>
        <c:lblOffset val="100"/>
        <c:noMultiLvlLbl val="0"/>
      </c:catAx>
      <c:valAx>
        <c:axId val="113410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339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162" r="0.70000000000000162" t="0.75000000000000189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 b="0" i="0" baseline="0"/>
              <a:t>WatSan Expenditure by zone (3 zones) </a:t>
            </a:r>
            <a:endParaRPr lang="en-GB" sz="1600" b="1" i="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772177378800226E-2"/>
          <c:y val="0.21433685221086474"/>
          <c:w val="0.65321249370955969"/>
          <c:h val="0.67293568083584365"/>
        </c:manualLayout>
      </c:layout>
      <c:lineChart>
        <c:grouping val="standard"/>
        <c:varyColors val="0"/>
        <c:ser>
          <c:idx val="0"/>
          <c:order val="0"/>
          <c:tx>
            <c:strRef>
              <c:f>'Analysis-WatSan'!$CH$3</c:f>
              <c:strCache>
                <c:ptCount val="1"/>
                <c:pt idx="0">
                  <c:v> Africa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0.1053678097349458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9403594089571817E-3"/>
                  <c:y val="9.8470222449661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7833006345080211E-2"/>
                  <c:y val="-3.4464577857381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'Analysis-WatSan'!$CG$4:$CG$11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'Analysis-WatSan'!$CH$4:$CH$11</c:f>
              <c:numCache>
                <c:formatCode>#,##0</c:formatCode>
                <c:ptCount val="8"/>
                <c:pt idx="0">
                  <c:v>3894221</c:v>
                </c:pt>
                <c:pt idx="1">
                  <c:v>2067950</c:v>
                </c:pt>
                <c:pt idx="2">
                  <c:v>1285260</c:v>
                </c:pt>
                <c:pt idx="3">
                  <c:v>1734025</c:v>
                </c:pt>
                <c:pt idx="4">
                  <c:v>1804124</c:v>
                </c:pt>
                <c:pt idx="5">
                  <c:v>2136008</c:v>
                </c:pt>
                <c:pt idx="6">
                  <c:v>400902</c:v>
                </c:pt>
                <c:pt idx="7">
                  <c:v>267191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'Analysis-WatSan'!$CK$3</c:f>
              <c:strCache>
                <c:ptCount val="1"/>
                <c:pt idx="0">
                  <c:v>Europe</c:v>
                </c:pt>
              </c:strCache>
            </c:strRef>
          </c:tx>
          <c:marker>
            <c:symbol val="none"/>
          </c:marker>
          <c:cat>
            <c:numRef>
              <c:f>'Analysis-WatSan'!$CG$4:$CG$11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'Analysis-WatSan'!$CK$4:$CK$11</c:f>
              <c:numCache>
                <c:formatCode>#,##0</c:formatCode>
                <c:ptCount val="8"/>
                <c:pt idx="0">
                  <c:v>60961</c:v>
                </c:pt>
                <c:pt idx="1">
                  <c:v>160372</c:v>
                </c:pt>
                <c:pt idx="2">
                  <c:v>390688</c:v>
                </c:pt>
                <c:pt idx="3">
                  <c:v>231005</c:v>
                </c:pt>
                <c:pt idx="4">
                  <c:v>67682</c:v>
                </c:pt>
                <c:pt idx="5">
                  <c:v>28969</c:v>
                </c:pt>
                <c:pt idx="6">
                  <c:v>140850</c:v>
                </c:pt>
                <c:pt idx="7">
                  <c:v>25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'Analysis-WatSan'!$CL$3</c:f>
              <c:strCache>
                <c:ptCount val="1"/>
                <c:pt idx="0">
                  <c:v>MENA</c:v>
                </c:pt>
              </c:strCache>
            </c:strRef>
          </c:tx>
          <c:marker>
            <c:symbol val="none"/>
          </c:marker>
          <c:dLbls>
            <c:dLbl>
              <c:idx val="2"/>
              <c:layout>
                <c:manualLayout>
                  <c:x val="-8.5487090917031813E-2"/>
                  <c:y val="-1.4770533367449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'Analysis-WatSan'!$CG$4:$CG$11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'Analysis-WatSan'!$CL$4:$CL$11</c:f>
              <c:numCache>
                <c:formatCode>#,##0</c:formatCode>
                <c:ptCount val="8"/>
                <c:pt idx="0">
                  <c:v>374984</c:v>
                </c:pt>
                <c:pt idx="1">
                  <c:v>0</c:v>
                </c:pt>
                <c:pt idx="2">
                  <c:v>572961</c:v>
                </c:pt>
                <c:pt idx="3">
                  <c:v>44676</c:v>
                </c:pt>
                <c:pt idx="4">
                  <c:v>0</c:v>
                </c:pt>
                <c:pt idx="5">
                  <c:v>85705</c:v>
                </c:pt>
                <c:pt idx="6">
                  <c:v>237064</c:v>
                </c:pt>
                <c:pt idx="7">
                  <c:v>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39968"/>
        <c:axId val="119541760"/>
      </c:lineChart>
      <c:catAx>
        <c:axId val="1195399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19541760"/>
        <c:crosses val="autoZero"/>
        <c:auto val="1"/>
        <c:lblAlgn val="ctr"/>
        <c:lblOffset val="100"/>
        <c:noMultiLvlLbl val="0"/>
      </c:catAx>
      <c:valAx>
        <c:axId val="119541760"/>
        <c:scaling>
          <c:orientation val="minMax"/>
        </c:scaling>
        <c:delete val="0"/>
        <c:axPos val="r"/>
        <c:majorGridlines/>
        <c:numFmt formatCode="#,##0" sourceLinked="1"/>
        <c:majorTickMark val="out"/>
        <c:minorTickMark val="none"/>
        <c:tickLblPos val="high"/>
        <c:crossAx val="119539968"/>
        <c:crosses val="autoZero"/>
        <c:crossBetween val="between"/>
        <c:dispUnits>
          <c:builtInUnit val="millions"/>
          <c:dispUnitsLbl/>
        </c:dispUnits>
      </c:valAx>
    </c:plotArea>
    <c:legend>
      <c:legendPos val="r"/>
      <c:layout>
        <c:manualLayout>
          <c:xMode val="edge"/>
          <c:yMode val="edge"/>
          <c:x val="0.73179930810419447"/>
          <c:y val="0.44213521583278026"/>
          <c:w val="0.25483021601214501"/>
          <c:h val="0.437599983276329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0" i="0" baseline="0"/>
              <a:t>N.appeals with WatSan activities by group of beneficiaries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'Analysis-WatSan'!$L$36</c:f>
              <c:strCache>
                <c:ptCount val="1"/>
                <c:pt idx="0">
                  <c:v>&gt;50000</c:v>
                </c:pt>
              </c:strCache>
            </c:strRef>
          </c:tx>
          <c:marker>
            <c:symbol val="none"/>
          </c:marker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'Analysis-WatSan'!$L$37:$L$44</c:f>
              <c:numCache>
                <c:formatCode>General</c:formatCode>
                <c:ptCount val="8"/>
                <c:pt idx="0">
                  <c:v>17</c:v>
                </c:pt>
                <c:pt idx="1">
                  <c:v>10</c:v>
                </c:pt>
                <c:pt idx="2">
                  <c:v>7</c:v>
                </c:pt>
                <c:pt idx="3">
                  <c:v>11</c:v>
                </c:pt>
                <c:pt idx="4">
                  <c:v>13</c:v>
                </c:pt>
                <c:pt idx="5">
                  <c:v>11</c:v>
                </c:pt>
                <c:pt idx="6">
                  <c:v>7</c:v>
                </c:pt>
                <c:pt idx="7">
                  <c:v>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'Analysis-WatSan'!$K$36</c:f>
              <c:strCache>
                <c:ptCount val="1"/>
                <c:pt idx="0">
                  <c:v>]10000,50000]</c:v>
                </c:pt>
              </c:strCache>
            </c:strRef>
          </c:tx>
          <c:marker>
            <c:symbol val="none"/>
          </c:marker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'Analysis-WatSan'!$K$37:$K$44</c:f>
              <c:numCache>
                <c:formatCode>General</c:formatCode>
                <c:ptCount val="8"/>
                <c:pt idx="0">
                  <c:v>10</c:v>
                </c:pt>
                <c:pt idx="1">
                  <c:v>9</c:v>
                </c:pt>
                <c:pt idx="2">
                  <c:v>13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4</c:v>
                </c:pt>
                <c:pt idx="7">
                  <c:v>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'Analysis-WatSan'!$J$36</c:f>
              <c:strCache>
                <c:ptCount val="1"/>
                <c:pt idx="0">
                  <c:v>]5000,10000]</c:v>
                </c:pt>
              </c:strCache>
            </c:strRef>
          </c:tx>
          <c:marker>
            <c:symbol val="none"/>
          </c:marker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'Analysis-WatSan'!$J$37:$J$44</c:f>
              <c:numCache>
                <c:formatCode>General</c:formatCode>
                <c:ptCount val="8"/>
                <c:pt idx="0">
                  <c:v>8</c:v>
                </c:pt>
                <c:pt idx="1">
                  <c:v>8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'Analysis-WatSan'!$I$36</c:f>
              <c:strCache>
                <c:ptCount val="1"/>
                <c:pt idx="0">
                  <c:v>≤ 5000</c:v>
                </c:pt>
              </c:strCache>
            </c:strRef>
          </c:tx>
          <c:marker>
            <c:symbol val="none"/>
          </c:marker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'Analysis-WatSan'!$I$37:$I$44</c:f>
              <c:numCache>
                <c:formatCode>General</c:formatCode>
                <c:ptCount val="8"/>
                <c:pt idx="0">
                  <c:v>6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7696"/>
        <c:axId val="119603584"/>
      </c:lineChart>
      <c:catAx>
        <c:axId val="11959769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19603584"/>
        <c:crosses val="autoZero"/>
        <c:auto val="1"/>
        <c:lblAlgn val="ctr"/>
        <c:lblOffset val="100"/>
        <c:noMultiLvlLbl val="0"/>
      </c:catAx>
      <c:valAx>
        <c:axId val="11960358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high"/>
        <c:crossAx val="11959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 b="0" i="0" baseline="0"/>
              <a:t>WatSan Expenditure by zone (5 zones) </a:t>
            </a:r>
            <a:endParaRPr lang="en-GB" sz="1600" b="1" i="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66853593837059"/>
          <c:y val="0.18729296981108232"/>
          <c:w val="0.70197778752096851"/>
          <c:h val="0.69431943767419357"/>
        </c:manualLayout>
      </c:layout>
      <c:lineChart>
        <c:grouping val="standard"/>
        <c:varyColors val="0"/>
        <c:ser>
          <c:idx val="0"/>
          <c:order val="0"/>
          <c:tx>
            <c:v>Africa</c:v>
          </c:tx>
          <c:marker>
            <c:symbol val="none"/>
          </c:marker>
          <c:val>
            <c:numRef>
              <c:f>'Analysis-WatSan'!$CH$4:$CH$11</c:f>
              <c:numCache>
                <c:formatCode>#,##0</c:formatCode>
                <c:ptCount val="8"/>
                <c:pt idx="0">
                  <c:v>3894221</c:v>
                </c:pt>
                <c:pt idx="1">
                  <c:v>2067950</c:v>
                </c:pt>
                <c:pt idx="2">
                  <c:v>1285260</c:v>
                </c:pt>
                <c:pt idx="3">
                  <c:v>1734025</c:v>
                </c:pt>
                <c:pt idx="4">
                  <c:v>1804124</c:v>
                </c:pt>
                <c:pt idx="5">
                  <c:v>2136008</c:v>
                </c:pt>
                <c:pt idx="6">
                  <c:v>400902</c:v>
                </c:pt>
                <c:pt idx="7">
                  <c:v>267191</c:v>
                </c:pt>
              </c:numCache>
            </c:numRef>
          </c:val>
          <c:smooth val="0"/>
        </c:ser>
        <c:ser>
          <c:idx val="1"/>
          <c:order val="1"/>
          <c:tx>
            <c:v>Americas</c:v>
          </c:tx>
          <c:marker>
            <c:symbol val="none"/>
          </c:marker>
          <c:dLbls>
            <c:dLbl>
              <c:idx val="1"/>
              <c:layout>
                <c:manualLayout>
                  <c:x val="-2.3856862581497211E-2"/>
                  <c:y val="-2.954106673489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'Analysis-WatSan'!$CI$4:$CI$11</c:f>
              <c:numCache>
                <c:formatCode>#,##0</c:formatCode>
                <c:ptCount val="8"/>
                <c:pt idx="0">
                  <c:v>232134</c:v>
                </c:pt>
                <c:pt idx="1">
                  <c:v>22492008</c:v>
                </c:pt>
                <c:pt idx="2">
                  <c:v>445493</c:v>
                </c:pt>
                <c:pt idx="3">
                  <c:v>401263</c:v>
                </c:pt>
                <c:pt idx="4">
                  <c:v>128050</c:v>
                </c:pt>
                <c:pt idx="5">
                  <c:v>58692</c:v>
                </c:pt>
                <c:pt idx="6">
                  <c:v>333520</c:v>
                </c:pt>
                <c:pt idx="7">
                  <c:v>342917</c:v>
                </c:pt>
              </c:numCache>
            </c:numRef>
          </c:val>
          <c:smooth val="0"/>
        </c:ser>
        <c:ser>
          <c:idx val="2"/>
          <c:order val="2"/>
          <c:tx>
            <c:v>Asia Pacific</c:v>
          </c:tx>
          <c:marker>
            <c:symbol val="none"/>
          </c:marker>
          <c:dLbls>
            <c:dLbl>
              <c:idx val="3"/>
              <c:layout>
                <c:manualLayout>
                  <c:x val="-4.5725653281203003E-2"/>
                  <c:y val="-5.9082133469796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'Analysis-WatSan'!$CJ$4:$CJ$11</c:f>
              <c:numCache>
                <c:formatCode>#,##0</c:formatCode>
                <c:ptCount val="8"/>
                <c:pt idx="0">
                  <c:v>491692</c:v>
                </c:pt>
                <c:pt idx="1">
                  <c:v>2974351</c:v>
                </c:pt>
                <c:pt idx="2">
                  <c:v>1628322</c:v>
                </c:pt>
                <c:pt idx="3">
                  <c:v>6921116</c:v>
                </c:pt>
                <c:pt idx="4">
                  <c:v>1799428</c:v>
                </c:pt>
                <c:pt idx="5">
                  <c:v>209075</c:v>
                </c:pt>
                <c:pt idx="6">
                  <c:v>9009168</c:v>
                </c:pt>
                <c:pt idx="7">
                  <c:v>77054989</c:v>
                </c:pt>
              </c:numCache>
            </c:numRef>
          </c:val>
          <c:smooth val="0"/>
        </c:ser>
        <c:ser>
          <c:idx val="3"/>
          <c:order val="3"/>
          <c:tx>
            <c:v>Europe</c:v>
          </c:tx>
          <c:marker>
            <c:symbol val="none"/>
          </c:marker>
          <c:val>
            <c:numRef>
              <c:f>'Analysis-WatSan'!$CK$4:$CK$11</c:f>
              <c:numCache>
                <c:formatCode>#,##0</c:formatCode>
                <c:ptCount val="8"/>
                <c:pt idx="0">
                  <c:v>60961</c:v>
                </c:pt>
                <c:pt idx="1">
                  <c:v>160372</c:v>
                </c:pt>
                <c:pt idx="2">
                  <c:v>390688</c:v>
                </c:pt>
                <c:pt idx="3">
                  <c:v>231005</c:v>
                </c:pt>
                <c:pt idx="4">
                  <c:v>67682</c:v>
                </c:pt>
                <c:pt idx="5">
                  <c:v>28969</c:v>
                </c:pt>
                <c:pt idx="6">
                  <c:v>140850</c:v>
                </c:pt>
                <c:pt idx="7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v>MENA</c:v>
          </c:tx>
          <c:marker>
            <c:symbol val="none"/>
          </c:marker>
          <c:val>
            <c:numRef>
              <c:f>'Analysis-WatSan'!$CG$4:$CG$11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36736"/>
        <c:axId val="119638272"/>
      </c:lineChart>
      <c:catAx>
        <c:axId val="1196367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19638272"/>
        <c:crosses val="autoZero"/>
        <c:auto val="1"/>
        <c:lblAlgn val="ctr"/>
        <c:lblOffset val="100"/>
        <c:noMultiLvlLbl val="0"/>
      </c:catAx>
      <c:valAx>
        <c:axId val="119638272"/>
        <c:scaling>
          <c:orientation val="minMax"/>
        </c:scaling>
        <c:delete val="0"/>
        <c:axPos val="r"/>
        <c:majorGridlines/>
        <c:numFmt formatCode="#,##0" sourceLinked="1"/>
        <c:majorTickMark val="out"/>
        <c:minorTickMark val="none"/>
        <c:tickLblPos val="high"/>
        <c:crossAx val="119636736"/>
        <c:crosses val="autoZero"/>
        <c:crossBetween val="between"/>
        <c:dispUnits>
          <c:builtInUnit val="millions"/>
          <c:dispUnitsLbl/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 b="0"/>
            </a:pPr>
            <a:r>
              <a:rPr lang="en-US" sz="1600" b="0"/>
              <a:t>WatSan Beneficiaries by Zone</a:t>
            </a:r>
          </a:p>
        </c:rich>
      </c:tx>
      <c:layout>
        <c:manualLayout>
          <c:xMode val="edge"/>
          <c:yMode val="edge"/>
          <c:x val="0.28842111426184364"/>
          <c:y val="3.83877159309021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125401929260408E-2"/>
          <c:y val="0.16794625719769754"/>
          <c:w val="0.70900669671114303"/>
          <c:h val="0.71042891471579561"/>
        </c:manualLayout>
      </c:layout>
      <c:lineChart>
        <c:grouping val="standard"/>
        <c:varyColors val="0"/>
        <c:ser>
          <c:idx val="0"/>
          <c:order val="0"/>
          <c:tx>
            <c:v>Africa</c:v>
          </c:tx>
          <c:marker>
            <c:symbol val="none"/>
          </c:marker>
          <c:dLbls>
            <c:dLbl>
              <c:idx val="2"/>
              <c:layout>
                <c:manualLayout>
                  <c:x val="-1.4067524115755721E-2"/>
                  <c:y val="-9.5969289827255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096463022507997E-2"/>
                  <c:y val="-1.9193857965451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4067524115755622E-2"/>
                  <c:y val="-4.7984644913628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rgbClr val="00009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'Analysis-WatSan'!$CG$16:$CG$23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'Analysis-WatSan'!$CH$16:$CH$23</c:f>
              <c:numCache>
                <c:formatCode>#,##0</c:formatCode>
                <c:ptCount val="8"/>
                <c:pt idx="0">
                  <c:v>872194</c:v>
                </c:pt>
                <c:pt idx="1">
                  <c:v>951445</c:v>
                </c:pt>
                <c:pt idx="2">
                  <c:v>2140040</c:v>
                </c:pt>
                <c:pt idx="3">
                  <c:v>740240</c:v>
                </c:pt>
                <c:pt idx="4">
                  <c:v>1780287</c:v>
                </c:pt>
                <c:pt idx="5">
                  <c:v>633357</c:v>
                </c:pt>
                <c:pt idx="6">
                  <c:v>1718020</c:v>
                </c:pt>
                <c:pt idx="7">
                  <c:v>39800</c:v>
                </c:pt>
              </c:numCache>
            </c:numRef>
          </c:val>
          <c:smooth val="0"/>
        </c:ser>
        <c:ser>
          <c:idx val="1"/>
          <c:order val="1"/>
          <c:tx>
            <c:v>Americas</c:v>
          </c:tx>
          <c:marker>
            <c:symbol val="none"/>
          </c:marker>
          <c:dLbls>
            <c:dLbl>
              <c:idx val="1"/>
              <c:layout>
                <c:manualLayout>
                  <c:x val="-1.2057877813504902E-2"/>
                  <c:y val="-1.9193857965451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0385852090032323E-3"/>
                  <c:y val="-1.9193857965451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'Analysis-WatSan'!$CG$16:$CG$23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'Analysis-WatSan'!$CI$16:$CI$23</c:f>
              <c:numCache>
                <c:formatCode>#,##0</c:formatCode>
                <c:ptCount val="8"/>
                <c:pt idx="0">
                  <c:v>124311</c:v>
                </c:pt>
                <c:pt idx="1">
                  <c:v>264043</c:v>
                </c:pt>
                <c:pt idx="2">
                  <c:v>108001</c:v>
                </c:pt>
                <c:pt idx="3">
                  <c:v>62290</c:v>
                </c:pt>
                <c:pt idx="4">
                  <c:v>180088</c:v>
                </c:pt>
                <c:pt idx="5">
                  <c:v>26455</c:v>
                </c:pt>
                <c:pt idx="6">
                  <c:v>85127</c:v>
                </c:pt>
                <c:pt idx="7">
                  <c:v>78855</c:v>
                </c:pt>
              </c:numCache>
            </c:numRef>
          </c:val>
          <c:smooth val="0"/>
        </c:ser>
        <c:ser>
          <c:idx val="2"/>
          <c:order val="2"/>
          <c:tx>
            <c:v>Asia Pacific</c:v>
          </c:tx>
          <c:marker>
            <c:symbol val="none"/>
          </c:marker>
          <c:dLbls>
            <c:dLbl>
              <c:idx val="1"/>
              <c:layout>
                <c:manualLayout>
                  <c:x val="-1.0048231511253999E-2"/>
                  <c:y val="-1.9193857965451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0385852090032565E-3"/>
                  <c:y val="-1.9193857965451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'Analysis-WatSan'!$CG$16:$CG$23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'Analysis-WatSan'!$CJ$16:$CJ$23</c:f>
              <c:numCache>
                <c:formatCode>#,##0</c:formatCode>
                <c:ptCount val="8"/>
                <c:pt idx="0">
                  <c:v>374135</c:v>
                </c:pt>
                <c:pt idx="1">
                  <c:v>1258758</c:v>
                </c:pt>
                <c:pt idx="2">
                  <c:v>36700</c:v>
                </c:pt>
                <c:pt idx="3">
                  <c:v>554080</c:v>
                </c:pt>
                <c:pt idx="4">
                  <c:v>449895</c:v>
                </c:pt>
                <c:pt idx="5">
                  <c:v>653515</c:v>
                </c:pt>
                <c:pt idx="6">
                  <c:v>173369</c:v>
                </c:pt>
                <c:pt idx="7">
                  <c:v>869186</c:v>
                </c:pt>
              </c:numCache>
            </c:numRef>
          </c:val>
          <c:smooth val="0"/>
        </c:ser>
        <c:ser>
          <c:idx val="3"/>
          <c:order val="3"/>
          <c:tx>
            <c:v>Europe</c:v>
          </c:tx>
          <c:marker>
            <c:symbol val="none"/>
          </c:marker>
          <c:cat>
            <c:numRef>
              <c:f>'Analysis-WatSan'!$CG$16:$CG$23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'Analysis-WatSan'!$CK$16:$CK$23</c:f>
              <c:numCache>
                <c:formatCode>#,##0</c:formatCode>
                <c:ptCount val="8"/>
                <c:pt idx="0">
                  <c:v>51278</c:v>
                </c:pt>
                <c:pt idx="1">
                  <c:v>47995</c:v>
                </c:pt>
                <c:pt idx="2">
                  <c:v>16635</c:v>
                </c:pt>
                <c:pt idx="3">
                  <c:v>52003</c:v>
                </c:pt>
                <c:pt idx="4">
                  <c:v>19622</c:v>
                </c:pt>
                <c:pt idx="5">
                  <c:v>3816</c:v>
                </c:pt>
                <c:pt idx="6">
                  <c:v>8690</c:v>
                </c:pt>
                <c:pt idx="7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v>MENA</c:v>
          </c:tx>
          <c:marker>
            <c:symbol val="none"/>
          </c:marker>
          <c:cat>
            <c:numRef>
              <c:f>'Analysis-WatSan'!$CG$16:$CG$23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'Analysis-WatSan'!$CL$16:$CL$23</c:f>
              <c:numCache>
                <c:formatCode>#,##0</c:formatCode>
                <c:ptCount val="8"/>
                <c:pt idx="0">
                  <c:v>1000</c:v>
                </c:pt>
                <c:pt idx="1">
                  <c:v>800</c:v>
                </c:pt>
                <c:pt idx="2">
                  <c:v>0</c:v>
                </c:pt>
                <c:pt idx="3">
                  <c:v>16418</c:v>
                </c:pt>
                <c:pt idx="4">
                  <c:v>0</c:v>
                </c:pt>
                <c:pt idx="5">
                  <c:v>200</c:v>
                </c:pt>
                <c:pt idx="6">
                  <c:v>0</c:v>
                </c:pt>
                <c:pt idx="7">
                  <c:v>1740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23360"/>
        <c:axId val="119849728"/>
      </c:lineChart>
      <c:catAx>
        <c:axId val="11982336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19849728"/>
        <c:crosses val="autoZero"/>
        <c:auto val="1"/>
        <c:lblAlgn val="ctr"/>
        <c:lblOffset val="100"/>
        <c:noMultiLvlLbl val="0"/>
      </c:catAx>
      <c:valAx>
        <c:axId val="119849728"/>
        <c:scaling>
          <c:orientation val="minMax"/>
        </c:scaling>
        <c:delete val="0"/>
        <c:axPos val="r"/>
        <c:majorGridlines/>
        <c:numFmt formatCode="#,##0" sourceLinked="1"/>
        <c:majorTickMark val="out"/>
        <c:minorTickMark val="none"/>
        <c:tickLblPos val="nextTo"/>
        <c:crossAx val="119823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13035167227901"/>
          <c:y val="0.24948501518884025"/>
          <c:w val="0.154831063118718"/>
          <c:h val="0.48183573382501832"/>
        </c:manualLayout>
      </c:layout>
      <c:overlay val="0"/>
    </c:legend>
    <c:plotVisOnly val="1"/>
    <c:dispBlanksAs val="gap"/>
    <c:showDLblsOverMax val="0"/>
  </c:chart>
  <c:printSettings>
    <c:headerFooter/>
    <c:pageMargins b="1" l="0.750000000000001" r="0.750000000000001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0" i="0" baseline="0">
                <a:effectLst/>
              </a:rPr>
              <a:t>N.appeals with Sanitation activities by group of beneficiaries</a:t>
            </a:r>
            <a:endParaRPr lang="en-US" sz="1600">
              <a:effectLst/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2.6639344262295174E-2"/>
          <c:y val="0.19509981851179725"/>
          <c:w val="0.75056554149993449"/>
          <c:h val="0.689897394858311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'Analysis-WatSan'!$I$36</c:f>
              <c:strCache>
                <c:ptCount val="1"/>
                <c:pt idx="0">
                  <c:v>≤ 5000</c:v>
                </c:pt>
              </c:strCache>
            </c:strRef>
          </c:tx>
          <c:invertIfNegative val="0"/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'Analysis-WatSan'!$I$37:$I$44</c:f>
              <c:numCache>
                <c:formatCode>General</c:formatCode>
                <c:ptCount val="8"/>
                <c:pt idx="0">
                  <c:v>6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</c:ser>
        <c:ser>
          <c:idx val="1"/>
          <c:order val="1"/>
          <c:tx>
            <c:strRef>
              <c:f>'Analysis-WatSan'!$J$36</c:f>
              <c:strCache>
                <c:ptCount val="1"/>
                <c:pt idx="0">
                  <c:v>]5000,10000]</c:v>
                </c:pt>
              </c:strCache>
            </c:strRef>
          </c:tx>
          <c:invertIfNegative val="0"/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'Analysis-WatSan'!$J$37:$J$44</c:f>
              <c:numCache>
                <c:formatCode>General</c:formatCode>
                <c:ptCount val="8"/>
                <c:pt idx="0">
                  <c:v>8</c:v>
                </c:pt>
                <c:pt idx="1">
                  <c:v>8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'Analysis-WatSan'!$K$36</c:f>
              <c:strCache>
                <c:ptCount val="1"/>
                <c:pt idx="0">
                  <c:v>]10000,50000]</c:v>
                </c:pt>
              </c:strCache>
            </c:strRef>
          </c:tx>
          <c:invertIfNegative val="0"/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'Analysis-WatSan'!$K$37:$K$44</c:f>
              <c:numCache>
                <c:formatCode>General</c:formatCode>
                <c:ptCount val="8"/>
                <c:pt idx="0">
                  <c:v>10</c:v>
                </c:pt>
                <c:pt idx="1">
                  <c:v>9</c:v>
                </c:pt>
                <c:pt idx="2">
                  <c:v>13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4</c:v>
                </c:pt>
                <c:pt idx="7">
                  <c:v>5</c:v>
                </c:pt>
              </c:numCache>
            </c:numRef>
          </c:val>
        </c:ser>
        <c:ser>
          <c:idx val="3"/>
          <c:order val="3"/>
          <c:tx>
            <c:strRef>
              <c:f>'Analysis-WatSan'!$L$36</c:f>
              <c:strCache>
                <c:ptCount val="1"/>
                <c:pt idx="0">
                  <c:v>&gt;50000</c:v>
                </c:pt>
              </c:strCache>
            </c:strRef>
          </c:tx>
          <c:invertIfNegative val="0"/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'Analysis-WatSan'!$L$37:$L$44</c:f>
              <c:numCache>
                <c:formatCode>General</c:formatCode>
                <c:ptCount val="8"/>
                <c:pt idx="0">
                  <c:v>17</c:v>
                </c:pt>
                <c:pt idx="1">
                  <c:v>10</c:v>
                </c:pt>
                <c:pt idx="2">
                  <c:v>7</c:v>
                </c:pt>
                <c:pt idx="3">
                  <c:v>11</c:v>
                </c:pt>
                <c:pt idx="4">
                  <c:v>13</c:v>
                </c:pt>
                <c:pt idx="5">
                  <c:v>11</c:v>
                </c:pt>
                <c:pt idx="6">
                  <c:v>7</c:v>
                </c:pt>
                <c:pt idx="7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876608"/>
        <c:axId val="119890688"/>
      </c:barChart>
      <c:catAx>
        <c:axId val="11987660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19890688"/>
        <c:crosses val="autoZero"/>
        <c:auto val="1"/>
        <c:lblAlgn val="ctr"/>
        <c:lblOffset val="100"/>
        <c:noMultiLvlLbl val="0"/>
      </c:catAx>
      <c:valAx>
        <c:axId val="11989068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high"/>
        <c:crossAx val="119876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880107553590564"/>
          <c:y val="0.31322220158051944"/>
          <c:w val="0.15632393231395086"/>
          <c:h val="0.21913705118760926"/>
        </c:manualLayout>
      </c:layout>
      <c:overlay val="0"/>
    </c:legend>
    <c:plotVisOnly val="1"/>
    <c:dispBlanksAs val="gap"/>
    <c:showDLblsOverMax val="0"/>
  </c:chart>
  <c:printSettings>
    <c:headerFooter/>
    <c:pageMargins b="1" l="0.750000000000001" r="0.750000000000001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 b="0"/>
            </a:pPr>
            <a:r>
              <a:rPr lang="en-US" sz="1600" b="0"/>
              <a:t>CHF per beneficiary</a:t>
            </a:r>
            <a:r>
              <a:rPr lang="en-US" sz="1600" b="0" baseline="0"/>
              <a:t> by zone (4 Zones)</a:t>
            </a:r>
            <a:endParaRPr lang="en-US" sz="1600" b="0"/>
          </a:p>
        </c:rich>
      </c:tx>
      <c:layout>
        <c:manualLayout>
          <c:xMode val="edge"/>
          <c:yMode val="edge"/>
          <c:x val="0.234825378438033"/>
          <c:y val="3.309692671394800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747812779669816E-2"/>
          <c:y val="0.13277376042280428"/>
          <c:w val="0.75483148353970853"/>
          <c:h val="0.73831388097764272"/>
        </c:manualLayout>
      </c:layout>
      <c:lineChart>
        <c:grouping val="standard"/>
        <c:varyColors val="0"/>
        <c:ser>
          <c:idx val="0"/>
          <c:order val="0"/>
          <c:tx>
            <c:v>Africa</c:v>
          </c:tx>
          <c:marker>
            <c:symbol val="none"/>
          </c:marker>
          <c:cat>
            <c:numRef>
              <c:f>'Analysis-WatSan'!$CG$54:$CG$61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'Analysis-WatSan'!$CH$54:$CH$61</c:f>
              <c:numCache>
                <c:formatCode>0.0</c:formatCode>
                <c:ptCount val="8"/>
                <c:pt idx="0">
                  <c:v>4.4648564424887125</c:v>
                </c:pt>
                <c:pt idx="1">
                  <c:v>2.1734834909006828</c:v>
                </c:pt>
                <c:pt idx="2">
                  <c:v>0.60057755929795709</c:v>
                </c:pt>
                <c:pt idx="3">
                  <c:v>2.3425172916891821</c:v>
                </c:pt>
                <c:pt idx="4">
                  <c:v>1.0133894141787252</c:v>
                </c:pt>
                <c:pt idx="5">
                  <c:v>3.3725181848467769</c:v>
                </c:pt>
                <c:pt idx="6">
                  <c:v>0.23335118333895996</c:v>
                </c:pt>
                <c:pt idx="7">
                  <c:v>6.7133417085427132</c:v>
                </c:pt>
              </c:numCache>
            </c:numRef>
          </c:val>
          <c:smooth val="0"/>
        </c:ser>
        <c:ser>
          <c:idx val="1"/>
          <c:order val="1"/>
          <c:tx>
            <c:v>Americas</c:v>
          </c:tx>
          <c:marker>
            <c:symbol val="none"/>
          </c:marker>
          <c:cat>
            <c:numRef>
              <c:f>'Analysis-WatSan'!$CG$54:$CG$61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'Analysis-WatSan'!$CI$54:$CI$61</c:f>
              <c:numCache>
                <c:formatCode>0.0</c:formatCode>
                <c:ptCount val="8"/>
                <c:pt idx="0">
                  <c:v>1.8673649154137606</c:v>
                </c:pt>
                <c:pt idx="1">
                  <c:v>85.183125475774773</c:v>
                </c:pt>
                <c:pt idx="2">
                  <c:v>4.1248969916945217</c:v>
                </c:pt>
                <c:pt idx="3">
                  <c:v>6.4418526248193935</c:v>
                </c:pt>
                <c:pt idx="4">
                  <c:v>0.7110412687130736</c:v>
                </c:pt>
                <c:pt idx="5">
                  <c:v>2.2185598185598185</c:v>
                </c:pt>
                <c:pt idx="6">
                  <c:v>3.9179108860878453</c:v>
                </c:pt>
                <c:pt idx="7">
                  <c:v>4.3487033162133031</c:v>
                </c:pt>
              </c:numCache>
            </c:numRef>
          </c:val>
          <c:smooth val="0"/>
        </c:ser>
        <c:ser>
          <c:idx val="2"/>
          <c:order val="2"/>
          <c:tx>
            <c:v>Asia Pacific</c:v>
          </c:tx>
          <c:marker>
            <c:symbol val="none"/>
          </c:marker>
          <c:cat>
            <c:numRef>
              <c:f>'Analysis-WatSan'!$CG$54:$CG$61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'Analysis-WatSan'!$CJ$54:$CJ$61</c:f>
              <c:numCache>
                <c:formatCode>0.0</c:formatCode>
                <c:ptCount val="8"/>
                <c:pt idx="0">
                  <c:v>1.3142101113234528</c:v>
                </c:pt>
                <c:pt idx="1">
                  <c:v>2.3629252008726063</c:v>
                </c:pt>
                <c:pt idx="2">
                  <c:v>44.368446866485016</c:v>
                </c:pt>
                <c:pt idx="3">
                  <c:v>12.491185388391568</c:v>
                </c:pt>
                <c:pt idx="4">
                  <c:v>3.9996621433890129</c:v>
                </c:pt>
                <c:pt idx="5">
                  <c:v>0.31992379669938714</c:v>
                </c:pt>
                <c:pt idx="6">
                  <c:v>51.965276375822668</c:v>
                </c:pt>
                <c:pt idx="7">
                  <c:v>88.651898442910948</c:v>
                </c:pt>
              </c:numCache>
            </c:numRef>
          </c:val>
          <c:smooth val="0"/>
        </c:ser>
        <c:ser>
          <c:idx val="3"/>
          <c:order val="3"/>
          <c:tx>
            <c:v>Europe</c:v>
          </c:tx>
          <c:marker>
            <c:symbol val="none"/>
          </c:marker>
          <c:cat>
            <c:numRef>
              <c:f>'Analysis-WatSan'!$CG$54:$CG$61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'Analysis-WatSan'!$CK$54:$CK$61</c:f>
              <c:numCache>
                <c:formatCode>0.0</c:formatCode>
                <c:ptCount val="8"/>
                <c:pt idx="0">
                  <c:v>1.1888334178400093</c:v>
                </c:pt>
                <c:pt idx="1">
                  <c:v>3.3414313991040734</c:v>
                </c:pt>
                <c:pt idx="2">
                  <c:v>23.485903216110611</c:v>
                </c:pt>
                <c:pt idx="3">
                  <c:v>4.4421475684095144</c:v>
                </c:pt>
                <c:pt idx="4">
                  <c:v>3.4492916114565282</c:v>
                </c:pt>
                <c:pt idx="5">
                  <c:v>7.5914570230607969</c:v>
                </c:pt>
                <c:pt idx="6">
                  <c:v>16.208285385500574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09376"/>
        <c:axId val="119919360"/>
      </c:lineChart>
      <c:catAx>
        <c:axId val="1199093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19919360"/>
        <c:crosses val="autoZero"/>
        <c:auto val="1"/>
        <c:lblAlgn val="ctr"/>
        <c:lblOffset val="100"/>
        <c:noMultiLvlLbl val="0"/>
      </c:catAx>
      <c:valAx>
        <c:axId val="119919360"/>
        <c:scaling>
          <c:orientation val="minMax"/>
        </c:scaling>
        <c:delete val="0"/>
        <c:axPos val="r"/>
        <c:majorGridlines/>
        <c:numFmt formatCode="0" sourceLinked="0"/>
        <c:majorTickMark val="out"/>
        <c:minorTickMark val="none"/>
        <c:tickLblPos val="high"/>
        <c:crossAx val="119909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942632442400832"/>
          <c:y val="0.34062886342888476"/>
          <c:w val="0.17057362718927588"/>
          <c:h val="0.31874192616012575"/>
        </c:manualLayout>
      </c:layout>
      <c:overlay val="0"/>
    </c:legend>
    <c:plotVisOnly val="1"/>
    <c:dispBlanksAs val="gap"/>
    <c:showDLblsOverMax val="0"/>
  </c:chart>
  <c:printSettings>
    <c:headerFooter/>
    <c:pageMargins b="1" l="0.750000000000001" r="0.750000000000001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 b="0"/>
            </a:pPr>
            <a:r>
              <a:rPr lang="en-US" sz="1600" b="0"/>
              <a:t>WatSan beneficiaries and expenditure by Zone</a:t>
            </a:r>
          </a:p>
        </c:rich>
      </c:tx>
      <c:layout>
        <c:manualLayout>
          <c:xMode val="edge"/>
          <c:yMode val="edge"/>
          <c:x val="0.14060419226900772"/>
          <c:y val="4.299815220192909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6968986033589079E-2"/>
          <c:y val="0.15872549126379976"/>
          <c:w val="0.70900669671114303"/>
          <c:h val="0.71042891471579561"/>
        </c:manualLayout>
      </c:layout>
      <c:barChart>
        <c:barDir val="col"/>
        <c:grouping val="clustered"/>
        <c:varyColors val="0"/>
        <c:ser>
          <c:idx val="0"/>
          <c:order val="0"/>
          <c:tx>
            <c:v>beneficiaries</c:v>
          </c:tx>
          <c:invertIfNegative val="0"/>
          <c:cat>
            <c:strRef>
              <c:f>'Analysis-WatSan'!$CH$3:$CL$3</c:f>
              <c:strCache>
                <c:ptCount val="5"/>
                <c:pt idx="0">
                  <c:v> Africa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MENA</c:v>
                </c:pt>
              </c:strCache>
            </c:strRef>
          </c:cat>
          <c:val>
            <c:numRef>
              <c:f>'Analysis-WatSan'!$CH$24:$CL$24</c:f>
              <c:numCache>
                <c:formatCode>#,##0</c:formatCode>
                <c:ptCount val="5"/>
                <c:pt idx="0">
                  <c:v>8875383</c:v>
                </c:pt>
                <c:pt idx="1">
                  <c:v>929170</c:v>
                </c:pt>
                <c:pt idx="2">
                  <c:v>4369638</c:v>
                </c:pt>
                <c:pt idx="3">
                  <c:v>200039</c:v>
                </c:pt>
                <c:pt idx="4">
                  <c:v>20158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axId val="119950336"/>
        <c:axId val="119952128"/>
      </c:barChart>
      <c:barChart>
        <c:barDir val="col"/>
        <c:grouping val="clustered"/>
        <c:varyColors val="0"/>
        <c:ser>
          <c:idx val="1"/>
          <c:order val="1"/>
          <c:tx>
            <c:v>expenditure</c:v>
          </c:tx>
          <c:invertIfNegative val="0"/>
          <c:dLbls>
            <c:dLbl>
              <c:idx val="0"/>
              <c:layout>
                <c:manualLayout>
                  <c:x val="-2.0466950888091976E-2"/>
                  <c:y val="-3.2272936837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2741056542324462E-2"/>
                  <c:y val="-5.532503457814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6.4545873674504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0030324393113793E-2"/>
                  <c:y val="-5.532503457814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'Analysis-WatSan'!$CH$3:$CL$3</c:f>
              <c:strCache>
                <c:ptCount val="5"/>
                <c:pt idx="0">
                  <c:v> Africa</c:v>
                </c:pt>
                <c:pt idx="1">
                  <c:v>Americas</c:v>
                </c:pt>
                <c:pt idx="2">
                  <c:v>Asia Pacific</c:v>
                </c:pt>
                <c:pt idx="3">
                  <c:v>Europe</c:v>
                </c:pt>
                <c:pt idx="4">
                  <c:v>MENA</c:v>
                </c:pt>
              </c:strCache>
            </c:strRef>
          </c:cat>
          <c:val>
            <c:numRef>
              <c:f>'Analysis-WatSan'!$CH$11:$CL$11</c:f>
              <c:numCache>
                <c:formatCode>#,##0</c:formatCode>
                <c:ptCount val="5"/>
                <c:pt idx="0">
                  <c:v>267191</c:v>
                </c:pt>
                <c:pt idx="1">
                  <c:v>342917</c:v>
                </c:pt>
                <c:pt idx="2">
                  <c:v>77054989</c:v>
                </c:pt>
                <c:pt idx="3">
                  <c:v>25</c:v>
                </c:pt>
                <c:pt idx="4">
                  <c:v>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7"/>
        <c:axId val="119959936"/>
        <c:axId val="119954048"/>
      </c:barChart>
      <c:catAx>
        <c:axId val="1199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9952128"/>
        <c:crosses val="autoZero"/>
        <c:auto val="1"/>
        <c:lblAlgn val="ctr"/>
        <c:lblOffset val="100"/>
        <c:noMultiLvlLbl val="0"/>
      </c:catAx>
      <c:valAx>
        <c:axId val="1199521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low"/>
        <c:crossAx val="119950336"/>
        <c:crosses val="autoZero"/>
        <c:crossBetween val="between"/>
        <c:dispUnits>
          <c:builtInUnit val="millions"/>
          <c:dispUnitsLbl/>
        </c:dispUnits>
      </c:valAx>
      <c:valAx>
        <c:axId val="119954048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crossAx val="119959936"/>
        <c:crosses val="max"/>
        <c:crossBetween val="between"/>
      </c:valAx>
      <c:catAx>
        <c:axId val="119959936"/>
        <c:scaling>
          <c:orientation val="minMax"/>
        </c:scaling>
        <c:delete val="1"/>
        <c:axPos val="b"/>
        <c:majorTickMark val="out"/>
        <c:minorTickMark val="none"/>
        <c:tickLblPos val="none"/>
        <c:crossAx val="11995404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1" l="0.75000000000000122" r="0.75000000000000122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0" i="0" baseline="0"/>
              <a:t>Ratio between water and sanitation beneficiaries by scale size</a:t>
            </a:r>
            <a:endParaRPr lang="en-GB" sz="1400" b="1" i="0" baseline="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'Analysis-WatSan'!$M$36</c:f>
              <c:strCache>
                <c:ptCount val="1"/>
                <c:pt idx="0">
                  <c:v>≤ 5000</c:v>
                </c:pt>
              </c:strCache>
            </c:strRef>
          </c:tx>
          <c:marker>
            <c:symbol val="none"/>
          </c:marker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'Analysis-WatSan'!$M$37:$M$43</c:f>
              <c:numCache>
                <c:formatCode>General</c:formatCode>
                <c:ptCount val="7"/>
                <c:pt idx="0">
                  <c:v>4.57</c:v>
                </c:pt>
                <c:pt idx="1">
                  <c:v>5.32</c:v>
                </c:pt>
                <c:pt idx="2">
                  <c:v>5.44</c:v>
                </c:pt>
                <c:pt idx="3">
                  <c:v>1.74</c:v>
                </c:pt>
                <c:pt idx="4">
                  <c:v>9.6</c:v>
                </c:pt>
                <c:pt idx="5">
                  <c:v>4.4000000000000004</c:v>
                </c:pt>
                <c:pt idx="6">
                  <c:v>2.6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'Analysis-WatSan'!$N$36</c:f>
              <c:strCache>
                <c:ptCount val="1"/>
                <c:pt idx="0">
                  <c:v>]5000,10000]</c:v>
                </c:pt>
              </c:strCache>
            </c:strRef>
          </c:tx>
          <c:marker>
            <c:symbol val="none"/>
          </c:marker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'Analysis-WatSan'!$N$37:$N$43</c:f>
              <c:numCache>
                <c:formatCode>General</c:formatCode>
                <c:ptCount val="7"/>
                <c:pt idx="0">
                  <c:v>3</c:v>
                </c:pt>
                <c:pt idx="1">
                  <c:v>1.5</c:v>
                </c:pt>
                <c:pt idx="2">
                  <c:v>17</c:v>
                </c:pt>
                <c:pt idx="3">
                  <c:v>1.4</c:v>
                </c:pt>
                <c:pt idx="4">
                  <c:v>0.92</c:v>
                </c:pt>
                <c:pt idx="5">
                  <c:v>0.99</c:v>
                </c:pt>
                <c:pt idx="6">
                  <c:v>2.42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'Analysis-WatSan'!$O$36</c:f>
              <c:strCache>
                <c:ptCount val="1"/>
                <c:pt idx="0">
                  <c:v>]10000,50000]</c:v>
                </c:pt>
              </c:strCache>
            </c:strRef>
          </c:tx>
          <c:marker>
            <c:symbol val="none"/>
          </c:marker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'Analysis-WatSan'!$O$37:$O$43</c:f>
              <c:numCache>
                <c:formatCode>General</c:formatCode>
                <c:ptCount val="7"/>
                <c:pt idx="0">
                  <c:v>2.5</c:v>
                </c:pt>
                <c:pt idx="1">
                  <c:v>20.7</c:v>
                </c:pt>
                <c:pt idx="2">
                  <c:v>7.7</c:v>
                </c:pt>
                <c:pt idx="3">
                  <c:v>1.3</c:v>
                </c:pt>
                <c:pt idx="4">
                  <c:v>11</c:v>
                </c:pt>
                <c:pt idx="5">
                  <c:v>2.4</c:v>
                </c:pt>
                <c:pt idx="6">
                  <c:v>5.3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'Analysis-WatSan'!$P$36</c:f>
              <c:strCache>
                <c:ptCount val="1"/>
                <c:pt idx="0">
                  <c:v>&gt;50000</c:v>
                </c:pt>
              </c:strCache>
            </c:strRef>
          </c:tx>
          <c:marker>
            <c:symbol val="none"/>
          </c:marker>
          <c:cat>
            <c:numRef>
              <c:f>'Analysis-WatSan'!$A$37:$A$44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'Analysis-WatSan'!$P$37:$P$43</c:f>
              <c:numCache>
                <c:formatCode>General</c:formatCode>
                <c:ptCount val="7"/>
                <c:pt idx="0">
                  <c:v>2.25</c:v>
                </c:pt>
                <c:pt idx="1">
                  <c:v>2.17</c:v>
                </c:pt>
                <c:pt idx="2">
                  <c:v>3.14</c:v>
                </c:pt>
                <c:pt idx="3">
                  <c:v>2.9</c:v>
                </c:pt>
                <c:pt idx="4">
                  <c:v>7.6</c:v>
                </c:pt>
                <c:pt idx="5">
                  <c:v>1.4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07296"/>
        <c:axId val="120017280"/>
      </c:lineChart>
      <c:catAx>
        <c:axId val="12000729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20017280"/>
        <c:crosses val="autoZero"/>
        <c:auto val="1"/>
        <c:lblAlgn val="ctr"/>
        <c:lblOffset val="100"/>
        <c:noMultiLvlLbl val="0"/>
      </c:catAx>
      <c:valAx>
        <c:axId val="1200172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high"/>
        <c:crossAx val="12000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Epidemics per zone (2009, 2010, 2011, absolute number)</a:t>
            </a:r>
          </a:p>
        </c:rich>
      </c:tx>
      <c:layout>
        <c:manualLayout>
          <c:xMode val="edge"/>
          <c:yMode val="edge"/>
          <c:x val="0.12050290943003111"/>
          <c:y val="4.2220077974167609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83738706958828E-2"/>
          <c:y val="0.16687236488120621"/>
          <c:w val="0.68177138488983902"/>
          <c:h val="0.61370997299743502"/>
        </c:manualLayout>
      </c:layout>
      <c:barChart>
        <c:barDir val="col"/>
        <c:grouping val="clustered"/>
        <c:varyColors val="0"/>
        <c:ser>
          <c:idx val="0"/>
          <c:order val="0"/>
          <c:tx>
            <c:v>Epidemics 2009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'Analysis-General'!$V$4:$Z$4</c:f>
              <c:strCache>
                <c:ptCount val="5"/>
                <c:pt idx="0">
                  <c:v> Africa</c:v>
                </c:pt>
                <c:pt idx="1">
                  <c:v>Asia Pacific</c:v>
                </c:pt>
                <c:pt idx="2">
                  <c:v>Europe</c:v>
                </c:pt>
                <c:pt idx="3">
                  <c:v>Middle East and North Africa</c:v>
                </c:pt>
                <c:pt idx="4">
                  <c:v>Americas</c:v>
                </c:pt>
              </c:strCache>
            </c:strRef>
          </c:cat>
          <c:val>
            <c:numRef>
              <c:f>'Analysis-General'!$AN$6:$AR$6</c:f>
              <c:numCache>
                <c:formatCode>General</c:formatCode>
                <c:ptCount val="5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</c:ser>
        <c:ser>
          <c:idx val="1"/>
          <c:order val="1"/>
          <c:tx>
            <c:v>Epidemics 2010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'Analysis-General'!$V$4:$Z$4</c:f>
              <c:strCache>
                <c:ptCount val="5"/>
                <c:pt idx="0">
                  <c:v> Africa</c:v>
                </c:pt>
                <c:pt idx="1">
                  <c:v>Asia Pacific</c:v>
                </c:pt>
                <c:pt idx="2">
                  <c:v>Europe</c:v>
                </c:pt>
                <c:pt idx="3">
                  <c:v>Middle East and North Africa</c:v>
                </c:pt>
                <c:pt idx="4">
                  <c:v>Americas</c:v>
                </c:pt>
              </c:strCache>
            </c:strRef>
          </c:cat>
          <c:val>
            <c:numRef>
              <c:f>'Analysis-General'!$AE$6:$AI$6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v>Epidemics 2011</c:v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'Analysis-General'!$V$4:$Z$4</c:f>
              <c:strCache>
                <c:ptCount val="5"/>
                <c:pt idx="0">
                  <c:v> Africa</c:v>
                </c:pt>
                <c:pt idx="1">
                  <c:v>Asia Pacific</c:v>
                </c:pt>
                <c:pt idx="2">
                  <c:v>Europe</c:v>
                </c:pt>
                <c:pt idx="3">
                  <c:v>Middle East and North Africa</c:v>
                </c:pt>
                <c:pt idx="4">
                  <c:v>Americas</c:v>
                </c:pt>
              </c:strCache>
            </c:strRef>
          </c:cat>
          <c:val>
            <c:numRef>
              <c:f>'Analysis-General'!$V$6:$Z$6</c:f>
              <c:numCache>
                <c:formatCode>General</c:formatCode>
                <c:ptCount val="5"/>
                <c:pt idx="0">
                  <c:v>24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017152"/>
        <c:axId val="110031232"/>
      </c:barChart>
      <c:catAx>
        <c:axId val="11001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31232"/>
        <c:crosses val="autoZero"/>
        <c:auto val="1"/>
        <c:lblAlgn val="ctr"/>
        <c:lblOffset val="100"/>
        <c:noMultiLvlLbl val="0"/>
      </c:catAx>
      <c:valAx>
        <c:axId val="11003123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171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5592119291099902"/>
          <c:y val="0.35888501742160445"/>
          <c:w val="0.207683715056311"/>
          <c:h val="0.319478831368188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0" i="0" baseline="0"/>
              <a:t>Ratio between water and sanitation beneficiaries by scale size -2011</a:t>
            </a:r>
            <a:endParaRPr lang="en-GB" sz="1400" b="1" i="0" baseline="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'Analysis-WatSan'!$M$36:$P$36</c:f>
              <c:strCache>
                <c:ptCount val="4"/>
                <c:pt idx="0">
                  <c:v>≤ 5000</c:v>
                </c:pt>
                <c:pt idx="1">
                  <c:v>]5000,10000]</c:v>
                </c:pt>
                <c:pt idx="2">
                  <c:v>]10000,50000]</c:v>
                </c:pt>
                <c:pt idx="3">
                  <c:v>&gt;50000</c:v>
                </c:pt>
              </c:strCache>
            </c:strRef>
          </c:cat>
          <c:val>
            <c:numRef>
              <c:f>'Analysis-WatSan'!$M$37:$P$37</c:f>
              <c:numCache>
                <c:formatCode>General</c:formatCode>
                <c:ptCount val="4"/>
                <c:pt idx="0">
                  <c:v>4.57</c:v>
                </c:pt>
                <c:pt idx="1">
                  <c:v>3</c:v>
                </c:pt>
                <c:pt idx="2">
                  <c:v>2.5</c:v>
                </c:pt>
                <c:pt idx="3">
                  <c:v>2.25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030336"/>
        <c:axId val="120031872"/>
      </c:barChart>
      <c:catAx>
        <c:axId val="12003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031872"/>
        <c:crosses val="autoZero"/>
        <c:auto val="1"/>
        <c:lblAlgn val="ctr"/>
        <c:lblOffset val="100"/>
        <c:noMultiLvlLbl val="0"/>
      </c:catAx>
      <c:valAx>
        <c:axId val="120031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030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baseline="0"/>
              <a:t>Sanitation Beneficiaries by Zone</a:t>
            </a:r>
            <a:endParaRPr lang="en-GB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'Analysis-WatSan'!$CH$29</c:f>
              <c:strCache>
                <c:ptCount val="1"/>
                <c:pt idx="0">
                  <c:v> Africa</c:v>
                </c:pt>
              </c:strCache>
            </c:strRef>
          </c:tx>
          <c:marker>
            <c:symbol val="none"/>
          </c:marker>
          <c:cat>
            <c:numRef>
              <c:f>'Analysis-WatSan'!$CG$30:$CG$37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'Analysis-WatSan'!$CH$30:$CH$37</c:f>
              <c:numCache>
                <c:formatCode>#,##0</c:formatCode>
                <c:ptCount val="8"/>
                <c:pt idx="0">
                  <c:v>459167</c:v>
                </c:pt>
                <c:pt idx="1">
                  <c:v>161941</c:v>
                </c:pt>
                <c:pt idx="2">
                  <c:v>621848</c:v>
                </c:pt>
                <c:pt idx="3">
                  <c:v>126552</c:v>
                </c:pt>
                <c:pt idx="4">
                  <c:v>171457</c:v>
                </c:pt>
                <c:pt idx="5">
                  <c:v>155767</c:v>
                </c:pt>
                <c:pt idx="6">
                  <c:v>64350</c:v>
                </c:pt>
                <c:pt idx="7">
                  <c:v>28390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'Analysis-WatSan'!$CI$29</c:f>
              <c:strCache>
                <c:ptCount val="1"/>
                <c:pt idx="0">
                  <c:v>Americas</c:v>
                </c:pt>
              </c:strCache>
            </c:strRef>
          </c:tx>
          <c:marker>
            <c:symbol val="none"/>
          </c:marker>
          <c:cat>
            <c:numRef>
              <c:f>'Analysis-WatSan'!$CG$30:$CG$37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'Analysis-WatSan'!$CI$30:$CI$37</c:f>
              <c:numCache>
                <c:formatCode>#,##0</c:formatCode>
                <c:ptCount val="8"/>
                <c:pt idx="0">
                  <c:v>89311</c:v>
                </c:pt>
                <c:pt idx="1">
                  <c:v>97295</c:v>
                </c:pt>
                <c:pt idx="2">
                  <c:v>52145</c:v>
                </c:pt>
                <c:pt idx="3">
                  <c:v>28412</c:v>
                </c:pt>
                <c:pt idx="4">
                  <c:v>25700</c:v>
                </c:pt>
                <c:pt idx="5">
                  <c:v>15000</c:v>
                </c:pt>
                <c:pt idx="6">
                  <c:v>6655</c:v>
                </c:pt>
                <c:pt idx="7">
                  <c:v>26840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'Analysis-WatSan'!$CJ$29</c:f>
              <c:strCache>
                <c:ptCount val="1"/>
                <c:pt idx="0">
                  <c:v>Asia Pacific</c:v>
                </c:pt>
              </c:strCache>
            </c:strRef>
          </c:tx>
          <c:marker>
            <c:symbol val="none"/>
          </c:marker>
          <c:cat>
            <c:numRef>
              <c:f>'Analysis-WatSan'!$CG$30:$CG$37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'Analysis-WatSan'!$CJ$30:$CJ$37</c:f>
              <c:numCache>
                <c:formatCode>#,##0</c:formatCode>
                <c:ptCount val="8"/>
                <c:pt idx="0">
                  <c:v>18345</c:v>
                </c:pt>
                <c:pt idx="1">
                  <c:v>623852</c:v>
                </c:pt>
                <c:pt idx="2">
                  <c:v>304275</c:v>
                </c:pt>
                <c:pt idx="3">
                  <c:v>235950</c:v>
                </c:pt>
                <c:pt idx="4">
                  <c:v>95225</c:v>
                </c:pt>
                <c:pt idx="5">
                  <c:v>608455</c:v>
                </c:pt>
                <c:pt idx="6">
                  <c:v>133665</c:v>
                </c:pt>
                <c:pt idx="7">
                  <c:v>343640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'Analysis-WatSan'!$CK$29</c:f>
              <c:strCache>
                <c:ptCount val="1"/>
                <c:pt idx="0">
                  <c:v>Europe</c:v>
                </c:pt>
              </c:strCache>
            </c:strRef>
          </c:tx>
          <c:marker>
            <c:symbol val="none"/>
          </c:marker>
          <c:cat>
            <c:numRef>
              <c:f>'Analysis-WatSan'!$CG$30:$CG$37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'Analysis-WatSan'!$CK$30:$CK$37</c:f>
              <c:numCache>
                <c:formatCode>#,##0</c:formatCode>
                <c:ptCount val="8"/>
                <c:pt idx="0">
                  <c:v>0</c:v>
                </c:pt>
                <c:pt idx="1">
                  <c:v>6200</c:v>
                </c:pt>
                <c:pt idx="2">
                  <c:v>0</c:v>
                </c:pt>
                <c:pt idx="3">
                  <c:v>0</c:v>
                </c:pt>
                <c:pt idx="4">
                  <c:v>1086</c:v>
                </c:pt>
                <c:pt idx="5">
                  <c:v>1040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'Analysis-WatSan'!$CL$29</c:f>
              <c:strCache>
                <c:ptCount val="1"/>
                <c:pt idx="0">
                  <c:v>MENA</c:v>
                </c:pt>
              </c:strCache>
            </c:strRef>
          </c:tx>
          <c:marker>
            <c:symbol val="none"/>
          </c:marker>
          <c:cat>
            <c:numRef>
              <c:f>'Analysis-WatSan'!$CG$30:$CG$37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'Analysis-WatSan'!$CL$30:$CL$37</c:f>
              <c:numCache>
                <c:formatCode>#,##0</c:formatCode>
                <c:ptCount val="8"/>
                <c:pt idx="0">
                  <c:v>1000</c:v>
                </c:pt>
                <c:pt idx="1">
                  <c:v>800</c:v>
                </c:pt>
                <c:pt idx="2">
                  <c:v>0</c:v>
                </c:pt>
                <c:pt idx="3">
                  <c:v>3223</c:v>
                </c:pt>
                <c:pt idx="4">
                  <c:v>0</c:v>
                </c:pt>
                <c:pt idx="5">
                  <c:v>200</c:v>
                </c:pt>
                <c:pt idx="6">
                  <c:v>0</c:v>
                </c:pt>
                <c:pt idx="7">
                  <c:v>1740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10944"/>
        <c:axId val="120212480"/>
      </c:lineChart>
      <c:catAx>
        <c:axId val="1202109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120212480"/>
        <c:crosses val="autoZero"/>
        <c:auto val="1"/>
        <c:lblAlgn val="ctr"/>
        <c:lblOffset val="100"/>
        <c:noMultiLvlLbl val="0"/>
      </c:catAx>
      <c:valAx>
        <c:axId val="120212480"/>
        <c:scaling>
          <c:orientation val="minMax"/>
        </c:scaling>
        <c:delete val="0"/>
        <c:axPos val="r"/>
        <c:majorGridlines/>
        <c:numFmt formatCode="#,##0" sourceLinked="1"/>
        <c:majorTickMark val="out"/>
        <c:minorTickMark val="none"/>
        <c:tickLblPos val="high"/>
        <c:crossAx val="12021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 b="1" i="0" baseline="0"/>
              <a:t> Annual Average of appeals and activities (2004-2011)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v>average per year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'Analysis-WatSan'!$B$45</c:f>
              <c:numCache>
                <c:formatCode>General</c:formatCode>
                <c:ptCount val="1"/>
                <c:pt idx="0">
                  <c:v>96.75</c:v>
                </c:pt>
              </c:numCache>
            </c:numRef>
          </c:val>
        </c:ser>
        <c:ser>
          <c:idx val="0"/>
          <c:order val="1"/>
          <c:tx>
            <c:v> WATSAN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'Analysis-WatSan'!$C$45</c:f>
              <c:numCache>
                <c:formatCode>General</c:formatCode>
                <c:ptCount val="1"/>
                <c:pt idx="0">
                  <c:v>46.75</c:v>
                </c:pt>
              </c:numCache>
            </c:numRef>
          </c:val>
        </c:ser>
        <c:ser>
          <c:idx val="1"/>
          <c:order val="2"/>
          <c:tx>
            <c:v>SANITATION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'Analysis-WatSan'!$H$45</c:f>
              <c:numCache>
                <c:formatCode>General</c:formatCode>
                <c:ptCount val="1"/>
                <c:pt idx="0">
                  <c:v>23.125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44096"/>
        <c:axId val="120245632"/>
      </c:barChart>
      <c:catAx>
        <c:axId val="120244096"/>
        <c:scaling>
          <c:orientation val="minMax"/>
        </c:scaling>
        <c:delete val="0"/>
        <c:axPos val="l"/>
        <c:majorTickMark val="out"/>
        <c:minorTickMark val="none"/>
        <c:tickLblPos val="nextTo"/>
        <c:crossAx val="120245632"/>
        <c:crosses val="autoZero"/>
        <c:auto val="1"/>
        <c:lblAlgn val="ctr"/>
        <c:lblOffset val="100"/>
        <c:noMultiLvlLbl val="0"/>
      </c:catAx>
      <c:valAx>
        <c:axId val="120245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20244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400"/>
              <a:t>Epidemics in IFRC regions, 2004 - 2011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'Analysis - health '!$L$17:$P$17</c:f>
              <c:strCache>
                <c:ptCount val="5"/>
                <c:pt idx="0">
                  <c:v>Americas</c:v>
                </c:pt>
                <c:pt idx="1">
                  <c:v>Asia Pacific</c:v>
                </c:pt>
                <c:pt idx="2">
                  <c:v>Europe</c:v>
                </c:pt>
                <c:pt idx="3">
                  <c:v>MENA</c:v>
                </c:pt>
                <c:pt idx="4">
                  <c:v>Global</c:v>
                </c:pt>
              </c:strCache>
            </c:strRef>
          </c:cat>
          <c:val>
            <c:numRef>
              <c:f>'Analysis - health '!$L$27:$P$27</c:f>
              <c:numCache>
                <c:formatCode>#,##0.00</c:formatCode>
                <c:ptCount val="5"/>
                <c:pt idx="0">
                  <c:v>8.0291970802919703</c:v>
                </c:pt>
                <c:pt idx="1">
                  <c:v>4.3795620437956204</c:v>
                </c:pt>
                <c:pt idx="2">
                  <c:v>5.1094890510948909</c:v>
                </c:pt>
                <c:pt idx="3">
                  <c:v>1.4598540145985401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33" l="0.70000000000000162" r="0.70000000000000162" t="0.75000000000000233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1" i="0" u="none" strike="noStrike" baseline="0"/>
              <a:t>IFRC general operations, 2004-2011</a:t>
            </a:r>
            <a:endParaRPr lang="en-GB" sz="1400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'Analysis - health '!$C$17</c:f>
              <c:strCache>
                <c:ptCount val="1"/>
                <c:pt idx="0">
                  <c:v>Other operations</c:v>
                </c:pt>
              </c:strCache>
            </c:strRef>
          </c:tx>
          <c:invertIfNegative val="0"/>
          <c:cat>
            <c:numRef>
              <c:f>'Analysis - health '!$B$18:$B$25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 - health '!$C$18:$C$25</c:f>
              <c:numCache>
                <c:formatCode>#,##0</c:formatCode>
                <c:ptCount val="8"/>
                <c:pt idx="0">
                  <c:v>51</c:v>
                </c:pt>
                <c:pt idx="1">
                  <c:v>82</c:v>
                </c:pt>
                <c:pt idx="2">
                  <c:v>74</c:v>
                </c:pt>
                <c:pt idx="3">
                  <c:v>79</c:v>
                </c:pt>
                <c:pt idx="4">
                  <c:v>84</c:v>
                </c:pt>
                <c:pt idx="5">
                  <c:v>72</c:v>
                </c:pt>
                <c:pt idx="6">
                  <c:v>111</c:v>
                </c:pt>
                <c:pt idx="7">
                  <c:v>82</c:v>
                </c:pt>
              </c:numCache>
            </c:numRef>
          </c:val>
        </c:ser>
        <c:ser>
          <c:idx val="1"/>
          <c:order val="1"/>
          <c:tx>
            <c:strRef>
              <c:f>'Analysis - health '!$F$17</c:f>
              <c:strCache>
                <c:ptCount val="1"/>
                <c:pt idx="0">
                  <c:v>% of epidemic</c:v>
                </c:pt>
              </c:strCache>
            </c:strRef>
          </c:tx>
          <c:invertIfNegative val="0"/>
          <c:cat>
            <c:numRef>
              <c:f>'Analysis - health '!$B$18:$B$25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 - health '!$F$18:$F$25</c:f>
              <c:numCache>
                <c:formatCode>#,##0</c:formatCode>
                <c:ptCount val="8"/>
                <c:pt idx="0">
                  <c:v>0.29112081513828236</c:v>
                </c:pt>
                <c:pt idx="1">
                  <c:v>0.57170080990948069</c:v>
                </c:pt>
                <c:pt idx="2">
                  <c:v>0.99952403617325081</c:v>
                </c:pt>
                <c:pt idx="3">
                  <c:v>0.76117982873453849</c:v>
                </c:pt>
                <c:pt idx="4">
                  <c:v>0.71191267204556241</c:v>
                </c:pt>
                <c:pt idx="5">
                  <c:v>0.99904852521408183</c:v>
                </c:pt>
                <c:pt idx="6">
                  <c:v>0.79513564078578114</c:v>
                </c:pt>
                <c:pt idx="7">
                  <c:v>1.3666352497643732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573440"/>
        <c:axId val="112587520"/>
      </c:barChart>
      <c:catAx>
        <c:axId val="11257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587520"/>
        <c:crosses val="autoZero"/>
        <c:auto val="1"/>
        <c:lblAlgn val="ctr"/>
        <c:lblOffset val="100"/>
        <c:noMultiLvlLbl val="0"/>
      </c:catAx>
      <c:valAx>
        <c:axId val="1125875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257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162" r="0.70000000000000162" t="0.750000000000002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 b="1" i="0" u="none" strike="noStrike" baseline="0"/>
              <a:t>Epidemics/ outbreaks and operations with ECV, 2009 - 2011</a:t>
            </a:r>
            <a:endParaRPr lang="en-GB" sz="1200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'Analysis - health '!$G$31</c:f>
              <c:strCache>
                <c:ptCount val="1"/>
                <c:pt idx="0">
                  <c:v>Volunteers trained on ECV</c:v>
                </c:pt>
              </c:strCache>
            </c:strRef>
          </c:tx>
          <c:invertIfNegative val="0"/>
          <c:cat>
            <c:numRef>
              <c:f>'Analysis - health '!$B$37:$B$39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'Analysis - health '!$G$37:$G$39</c:f>
              <c:numCache>
                <c:formatCode>#,##0</c:formatCode>
                <c:ptCount val="3"/>
                <c:pt idx="1">
                  <c:v>2015</c:v>
                </c:pt>
                <c:pt idx="2">
                  <c:v>4493</c:v>
                </c:pt>
              </c:numCache>
            </c:numRef>
          </c:val>
        </c:ser>
        <c:ser>
          <c:idx val="1"/>
          <c:order val="1"/>
          <c:tx>
            <c:strRef>
              <c:f>'Analysis - health '!$F$31</c:f>
              <c:strCache>
                <c:ptCount val="1"/>
                <c:pt idx="0">
                  <c:v>Total epidemics</c:v>
                </c:pt>
              </c:strCache>
            </c:strRef>
          </c:tx>
          <c:invertIfNegative val="0"/>
          <c:cat>
            <c:numRef>
              <c:f>'Analysis - health '!$B$37:$B$39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'Analysis - health '!$F$37:$F$39</c:f>
              <c:numCache>
                <c:formatCode>General</c:formatCode>
                <c:ptCount val="3"/>
                <c:pt idx="0">
                  <c:v>21</c:v>
                </c:pt>
                <c:pt idx="1">
                  <c:v>17</c:v>
                </c:pt>
                <c:pt idx="2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682496"/>
        <c:axId val="112684032"/>
      </c:barChart>
      <c:catAx>
        <c:axId val="11268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684032"/>
        <c:crosses val="autoZero"/>
        <c:auto val="1"/>
        <c:lblAlgn val="ctr"/>
        <c:lblOffset val="100"/>
        <c:noMultiLvlLbl val="0"/>
      </c:catAx>
      <c:valAx>
        <c:axId val="1126840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268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162" r="0.70000000000000162" t="0.750000000000002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Beneficiaries, health vs total, 2004-2011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'Analysis - health '!$F$3</c:f>
              <c:strCache>
                <c:ptCount val="1"/>
                <c:pt idx="0">
                  <c:v>Total targeted beneficiaries</c:v>
                </c:pt>
              </c:strCache>
            </c:strRef>
          </c:tx>
          <c:invertIfNegative val="0"/>
          <c:cat>
            <c:numRef>
              <c:f>'Analysis - health '!$B$4:$B$11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 - health '!$F$4:$F$11</c:f>
              <c:numCache>
                <c:formatCode>#,##0</c:formatCode>
                <c:ptCount val="8"/>
                <c:pt idx="0">
                  <c:v>9757618</c:v>
                </c:pt>
                <c:pt idx="1">
                  <c:v>8849388</c:v>
                </c:pt>
                <c:pt idx="2">
                  <c:v>9320784</c:v>
                </c:pt>
                <c:pt idx="3">
                  <c:v>18852348</c:v>
                </c:pt>
                <c:pt idx="4">
                  <c:v>23198767</c:v>
                </c:pt>
                <c:pt idx="5">
                  <c:v>38774110</c:v>
                </c:pt>
                <c:pt idx="6">
                  <c:v>17039001</c:v>
                </c:pt>
                <c:pt idx="7">
                  <c:v>27446633</c:v>
                </c:pt>
              </c:numCache>
            </c:numRef>
          </c:val>
        </c:ser>
        <c:ser>
          <c:idx val="1"/>
          <c:order val="1"/>
          <c:tx>
            <c:strRef>
              <c:f>'Analysis - health '!$J$3</c:f>
              <c:strCache>
                <c:ptCount val="1"/>
                <c:pt idx="0">
                  <c:v>Total health beneficiaries</c:v>
                </c:pt>
              </c:strCache>
            </c:strRef>
          </c:tx>
          <c:invertIfNegative val="0"/>
          <c:cat>
            <c:numRef>
              <c:f>'Analysis - health '!$B$4:$B$11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 - health '!$J$4:$J$11</c:f>
              <c:numCache>
                <c:formatCode>#,##0</c:formatCode>
                <c:ptCount val="8"/>
                <c:pt idx="0">
                  <c:v>3225917</c:v>
                </c:pt>
                <c:pt idx="1">
                  <c:v>4351560</c:v>
                </c:pt>
                <c:pt idx="2">
                  <c:v>2578908</c:v>
                </c:pt>
                <c:pt idx="3">
                  <c:v>10723872</c:v>
                </c:pt>
                <c:pt idx="4">
                  <c:v>4098142</c:v>
                </c:pt>
                <c:pt idx="5">
                  <c:v>12730576</c:v>
                </c:pt>
                <c:pt idx="6">
                  <c:v>5300418</c:v>
                </c:pt>
                <c:pt idx="7">
                  <c:v>16920427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13728"/>
        <c:axId val="112715264"/>
      </c:barChart>
      <c:catAx>
        <c:axId val="1127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715264"/>
        <c:crosses val="autoZero"/>
        <c:auto val="1"/>
        <c:lblAlgn val="ctr"/>
        <c:lblOffset val="100"/>
        <c:noMultiLvlLbl val="0"/>
      </c:catAx>
      <c:valAx>
        <c:axId val="1127152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2713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Total expenditures (CHF), health vs total, 2004-2011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'Analysis - health '!$D$3</c:f>
              <c:strCache>
                <c:ptCount val="1"/>
                <c:pt idx="0">
                  <c:v>Total expenditures</c:v>
                </c:pt>
              </c:strCache>
            </c:strRef>
          </c:tx>
          <c:invertIfNegative val="0"/>
          <c:cat>
            <c:numRef>
              <c:f>'Analysis - health '!$B$4:$B$11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 - health '!$D$4:$D$11</c:f>
              <c:numCache>
                <c:formatCode>#,##0</c:formatCode>
                <c:ptCount val="8"/>
                <c:pt idx="0">
                  <c:v>715301961</c:v>
                </c:pt>
                <c:pt idx="1">
                  <c:v>225819407</c:v>
                </c:pt>
                <c:pt idx="2">
                  <c:v>85896453</c:v>
                </c:pt>
                <c:pt idx="3">
                  <c:v>124521171</c:v>
                </c:pt>
                <c:pt idx="4">
                  <c:v>271956957</c:v>
                </c:pt>
                <c:pt idx="5">
                  <c:v>54995130</c:v>
                </c:pt>
                <c:pt idx="6">
                  <c:v>305656574</c:v>
                </c:pt>
                <c:pt idx="7">
                  <c:v>68778363</c:v>
                </c:pt>
              </c:numCache>
            </c:numRef>
          </c:val>
        </c:ser>
        <c:ser>
          <c:idx val="1"/>
          <c:order val="1"/>
          <c:tx>
            <c:strRef>
              <c:f>'Analysis - health '!$E$3</c:f>
              <c:strCache>
                <c:ptCount val="1"/>
                <c:pt idx="0">
                  <c:v>Total health expenditures</c:v>
                </c:pt>
              </c:strCache>
            </c:strRef>
          </c:tx>
          <c:invertIfNegative val="0"/>
          <c:cat>
            <c:numRef>
              <c:f>'Analysis - health '!$B$4:$B$11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 - health '!$E$4:$E$11</c:f>
              <c:numCache>
                <c:formatCode>#,##0</c:formatCode>
                <c:ptCount val="8"/>
                <c:pt idx="0">
                  <c:v>96695690</c:v>
                </c:pt>
                <c:pt idx="1">
                  <c:v>3358863</c:v>
                </c:pt>
                <c:pt idx="2">
                  <c:v>2138419</c:v>
                </c:pt>
                <c:pt idx="3">
                  <c:v>5612910</c:v>
                </c:pt>
                <c:pt idx="4">
                  <c:v>2105139</c:v>
                </c:pt>
                <c:pt idx="5">
                  <c:v>769048</c:v>
                </c:pt>
                <c:pt idx="6">
                  <c:v>4454020</c:v>
                </c:pt>
                <c:pt idx="7">
                  <c:v>970721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539392"/>
        <c:axId val="120553472"/>
      </c:barChart>
      <c:catAx>
        <c:axId val="12053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553472"/>
        <c:crosses val="autoZero"/>
        <c:auto val="1"/>
        <c:lblAlgn val="ctr"/>
        <c:lblOffset val="100"/>
        <c:noMultiLvlLbl val="0"/>
      </c:catAx>
      <c:valAx>
        <c:axId val="120553472"/>
        <c:scaling>
          <c:logBase val="10"/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053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/>
              <a:t>Expenditure per person(CHF), health vs total, 2004-2011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'Analysis - health '!$H$16</c:f>
              <c:strCache>
                <c:ptCount val="1"/>
                <c:pt idx="0">
                  <c:v>Total Expenditure per beneficiary (CHF)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 - health '!$B$4:$B$11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 - health '!$H$17:$H$24</c:f>
              <c:numCache>
                <c:formatCode>0</c:formatCode>
                <c:ptCount val="8"/>
                <c:pt idx="0">
                  <c:v>73.307026468959947</c:v>
                </c:pt>
                <c:pt idx="1">
                  <c:v>25.518081815375254</c:v>
                </c:pt>
                <c:pt idx="2">
                  <c:v>9.2155824016520498</c:v>
                </c:pt>
                <c:pt idx="3">
                  <c:v>6.6050749222324985</c:v>
                </c:pt>
                <c:pt idx="4">
                  <c:v>11.722905661322432</c:v>
                </c:pt>
                <c:pt idx="5">
                  <c:v>1.4183466751396745</c:v>
                </c:pt>
                <c:pt idx="6">
                  <c:v>17.938644055481891</c:v>
                </c:pt>
                <c:pt idx="7">
                  <c:v>2.5058943659865309</c:v>
                </c:pt>
              </c:numCache>
            </c:numRef>
          </c:val>
        </c:ser>
        <c:ser>
          <c:idx val="1"/>
          <c:order val="1"/>
          <c:tx>
            <c:strRef>
              <c:f>'Analysis - health '!$K$3</c:f>
              <c:strCache>
                <c:ptCount val="1"/>
                <c:pt idx="0">
                  <c:v>Health Expenditure per beneficiary (CHF)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 - health '!$B$4:$B$11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 - health '!$K$4:$K$11</c:f>
              <c:numCache>
                <c:formatCode>#,##0.0</c:formatCode>
                <c:ptCount val="8"/>
                <c:pt idx="0">
                  <c:v>29.974636669201345</c:v>
                </c:pt>
                <c:pt idx="1">
                  <c:v>0.77187560323194437</c:v>
                </c:pt>
                <c:pt idx="2">
                  <c:v>0.82919553547470481</c:v>
                </c:pt>
                <c:pt idx="3">
                  <c:v>0.52340330059888818</c:v>
                </c:pt>
                <c:pt idx="4">
                  <c:v>0.51368132192588734</c:v>
                </c:pt>
                <c:pt idx="5">
                  <c:v>6.0409521140284618E-2</c:v>
                </c:pt>
                <c:pt idx="6">
                  <c:v>0.84031485818665619</c:v>
                </c:pt>
                <c:pt idx="7">
                  <c:v>5.7369769687254345E-2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587776"/>
        <c:axId val="120589312"/>
      </c:barChart>
      <c:catAx>
        <c:axId val="1205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589312"/>
        <c:crosses val="autoZero"/>
        <c:auto val="1"/>
        <c:lblAlgn val="ctr"/>
        <c:lblOffset val="100"/>
        <c:noMultiLvlLbl val="0"/>
      </c:catAx>
      <c:valAx>
        <c:axId val="1205893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058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Health beneficiaries per zone (%), 2004-2011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</c:spPr>
          </c:dPt>
          <c:dPt>
            <c:idx val="1"/>
            <c:bubble3D val="0"/>
            <c:spPr>
              <a:solidFill>
                <a:srgbClr val="00B050"/>
              </a:solidFill>
            </c:spPr>
          </c:dPt>
          <c:dPt>
            <c:idx val="2"/>
            <c:bubble3D val="0"/>
            <c:spPr>
              <a:solidFill>
                <a:srgbClr val="202AEC"/>
              </a:solidFill>
            </c:spPr>
          </c:dPt>
          <c:dPt>
            <c:idx val="3"/>
            <c:bubble3D val="0"/>
            <c:spPr>
              <a:solidFill>
                <a:srgbClr val="7030A0"/>
              </a:solidFill>
            </c:spPr>
          </c:dPt>
          <c:dPt>
            <c:idx val="4"/>
            <c:bubble3D val="0"/>
            <c:spPr>
              <a:solidFill>
                <a:srgbClr val="FF0000"/>
              </a:solidFill>
            </c:spPr>
          </c:dPt>
          <c:dLbls>
            <c:dLbl>
              <c:idx val="0"/>
              <c:layout>
                <c:manualLayout>
                  <c:x val="-0.10796380139982498"/>
                  <c:y val="-0.2305019685039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34426946631671E-2"/>
                  <c:y val="4.049540682414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6805336832895985E-2"/>
                  <c:y val="3.7611913094196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0918744531933509E-2"/>
                  <c:y val="-9.0740740740740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'Analysis - health '!$V$4:$V$8</c:f>
              <c:strCache>
                <c:ptCount val="5"/>
                <c:pt idx="0">
                  <c:v>Africa</c:v>
                </c:pt>
                <c:pt idx="1">
                  <c:v>Asia Pacific</c:v>
                </c:pt>
                <c:pt idx="2">
                  <c:v>Americas</c:v>
                </c:pt>
                <c:pt idx="3">
                  <c:v>Europe</c:v>
                </c:pt>
                <c:pt idx="4">
                  <c:v>MENA</c:v>
                </c:pt>
              </c:strCache>
            </c:strRef>
          </c:cat>
          <c:val>
            <c:numRef>
              <c:f>'Analysis - health '!$X$4:$X$8</c:f>
              <c:numCache>
                <c:formatCode>0.00</c:formatCode>
                <c:ptCount val="5"/>
                <c:pt idx="0">
                  <c:v>79.712536707710228</c:v>
                </c:pt>
                <c:pt idx="1">
                  <c:v>13.685318931859703</c:v>
                </c:pt>
                <c:pt idx="2" formatCode="General">
                  <c:v>4.58</c:v>
                </c:pt>
                <c:pt idx="3">
                  <c:v>1.68008199190094</c:v>
                </c:pt>
                <c:pt idx="4">
                  <c:v>0.34415731273126726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400" b="0"/>
              <a:t>Type</a:t>
            </a:r>
            <a:r>
              <a:rPr lang="en-GB" sz="1400" b="0" baseline="0"/>
              <a:t> of disaster </a:t>
            </a:r>
            <a:r>
              <a:rPr lang="en-GB" sz="1400" b="0"/>
              <a:t>per zone- % (2011)</a:t>
            </a:r>
          </a:p>
        </c:rich>
      </c:tx>
      <c:layout>
        <c:manualLayout>
          <c:xMode val="edge"/>
          <c:yMode val="edge"/>
          <c:x val="0.23455522403599022"/>
          <c:y val="5.4145525693011211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287503499813895E-2"/>
          <c:y val="0.18094766749673244"/>
          <c:w val="0.65167194854636501"/>
          <c:h val="0.59587506310760496"/>
        </c:manualLayout>
      </c:layout>
      <c:barChart>
        <c:barDir val="col"/>
        <c:grouping val="stacked"/>
        <c:varyColors val="0"/>
        <c:ser>
          <c:idx val="0"/>
          <c:order val="0"/>
          <c:tx>
            <c:v>% Floods 2011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'Analysis-General'!$V$16:$Z$16</c:f>
              <c:strCache>
                <c:ptCount val="5"/>
                <c:pt idx="0">
                  <c:v> Africa</c:v>
                </c:pt>
                <c:pt idx="1">
                  <c:v>Asia Pacific</c:v>
                </c:pt>
                <c:pt idx="2">
                  <c:v>Europe</c:v>
                </c:pt>
                <c:pt idx="3">
                  <c:v>Middle East and North Africa</c:v>
                </c:pt>
                <c:pt idx="4">
                  <c:v>Americas</c:v>
                </c:pt>
              </c:strCache>
            </c:strRef>
          </c:cat>
          <c:val>
            <c:numRef>
              <c:f>'Analysis-General'!$V$17:$Z$17</c:f>
              <c:numCache>
                <c:formatCode>General</c:formatCode>
                <c:ptCount val="5"/>
                <c:pt idx="0">
                  <c:v>0.24242424242424243</c:v>
                </c:pt>
                <c:pt idx="1">
                  <c:v>0.5</c:v>
                </c:pt>
                <c:pt idx="2">
                  <c:v>0.5</c:v>
                </c:pt>
                <c:pt idx="3">
                  <c:v>0.2</c:v>
                </c:pt>
                <c:pt idx="4">
                  <c:v>0.5625</c:v>
                </c:pt>
              </c:numCache>
            </c:numRef>
          </c:val>
        </c:ser>
        <c:ser>
          <c:idx val="1"/>
          <c:order val="1"/>
          <c:tx>
            <c:v>% Epidemics 2011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'Analysis-General'!$V$16:$Z$16</c:f>
              <c:strCache>
                <c:ptCount val="5"/>
                <c:pt idx="0">
                  <c:v> Africa</c:v>
                </c:pt>
                <c:pt idx="1">
                  <c:v>Asia Pacific</c:v>
                </c:pt>
                <c:pt idx="2">
                  <c:v>Europe</c:v>
                </c:pt>
                <c:pt idx="3">
                  <c:v>Middle East and North Africa</c:v>
                </c:pt>
                <c:pt idx="4">
                  <c:v>Americas</c:v>
                </c:pt>
              </c:strCache>
            </c:strRef>
          </c:cat>
          <c:val>
            <c:numRef>
              <c:f>'Analysis-General'!$V$18:$Z$18</c:f>
              <c:numCache>
                <c:formatCode>General</c:formatCode>
                <c:ptCount val="5"/>
                <c:pt idx="0">
                  <c:v>0.36363636363636365</c:v>
                </c:pt>
                <c:pt idx="1">
                  <c:v>0.125</c:v>
                </c:pt>
                <c:pt idx="2">
                  <c:v>0</c:v>
                </c:pt>
                <c:pt idx="3">
                  <c:v>0</c:v>
                </c:pt>
                <c:pt idx="4">
                  <c:v>0.125</c:v>
                </c:pt>
              </c:numCache>
            </c:numRef>
          </c:val>
        </c:ser>
        <c:ser>
          <c:idx val="2"/>
          <c:order val="2"/>
          <c:tx>
            <c:v>% human related 2011</c:v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'Analysis-General'!$V$16:$Z$16</c:f>
              <c:strCache>
                <c:ptCount val="5"/>
                <c:pt idx="0">
                  <c:v> Africa</c:v>
                </c:pt>
                <c:pt idx="1">
                  <c:v>Asia Pacific</c:v>
                </c:pt>
                <c:pt idx="2">
                  <c:v>Europe</c:v>
                </c:pt>
                <c:pt idx="3">
                  <c:v>Middle East and North Africa</c:v>
                </c:pt>
                <c:pt idx="4">
                  <c:v>Americas</c:v>
                </c:pt>
              </c:strCache>
            </c:strRef>
          </c:cat>
          <c:val>
            <c:numRef>
              <c:f>'Analysis-General'!$V$19:$Z$19</c:f>
              <c:numCache>
                <c:formatCode>General</c:formatCode>
                <c:ptCount val="5"/>
                <c:pt idx="0">
                  <c:v>0.21212121212121213</c:v>
                </c:pt>
                <c:pt idx="1">
                  <c:v>0</c:v>
                </c:pt>
                <c:pt idx="2">
                  <c:v>0.125</c:v>
                </c:pt>
                <c:pt idx="3">
                  <c:v>0.8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v>% Storms, cyclones, etc 2011</c:v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'Analysis-General'!$V$16:$Z$16</c:f>
              <c:strCache>
                <c:ptCount val="5"/>
                <c:pt idx="0">
                  <c:v> Africa</c:v>
                </c:pt>
                <c:pt idx="1">
                  <c:v>Asia Pacific</c:v>
                </c:pt>
                <c:pt idx="2">
                  <c:v>Europe</c:v>
                </c:pt>
                <c:pt idx="3">
                  <c:v>Middle East and North Africa</c:v>
                </c:pt>
                <c:pt idx="4">
                  <c:v>Americas</c:v>
                </c:pt>
              </c:strCache>
            </c:strRef>
          </c:cat>
          <c:val>
            <c:numRef>
              <c:f>'Analysis-General'!$V$20:$Z$20</c:f>
              <c:numCache>
                <c:formatCode>General</c:formatCode>
                <c:ptCount val="5"/>
                <c:pt idx="0">
                  <c:v>0.15151515151515152</c:v>
                </c:pt>
                <c:pt idx="1">
                  <c:v>0.1875</c:v>
                </c:pt>
                <c:pt idx="2">
                  <c:v>0.125</c:v>
                </c:pt>
                <c:pt idx="3">
                  <c:v>0</c:v>
                </c:pt>
                <c:pt idx="4">
                  <c:v>0.3125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690048"/>
        <c:axId val="108695936"/>
      </c:barChart>
      <c:catAx>
        <c:axId val="10869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695936"/>
        <c:crosses val="autoZero"/>
        <c:auto val="1"/>
        <c:lblAlgn val="ctr"/>
        <c:lblOffset val="100"/>
        <c:noMultiLvlLbl val="0"/>
      </c:catAx>
      <c:valAx>
        <c:axId val="10869593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6900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6291533007967516"/>
          <c:y val="0.18118464299303988"/>
          <c:w val="0.23371653396143538"/>
          <c:h val="0.5620035549877295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400"/>
              <a:t>Health expenditures per zone (%), 2004-2011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</c:spPr>
          </c:dPt>
          <c:dPt>
            <c:idx val="1"/>
            <c:bubble3D val="0"/>
            <c:spPr>
              <a:solidFill>
                <a:srgbClr val="FF0000"/>
              </a:solidFill>
            </c:spPr>
          </c:dPt>
          <c:dPt>
            <c:idx val="2"/>
            <c:bubble3D val="0"/>
            <c:spPr>
              <a:solidFill>
                <a:srgbClr val="E9BC17"/>
              </a:solidFill>
            </c:spPr>
          </c:dPt>
          <c:dPt>
            <c:idx val="3"/>
            <c:bubble3D val="0"/>
            <c:spPr>
              <a:solidFill>
                <a:srgbClr val="202AEC"/>
              </a:solidFill>
            </c:spPr>
          </c:dPt>
          <c:dPt>
            <c:idx val="4"/>
            <c:bubble3D val="0"/>
            <c:spPr>
              <a:solidFill>
                <a:srgbClr val="7030A0"/>
              </a:solidFill>
            </c:spPr>
          </c:dPt>
          <c:dLbls>
            <c:dLbl>
              <c:idx val="1"/>
              <c:layout>
                <c:manualLayout>
                  <c:x val="-5.3725940507436572E-2"/>
                  <c:y val="1.4824292796733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2737423447069179E-2"/>
                  <c:y val="-8.6708953047535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7987751531058626E-5"/>
                  <c:y val="-2.8265164771070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713692038495347E-2"/>
                  <c:y val="-9.051108194808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'Analysis - health '!$R$4:$R$8</c:f>
              <c:strCache>
                <c:ptCount val="5"/>
                <c:pt idx="0">
                  <c:v>Asia Pacific</c:v>
                </c:pt>
                <c:pt idx="1">
                  <c:v>MENA</c:v>
                </c:pt>
                <c:pt idx="2">
                  <c:v>Africa</c:v>
                </c:pt>
                <c:pt idx="3">
                  <c:v>Americas</c:v>
                </c:pt>
                <c:pt idx="4">
                  <c:v>Europe</c:v>
                </c:pt>
              </c:strCache>
            </c:strRef>
          </c:cat>
          <c:val>
            <c:numRef>
              <c:f>'Analysis - health '!$T$4:$T$8</c:f>
              <c:numCache>
                <c:formatCode>0.00</c:formatCode>
                <c:ptCount val="5"/>
                <c:pt idx="0">
                  <c:v>92.117640520460654</c:v>
                </c:pt>
                <c:pt idx="1">
                  <c:v>3.0436919608995985</c:v>
                </c:pt>
                <c:pt idx="2">
                  <c:v>2.9749868293829782</c:v>
                </c:pt>
                <c:pt idx="3">
                  <c:v>1.8540663873703758</c:v>
                </c:pt>
                <c:pt idx="4">
                  <c:v>9.6143018863870874E-3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400" b="1" i="0" u="none" strike="noStrike" baseline="0"/>
              <a:t>Common epidemics and outbreaks (%), 2004 - 2011</a:t>
            </a:r>
            <a:endParaRPr lang="en-GB" sz="14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7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rgbClr val="FFFF0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'Analysis- ECV, volunteers '!$E$4:$E$12</c:f>
              <c:strCache>
                <c:ptCount val="9"/>
                <c:pt idx="0">
                  <c:v>Cholera</c:v>
                </c:pt>
                <c:pt idx="1">
                  <c:v>Meningitis</c:v>
                </c:pt>
                <c:pt idx="2">
                  <c:v>Dengue</c:v>
                </c:pt>
                <c:pt idx="3">
                  <c:v>Yellow fever</c:v>
                </c:pt>
                <c:pt idx="4">
                  <c:v>Polio </c:v>
                </c:pt>
                <c:pt idx="5">
                  <c:v>Measles</c:v>
                </c:pt>
                <c:pt idx="6">
                  <c:v>AWD</c:v>
                </c:pt>
                <c:pt idx="7">
                  <c:v>Chikunguniya</c:v>
                </c:pt>
                <c:pt idx="8">
                  <c:v>Others</c:v>
                </c:pt>
              </c:strCache>
            </c:strRef>
          </c:cat>
          <c:val>
            <c:numRef>
              <c:f>'Analysis- ECV, volunteers '!$G$4:$G$12</c:f>
              <c:numCache>
                <c:formatCode>0</c:formatCode>
                <c:ptCount val="9"/>
                <c:pt idx="0">
                  <c:v>40.875912408759127</c:v>
                </c:pt>
                <c:pt idx="1">
                  <c:v>10.948905109489051</c:v>
                </c:pt>
                <c:pt idx="2">
                  <c:v>10.218978102189782</c:v>
                </c:pt>
                <c:pt idx="3">
                  <c:v>7.2992700729927007</c:v>
                </c:pt>
                <c:pt idx="4">
                  <c:v>5.8394160583941606</c:v>
                </c:pt>
                <c:pt idx="5">
                  <c:v>5.1094890510948909</c:v>
                </c:pt>
                <c:pt idx="6">
                  <c:v>4.3795620437956204</c:v>
                </c:pt>
                <c:pt idx="7">
                  <c:v>3.6496350364963503</c:v>
                </c:pt>
                <c:pt idx="8">
                  <c:v>11.678832116788321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one"/>
        <c:axId val="113988736"/>
        <c:axId val="113990272"/>
        <c:axId val="0"/>
      </c:bar3DChart>
      <c:catAx>
        <c:axId val="11398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990272"/>
        <c:crosses val="autoZero"/>
        <c:auto val="1"/>
        <c:lblAlgn val="ctr"/>
        <c:lblOffset val="100"/>
        <c:noMultiLvlLbl val="0"/>
      </c:catAx>
      <c:valAx>
        <c:axId val="1139902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13988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162" r="0.70000000000000162" t="0.75000000000000233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400"/>
              <a:t>Epidemics by causative agents, 2004 - 2012 (%)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'Analysis- ECV, volunteers '!$S$32:$U$32</c:f>
              <c:strCache>
                <c:ptCount val="1"/>
                <c:pt idx="0">
                  <c:v>Bacterial infectious Viral infectious Parasitic infectious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cat>
            <c:strRef>
              <c:f>'Analysis- ECV, volunteers '!$S$32:$U$32</c:f>
              <c:strCache>
                <c:ptCount val="3"/>
                <c:pt idx="0">
                  <c:v>Bacterial infectious</c:v>
                </c:pt>
                <c:pt idx="1">
                  <c:v>Viral infectious</c:v>
                </c:pt>
                <c:pt idx="2">
                  <c:v>Parasitic infectious</c:v>
                </c:pt>
              </c:strCache>
            </c:strRef>
          </c:cat>
          <c:val>
            <c:numRef>
              <c:f>'Analysis- ECV, volunteers '!$S$42:$U$42</c:f>
              <c:numCache>
                <c:formatCode>#,##0.00</c:formatCode>
                <c:ptCount val="3"/>
                <c:pt idx="0">
                  <c:v>56.204379562043798</c:v>
                </c:pt>
                <c:pt idx="1">
                  <c:v>43.065693430656935</c:v>
                </c:pt>
                <c:pt idx="2">
                  <c:v>0.72992700729927007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23808"/>
        <c:axId val="113849472"/>
      </c:barChart>
      <c:catAx>
        <c:axId val="11402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849472"/>
        <c:crosses val="autoZero"/>
        <c:auto val="1"/>
        <c:lblAlgn val="ctr"/>
        <c:lblOffset val="100"/>
        <c:noMultiLvlLbl val="0"/>
      </c:catAx>
      <c:valAx>
        <c:axId val="11384947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14023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Emergency operations - </a:t>
            </a:r>
            <a:r>
              <a:rPr lang="en-GB" sz="1400"/>
              <a:t>n.</a:t>
            </a:r>
            <a:r>
              <a:rPr lang="en-GB" sz="1400" baseline="0"/>
              <a:t> of events </a:t>
            </a:r>
            <a:r>
              <a:rPr lang="en-GB" sz="1400"/>
              <a:t>(2004-2011)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'Analysis-Affected countries'!$B$82:$B$131</c:f>
              <c:strCache>
                <c:ptCount val="50"/>
                <c:pt idx="0">
                  <c:v>Angola</c:v>
                </c:pt>
                <c:pt idx="1">
                  <c:v>China</c:v>
                </c:pt>
                <c:pt idx="2">
                  <c:v>Kyrgyzstan</c:v>
                </c:pt>
                <c:pt idx="3">
                  <c:v>Rwanda</c:v>
                </c:pt>
                <c:pt idx="4">
                  <c:v>Bolivia</c:v>
                </c:pt>
                <c:pt idx="5">
                  <c:v>Chile</c:v>
                </c:pt>
                <c:pt idx="6">
                  <c:v>Madagascar</c:v>
                </c:pt>
                <c:pt idx="7">
                  <c:v>Malawi</c:v>
                </c:pt>
                <c:pt idx="8">
                  <c:v>Mexico</c:v>
                </c:pt>
                <c:pt idx="9">
                  <c:v>Namibia</c:v>
                </c:pt>
                <c:pt idx="10">
                  <c:v>Ukraine</c:v>
                </c:pt>
                <c:pt idx="11">
                  <c:v>Benin</c:v>
                </c:pt>
                <c:pt idx="12">
                  <c:v>Bosnia and Herzegovina</c:v>
                </c:pt>
                <c:pt idx="13">
                  <c:v>Carribean</c:v>
                </c:pt>
                <c:pt idx="14">
                  <c:v>Gambia</c:v>
                </c:pt>
                <c:pt idx="15">
                  <c:v>Honduras</c:v>
                </c:pt>
                <c:pt idx="16">
                  <c:v>India</c:v>
                </c:pt>
                <c:pt idx="17">
                  <c:v>Indonesia</c:v>
                </c:pt>
                <c:pt idx="18">
                  <c:v>Montenegro</c:v>
                </c:pt>
                <c:pt idx="19">
                  <c:v>Panama</c:v>
                </c:pt>
                <c:pt idx="20">
                  <c:v>Philippines </c:v>
                </c:pt>
                <c:pt idx="21">
                  <c:v>Togo</c:v>
                </c:pt>
                <c:pt idx="22">
                  <c:v>Bangladesh</c:v>
                </c:pt>
                <c:pt idx="23">
                  <c:v>Nicaragua</c:v>
                </c:pt>
                <c:pt idx="24">
                  <c:v>Pakistan</c:v>
                </c:pt>
                <c:pt idx="25">
                  <c:v>Republic of Congo</c:v>
                </c:pt>
                <c:pt idx="26">
                  <c:v>Tajikistan </c:v>
                </c:pt>
                <c:pt idx="27">
                  <c:v>Vietnam</c:v>
                </c:pt>
                <c:pt idx="28">
                  <c:v>Costa Rica</c:v>
                </c:pt>
                <c:pt idx="29">
                  <c:v>Mozambique </c:v>
                </c:pt>
                <c:pt idx="30">
                  <c:v>Serbia</c:v>
                </c:pt>
                <c:pt idx="31">
                  <c:v>Zambia</c:v>
                </c:pt>
                <c:pt idx="32">
                  <c:v>Egypt</c:v>
                </c:pt>
                <c:pt idx="33">
                  <c:v>Ghana</c:v>
                </c:pt>
                <c:pt idx="34">
                  <c:v>Haiti</c:v>
                </c:pt>
                <c:pt idx="35">
                  <c:v>Chad</c:v>
                </c:pt>
                <c:pt idx="36">
                  <c:v>Colombia </c:v>
                </c:pt>
                <c:pt idx="37">
                  <c:v>DRC</c:v>
                </c:pt>
                <c:pt idx="38">
                  <c:v>Nigeria</c:v>
                </c:pt>
                <c:pt idx="39">
                  <c:v>Central African Republic</c:v>
                </c:pt>
                <c:pt idx="40">
                  <c:v>Ethiopia</c:v>
                </c:pt>
                <c:pt idx="41">
                  <c:v>Niger</c:v>
                </c:pt>
                <c:pt idx="42">
                  <c:v>Sudan</c:v>
                </c:pt>
                <c:pt idx="43">
                  <c:v>Malli</c:v>
                </c:pt>
                <c:pt idx="44">
                  <c:v>Russia </c:v>
                </c:pt>
                <c:pt idx="45">
                  <c:v>Cameroon </c:v>
                </c:pt>
                <c:pt idx="46">
                  <c:v>Burkina Faso </c:v>
                </c:pt>
                <c:pt idx="47">
                  <c:v>Tanzania</c:v>
                </c:pt>
                <c:pt idx="48">
                  <c:v>Uganda</c:v>
                </c:pt>
                <c:pt idx="49">
                  <c:v>Kenya</c:v>
                </c:pt>
              </c:strCache>
            </c:strRef>
          </c:cat>
          <c:val>
            <c:numRef>
              <c:f>'Analysis-Affected countries'!$C$82:$C$131</c:f>
              <c:numCache>
                <c:formatCode>General</c:formatCode>
                <c:ptCount val="5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11</c:v>
                </c:pt>
                <c:pt idx="29">
                  <c:v>11</c:v>
                </c:pt>
                <c:pt idx="30">
                  <c:v>12</c:v>
                </c:pt>
                <c:pt idx="31">
                  <c:v>12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16</c:v>
                </c:pt>
                <c:pt idx="44">
                  <c:v>16</c:v>
                </c:pt>
                <c:pt idx="45">
                  <c:v>17</c:v>
                </c:pt>
                <c:pt idx="46">
                  <c:v>18</c:v>
                </c:pt>
                <c:pt idx="47">
                  <c:v>18</c:v>
                </c:pt>
                <c:pt idx="48">
                  <c:v>27</c:v>
                </c:pt>
                <c:pt idx="49">
                  <c:v>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86720"/>
        <c:axId val="113888256"/>
      </c:barChart>
      <c:catAx>
        <c:axId val="11388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3888256"/>
        <c:crosses val="autoZero"/>
        <c:auto val="1"/>
        <c:lblAlgn val="ctr"/>
        <c:lblOffset val="100"/>
        <c:tickLblSkip val="1"/>
        <c:noMultiLvlLbl val="0"/>
      </c:catAx>
      <c:valAx>
        <c:axId val="113888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3886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number of affected people by year (excluding conflict-related and epidemics) IN MILLIONs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'Major disasters figures EM-DAT'!$L$3:$P$3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'Major disasters figures EM-DAT'!$L$4:$P$4</c:f>
              <c:numCache>
                <c:formatCode>#,##0</c:formatCode>
                <c:ptCount val="5"/>
                <c:pt idx="0">
                  <c:v>147.51900000000001</c:v>
                </c:pt>
                <c:pt idx="1">
                  <c:v>214.35599999999999</c:v>
                </c:pt>
                <c:pt idx="2">
                  <c:v>225.374</c:v>
                </c:pt>
                <c:pt idx="3">
                  <c:v>223.23599999999999</c:v>
                </c:pt>
                <c:pt idx="4">
                  <c:v>304.38799999999998</c:v>
                </c:pt>
              </c:numCache>
            </c:numRef>
          </c:val>
        </c:ser>
        <c:ser>
          <c:idx val="1"/>
          <c:order val="1"/>
          <c:tx>
            <c:v>Total number of killed people by year (excluding conflict-related and epidemics), IN THOUSANDS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'Major disasters figures EM-DAT'!$L$3:$P$3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'Major disasters figures EM-DAT'!$L$6:$P$6</c:f>
              <c:numCache>
                <c:formatCode>General</c:formatCode>
                <c:ptCount val="5"/>
                <c:pt idx="0">
                  <c:v>33.826999999999998</c:v>
                </c:pt>
                <c:pt idx="1">
                  <c:v>24.495999999999999</c:v>
                </c:pt>
                <c:pt idx="2">
                  <c:v>242.19800000000001</c:v>
                </c:pt>
                <c:pt idx="3">
                  <c:v>17.66</c:v>
                </c:pt>
                <c:pt idx="4">
                  <c:v>304.476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353152"/>
        <c:axId val="120354688"/>
      </c:barChart>
      <c:catAx>
        <c:axId val="1203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354688"/>
        <c:crosses val="autoZero"/>
        <c:auto val="1"/>
        <c:lblAlgn val="ctr"/>
        <c:lblOffset val="100"/>
        <c:noMultiLvlLbl val="0"/>
      </c:catAx>
      <c:valAx>
        <c:axId val="12035468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3531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5553235908141749"/>
          <c:y val="0.14583369787110032"/>
          <c:w val="0.33611691022964935"/>
          <c:h val="0.614585520559929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number of disasters responded by year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6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6"/>
                <c:pt idx="0">
                  <c:v>111</c:v>
                </c:pt>
                <c:pt idx="1">
                  <c:v>135</c:v>
                </c:pt>
                <c:pt idx="2">
                  <c:v>96</c:v>
                </c:pt>
                <c:pt idx="3">
                  <c:v>103</c:v>
                </c:pt>
                <c:pt idx="4">
                  <c:v>97</c:v>
                </c:pt>
                <c:pt idx="5">
                  <c:v>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362496"/>
        <c:axId val="120364032"/>
      </c:barChart>
      <c:catAx>
        <c:axId val="12036249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364032"/>
        <c:crosses val="autoZero"/>
        <c:auto val="1"/>
        <c:lblAlgn val="ctr"/>
        <c:lblOffset val="100"/>
        <c:noMultiLvlLbl val="0"/>
      </c:catAx>
      <c:valAx>
        <c:axId val="120364032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3624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1024498886414302"/>
          <c:y val="0.57620817843866201"/>
          <c:w val="0.31403118040088784"/>
          <c:h val="0.208178438661710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Average number of beneficiaries per appeal</a:t>
            </a:r>
          </a:p>
        </c:rich>
      </c:tx>
      <c:layout>
        <c:manualLayout>
          <c:xMode val="edge"/>
          <c:yMode val="edge"/>
          <c:x val="0.24894806456279628"/>
          <c:y val="5.0628837679693707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7975489284312"/>
          <c:y val="0.14725926461027244"/>
          <c:w val="0.83283237233141161"/>
          <c:h val="0.7378248934479526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'Analysis-General'!$D$5:$D$12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'Analysis-General'!$H$5:$H$12</c:f>
              <c:numCache>
                <c:formatCode>#,##0</c:formatCode>
                <c:ptCount val="8"/>
                <c:pt idx="0">
                  <c:v>171186.28070175438</c:v>
                </c:pt>
                <c:pt idx="1">
                  <c:v>94142.425531914894</c:v>
                </c:pt>
                <c:pt idx="2">
                  <c:v>97555.621052631584</c:v>
                </c:pt>
                <c:pt idx="3">
                  <c:v>199003.66315789474</c:v>
                </c:pt>
                <c:pt idx="4">
                  <c:v>229690.76237623763</c:v>
                </c:pt>
                <c:pt idx="5">
                  <c:v>416925.91397849465</c:v>
                </c:pt>
                <c:pt idx="6">
                  <c:v>133117.1953125</c:v>
                </c:pt>
                <c:pt idx="7">
                  <c:v>247266.96396396396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721664"/>
        <c:axId val="108723200"/>
      </c:barChart>
      <c:catAx>
        <c:axId val="108721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723200"/>
        <c:crosses val="autoZero"/>
        <c:auto val="1"/>
        <c:lblAlgn val="ctr"/>
        <c:lblOffset val="100"/>
        <c:noMultiLvlLbl val="0"/>
      </c:catAx>
      <c:valAx>
        <c:axId val="108723200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high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7216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289" l="0.70000000000000262" r="0.70000000000000262" t="0.750000000000002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Percentage</a:t>
            </a:r>
            <a:r>
              <a:rPr lang="en-US" baseline="0"/>
              <a:t> of type of disaster by year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5"/>
          <c:order val="0"/>
          <c:tx>
            <c:v>Floods</c:v>
          </c:tx>
          <c:invertIfNegative val="0"/>
          <c:cat>
            <c:numRef>
              <c:f>'Analysis-General'!$AD$13:$AK$13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'Analysis-General'!$AD$20:$AK$20</c:f>
              <c:numCache>
                <c:formatCode>General</c:formatCode>
                <c:ptCount val="8"/>
                <c:pt idx="0">
                  <c:v>38</c:v>
                </c:pt>
                <c:pt idx="1">
                  <c:v>66</c:v>
                </c:pt>
                <c:pt idx="2">
                  <c:v>37</c:v>
                </c:pt>
                <c:pt idx="3">
                  <c:v>48</c:v>
                </c:pt>
                <c:pt idx="4">
                  <c:v>48</c:v>
                </c:pt>
                <c:pt idx="5">
                  <c:v>50</c:v>
                </c:pt>
                <c:pt idx="6">
                  <c:v>27</c:v>
                </c:pt>
                <c:pt idx="7">
                  <c:v>21</c:v>
                </c:pt>
              </c:numCache>
            </c:numRef>
          </c:val>
        </c:ser>
        <c:ser>
          <c:idx val="2"/>
          <c:order val="1"/>
          <c:tx>
            <c:v>Other Hydrometeorological</c:v>
          </c:tx>
          <c:invertIfNegative val="0"/>
          <c:cat>
            <c:numRef>
              <c:f>'Analysis-General'!$AD$13:$AK$13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'Analysis-General'!$AD$21:$AK$21</c:f>
              <c:numCache>
                <c:formatCode>General</c:formatCode>
                <c:ptCount val="8"/>
                <c:pt idx="0">
                  <c:v>19</c:v>
                </c:pt>
                <c:pt idx="1">
                  <c:v>21</c:v>
                </c:pt>
                <c:pt idx="2">
                  <c:v>18</c:v>
                </c:pt>
                <c:pt idx="3">
                  <c:v>10</c:v>
                </c:pt>
                <c:pt idx="4">
                  <c:v>13</c:v>
                </c:pt>
                <c:pt idx="5">
                  <c:v>7</c:v>
                </c:pt>
                <c:pt idx="6">
                  <c:v>21</c:v>
                </c:pt>
                <c:pt idx="7">
                  <c:v>11</c:v>
                </c:pt>
              </c:numCache>
            </c:numRef>
          </c:val>
        </c:ser>
        <c:ser>
          <c:idx val="1"/>
          <c:order val="2"/>
          <c:tx>
            <c:strRef>
              <c:f>'Analysis-General'!$AC$15</c:f>
              <c:strCache>
                <c:ptCount val="1"/>
                <c:pt idx="0">
                  <c:v>Epidemics</c:v>
                </c:pt>
              </c:strCache>
            </c:strRef>
          </c:tx>
          <c:invertIfNegative val="0"/>
          <c:cat>
            <c:numRef>
              <c:f>'Analysis-General'!$AD$13:$AK$13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'Analysis-General'!$AD$15:$AK$15</c:f>
              <c:numCache>
                <c:formatCode>General</c:formatCode>
                <c:ptCount val="8"/>
                <c:pt idx="0">
                  <c:v>28</c:v>
                </c:pt>
                <c:pt idx="1">
                  <c:v>15</c:v>
                </c:pt>
                <c:pt idx="2">
                  <c:v>22</c:v>
                </c:pt>
                <c:pt idx="3">
                  <c:v>20</c:v>
                </c:pt>
                <c:pt idx="4">
                  <c:v>16</c:v>
                </c:pt>
                <c:pt idx="5">
                  <c:v>21</c:v>
                </c:pt>
                <c:pt idx="6">
                  <c:v>12</c:v>
                </c:pt>
                <c:pt idx="7">
                  <c:v>6</c:v>
                </c:pt>
              </c:numCache>
            </c:numRef>
          </c:val>
        </c:ser>
        <c:ser>
          <c:idx val="0"/>
          <c:order val="3"/>
          <c:tx>
            <c:v>Human related</c:v>
          </c:tx>
          <c:invertIfNegative val="0"/>
          <c:cat>
            <c:numRef>
              <c:f>'Analysis-General'!$AD$13:$AK$13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'Analysis-General'!$AD$14:$AK$14</c:f>
              <c:numCache>
                <c:formatCode>General</c:formatCode>
                <c:ptCount val="8"/>
                <c:pt idx="0">
                  <c:v>19</c:v>
                </c:pt>
                <c:pt idx="1">
                  <c:v>15</c:v>
                </c:pt>
                <c:pt idx="2">
                  <c:v>5</c:v>
                </c:pt>
                <c:pt idx="3">
                  <c:v>21</c:v>
                </c:pt>
                <c:pt idx="4">
                  <c:v>10</c:v>
                </c:pt>
                <c:pt idx="5">
                  <c:v>8</c:v>
                </c:pt>
                <c:pt idx="6">
                  <c:v>22</c:v>
                </c:pt>
                <c:pt idx="7">
                  <c:v>9</c:v>
                </c:pt>
              </c:numCache>
            </c:numRef>
          </c:val>
        </c:ser>
        <c:ser>
          <c:idx val="3"/>
          <c:order val="4"/>
          <c:tx>
            <c:v>Geophysical</c:v>
          </c:tx>
          <c:invertIfNegative val="0"/>
          <c:cat>
            <c:numRef>
              <c:f>'Analysis-General'!$AD$13:$AK$13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'Analysis-General'!$AD$17:$AK$17</c:f>
              <c:numCache>
                <c:formatCode>General</c:formatCode>
                <c:ptCount val="8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9</c:v>
                </c:pt>
                <c:pt idx="7">
                  <c:v>4</c:v>
                </c:pt>
              </c:numCache>
            </c:numRef>
          </c:val>
        </c:ser>
        <c:ser>
          <c:idx val="4"/>
          <c:order val="5"/>
          <c:tx>
            <c:v>Technological</c:v>
          </c:tx>
          <c:invertIfNegative val="0"/>
          <c:cat>
            <c:numRef>
              <c:f>'Analysis-General'!$AD$13:$AK$13</c:f>
              <c:numCache>
                <c:formatCode>General</c:formatCode>
                <c:ptCount val="8"/>
                <c:pt idx="0">
                  <c:v>2011</c:v>
                </c:pt>
                <c:pt idx="1">
                  <c:v>2010</c:v>
                </c:pt>
                <c:pt idx="2">
                  <c:v>2009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</c:numCache>
            </c:numRef>
          </c:cat>
          <c:val>
            <c:numRef>
              <c:f>'Analysis-General'!$AD$18:$AK$18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767488"/>
        <c:axId val="108789760"/>
      </c:barChart>
      <c:catAx>
        <c:axId val="10876748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789760"/>
        <c:crosses val="autoZero"/>
        <c:auto val="1"/>
        <c:lblAlgn val="ctr"/>
        <c:lblOffset val="100"/>
        <c:noMultiLvlLbl val="0"/>
      </c:catAx>
      <c:valAx>
        <c:axId val="108789760"/>
        <c:scaling>
          <c:orientation val="minMax"/>
        </c:scaling>
        <c:delete val="0"/>
        <c:axPos val="r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767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262" r="0.70000000000000262" t="0.750000000000002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" Type="http://schemas.openxmlformats.org/officeDocument/2006/relationships/chart" Target="../charts/chart40.xml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chart" Target="../charts/chart62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3" Type="http://schemas.openxmlformats.org/officeDocument/2006/relationships/chart" Target="../charts/chart65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290511</xdr:colOff>
      <xdr:row>33</xdr:row>
      <xdr:rowOff>0</xdr:rowOff>
    </xdr:from>
    <xdr:to>
      <xdr:col>6</xdr:col>
      <xdr:colOff>-1</xdr:colOff>
      <xdr:row>54</xdr:row>
      <xdr:rowOff>47625</xdr:rowOff>
    </xdr:to>
    <xdr:graphicFrame macro="">
      <xdr:nvGraphicFramePr>
        <xdr:cNvPr id="624974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465668</xdr:colOff>
      <xdr:row>33</xdr:row>
      <xdr:rowOff>23813</xdr:rowOff>
    </xdr:from>
    <xdr:to>
      <xdr:col>14</xdr:col>
      <xdr:colOff>23813</xdr:colOff>
      <xdr:row>54</xdr:row>
      <xdr:rowOff>0</xdr:rowOff>
    </xdr:to>
    <xdr:graphicFrame macro="">
      <xdr:nvGraphicFramePr>
        <xdr:cNvPr id="6249743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391584</xdr:colOff>
      <xdr:row>36</xdr:row>
      <xdr:rowOff>59532</xdr:rowOff>
    </xdr:from>
    <xdr:to>
      <xdr:col>22</xdr:col>
      <xdr:colOff>357188</xdr:colOff>
      <xdr:row>54</xdr:row>
      <xdr:rowOff>10584</xdr:rowOff>
    </xdr:to>
    <xdr:graphicFrame macro="">
      <xdr:nvGraphicFramePr>
        <xdr:cNvPr id="6249743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171451</xdr:colOff>
      <xdr:row>35</xdr:row>
      <xdr:rowOff>38099</xdr:rowOff>
    </xdr:from>
    <xdr:to>
      <xdr:col>31</xdr:col>
      <xdr:colOff>190502</xdr:colOff>
      <xdr:row>53</xdr:row>
      <xdr:rowOff>95250</xdr:rowOff>
    </xdr:to>
    <xdr:graphicFrame macro="">
      <xdr:nvGraphicFramePr>
        <xdr:cNvPr id="6249743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123750</xdr:colOff>
      <xdr:row>37</xdr:row>
      <xdr:rowOff>56696</xdr:rowOff>
    </xdr:from>
    <xdr:to>
      <xdr:col>48</xdr:col>
      <xdr:colOff>197304</xdr:colOff>
      <xdr:row>55</xdr:row>
      <xdr:rowOff>56697</xdr:rowOff>
    </xdr:to>
    <xdr:graphicFrame macro="">
      <xdr:nvGraphicFramePr>
        <xdr:cNvPr id="6249743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452814</xdr:colOff>
      <xdr:row>38</xdr:row>
      <xdr:rowOff>18898</xdr:rowOff>
    </xdr:from>
    <xdr:to>
      <xdr:col>58</xdr:col>
      <xdr:colOff>224517</xdr:colOff>
      <xdr:row>55</xdr:row>
      <xdr:rowOff>92981</xdr:rowOff>
    </xdr:to>
    <xdr:graphicFrame macro="">
      <xdr:nvGraphicFramePr>
        <xdr:cNvPr id="6249743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411162</xdr:colOff>
      <xdr:row>59</xdr:row>
      <xdr:rowOff>96838</xdr:rowOff>
    </xdr:from>
    <xdr:to>
      <xdr:col>25</xdr:col>
      <xdr:colOff>157162</xdr:colOff>
      <xdr:row>76</xdr:row>
      <xdr:rowOff>77787</xdr:rowOff>
    </xdr:to>
    <xdr:graphicFrame macro="">
      <xdr:nvGraphicFramePr>
        <xdr:cNvPr id="6249744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257175</xdr:colOff>
      <xdr:row>80</xdr:row>
      <xdr:rowOff>41275</xdr:rowOff>
    </xdr:from>
    <xdr:to>
      <xdr:col>24</xdr:col>
      <xdr:colOff>381000</xdr:colOff>
      <xdr:row>97</xdr:row>
      <xdr:rowOff>142875</xdr:rowOff>
    </xdr:to>
    <xdr:graphicFrame macro="">
      <xdr:nvGraphicFramePr>
        <xdr:cNvPr id="6249744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463020</xdr:colOff>
      <xdr:row>59</xdr:row>
      <xdr:rowOff>61912</xdr:rowOff>
    </xdr:from>
    <xdr:to>
      <xdr:col>46</xdr:col>
      <xdr:colOff>439209</xdr:colOff>
      <xdr:row>76</xdr:row>
      <xdr:rowOff>145522</xdr:rowOff>
    </xdr:to>
    <xdr:graphicFrame macro="">
      <xdr:nvGraphicFramePr>
        <xdr:cNvPr id="6249744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</xdr:col>
      <xdr:colOff>423334</xdr:colOff>
      <xdr:row>33</xdr:row>
      <xdr:rowOff>148166</xdr:rowOff>
    </xdr:from>
    <xdr:to>
      <xdr:col>38</xdr:col>
      <xdr:colOff>201083</xdr:colOff>
      <xdr:row>52</xdr:row>
      <xdr:rowOff>52916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743902</xdr:colOff>
      <xdr:row>59</xdr:row>
      <xdr:rowOff>134302</xdr:rowOff>
    </xdr:from>
    <xdr:to>
      <xdr:col>54</xdr:col>
      <xdr:colOff>150812</xdr:colOff>
      <xdr:row>78</xdr:row>
      <xdr:rowOff>15875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730250</xdr:colOff>
      <xdr:row>57</xdr:row>
      <xdr:rowOff>31750</xdr:rowOff>
    </xdr:from>
    <xdr:to>
      <xdr:col>15</xdr:col>
      <xdr:colOff>492125</xdr:colOff>
      <xdr:row>75</xdr:row>
      <xdr:rowOff>111125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59</xdr:col>
      <xdr:colOff>412749</xdr:colOff>
      <xdr:row>35</xdr:row>
      <xdr:rowOff>148165</xdr:rowOff>
    </xdr:from>
    <xdr:to>
      <xdr:col>66</xdr:col>
      <xdr:colOff>84665</xdr:colOff>
      <xdr:row>55</xdr:row>
      <xdr:rowOff>42332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59</xdr:col>
      <xdr:colOff>304800</xdr:colOff>
      <xdr:row>58</xdr:row>
      <xdr:rowOff>127000</xdr:rowOff>
    </xdr:from>
    <xdr:to>
      <xdr:col>66</xdr:col>
      <xdr:colOff>222249</xdr:colOff>
      <xdr:row>78</xdr:row>
      <xdr:rowOff>6350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59</xdr:col>
      <xdr:colOff>423334</xdr:colOff>
      <xdr:row>17</xdr:row>
      <xdr:rowOff>137583</xdr:rowOff>
    </xdr:from>
    <xdr:to>
      <xdr:col>65</xdr:col>
      <xdr:colOff>677333</xdr:colOff>
      <xdr:row>35</xdr:row>
      <xdr:rowOff>21167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66</xdr:col>
      <xdr:colOff>361949</xdr:colOff>
      <xdr:row>38</xdr:row>
      <xdr:rowOff>2116</xdr:rowOff>
    </xdr:from>
    <xdr:to>
      <xdr:col>77</xdr:col>
      <xdr:colOff>27517</xdr:colOff>
      <xdr:row>56</xdr:row>
      <xdr:rowOff>12699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77</xdr:col>
      <xdr:colOff>635000</xdr:colOff>
      <xdr:row>16</xdr:row>
      <xdr:rowOff>38100</xdr:rowOff>
    </xdr:from>
    <xdr:to>
      <xdr:col>86</xdr:col>
      <xdr:colOff>584200</xdr:colOff>
      <xdr:row>37</xdr:row>
      <xdr:rowOff>25400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66</xdr:col>
      <xdr:colOff>190500</xdr:colOff>
      <xdr:row>16</xdr:row>
      <xdr:rowOff>133350</xdr:rowOff>
    </xdr:from>
    <xdr:to>
      <xdr:col>77</xdr:col>
      <xdr:colOff>12700</xdr:colOff>
      <xdr:row>36</xdr:row>
      <xdr:rowOff>12700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77</xdr:col>
      <xdr:colOff>539750</xdr:colOff>
      <xdr:row>41</xdr:row>
      <xdr:rowOff>142875</xdr:rowOff>
    </xdr:from>
    <xdr:to>
      <xdr:col>86</xdr:col>
      <xdr:colOff>574675</xdr:colOff>
      <xdr:row>62</xdr:row>
      <xdr:rowOff>123825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66</xdr:col>
      <xdr:colOff>546100</xdr:colOff>
      <xdr:row>59</xdr:row>
      <xdr:rowOff>31750</xdr:rowOff>
    </xdr:from>
    <xdr:to>
      <xdr:col>76</xdr:col>
      <xdr:colOff>546100</xdr:colOff>
      <xdr:row>76</xdr:row>
      <xdr:rowOff>76200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23811</xdr:colOff>
      <xdr:row>58</xdr:row>
      <xdr:rowOff>23813</xdr:rowOff>
    </xdr:from>
    <xdr:to>
      <xdr:col>32</xdr:col>
      <xdr:colOff>742950</xdr:colOff>
      <xdr:row>75</xdr:row>
      <xdr:rowOff>109537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40</xdr:col>
      <xdr:colOff>108857</xdr:colOff>
      <xdr:row>20</xdr:row>
      <xdr:rowOff>136071</xdr:rowOff>
    </xdr:from>
    <xdr:to>
      <xdr:col>45</xdr:col>
      <xdr:colOff>489857</xdr:colOff>
      <xdr:row>35</xdr:row>
      <xdr:rowOff>81643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190500</xdr:colOff>
      <xdr:row>81</xdr:row>
      <xdr:rowOff>142875</xdr:rowOff>
    </xdr:from>
    <xdr:to>
      <xdr:col>32</xdr:col>
      <xdr:colOff>285750</xdr:colOff>
      <xdr:row>99</xdr:row>
      <xdr:rowOff>31750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32</xdr:col>
      <xdr:colOff>719665</xdr:colOff>
      <xdr:row>80</xdr:row>
      <xdr:rowOff>42334</xdr:rowOff>
    </xdr:from>
    <xdr:to>
      <xdr:col>42</xdr:col>
      <xdr:colOff>317499</xdr:colOff>
      <xdr:row>99</xdr:row>
      <xdr:rowOff>84667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148167</xdr:colOff>
      <xdr:row>101</xdr:row>
      <xdr:rowOff>105832</xdr:rowOff>
    </xdr:from>
    <xdr:to>
      <xdr:col>33</xdr:col>
      <xdr:colOff>507999</xdr:colOff>
      <xdr:row>122</xdr:row>
      <xdr:rowOff>126999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396874</xdr:colOff>
      <xdr:row>57</xdr:row>
      <xdr:rowOff>15875</xdr:rowOff>
    </xdr:from>
    <xdr:to>
      <xdr:col>5</xdr:col>
      <xdr:colOff>1079499</xdr:colOff>
      <xdr:row>75</xdr:row>
      <xdr:rowOff>15875</xdr:rowOff>
    </xdr:to>
    <xdr:graphicFrame macro="">
      <xdr:nvGraphicFramePr>
        <xdr:cNvPr id="32" name="Chart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194731</xdr:colOff>
      <xdr:row>78</xdr:row>
      <xdr:rowOff>100542</xdr:rowOff>
    </xdr:from>
    <xdr:to>
      <xdr:col>9</xdr:col>
      <xdr:colOff>440530</xdr:colOff>
      <xdr:row>97</xdr:row>
      <xdr:rowOff>11906</xdr:rowOff>
    </xdr:to>
    <xdr:graphicFrame macro="">
      <xdr:nvGraphicFramePr>
        <xdr:cNvPr id="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373062</xdr:colOff>
      <xdr:row>101</xdr:row>
      <xdr:rowOff>171979</xdr:rowOff>
    </xdr:from>
    <xdr:to>
      <xdr:col>8</xdr:col>
      <xdr:colOff>142875</xdr:colOff>
      <xdr:row>119</xdr:row>
      <xdr:rowOff>47625</xdr:rowOff>
    </xdr:to>
    <xdr:graphicFrame macro="">
      <xdr:nvGraphicFramePr>
        <xdr:cNvPr id="33" name="Chart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802821</xdr:colOff>
      <xdr:row>102</xdr:row>
      <xdr:rowOff>0</xdr:rowOff>
    </xdr:from>
    <xdr:to>
      <xdr:col>42</xdr:col>
      <xdr:colOff>81643</xdr:colOff>
      <xdr:row>118</xdr:row>
      <xdr:rowOff>27214</xdr:rowOff>
    </xdr:to>
    <xdr:graphicFrame macro="">
      <xdr:nvGraphicFramePr>
        <xdr:cNvPr id="34" name="Chart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</xdr:col>
      <xdr:colOff>317500</xdr:colOff>
      <xdr:row>99</xdr:row>
      <xdr:rowOff>95250</xdr:rowOff>
    </xdr:from>
    <xdr:to>
      <xdr:col>25</xdr:col>
      <xdr:colOff>31750</xdr:colOff>
      <xdr:row>113</xdr:row>
      <xdr:rowOff>174625</xdr:rowOff>
    </xdr:to>
    <xdr:graphicFrame macro="">
      <xdr:nvGraphicFramePr>
        <xdr:cNvPr id="36" name="Chart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317499</xdr:colOff>
      <xdr:row>82</xdr:row>
      <xdr:rowOff>174624</xdr:rowOff>
    </xdr:from>
    <xdr:to>
      <xdr:col>48</xdr:col>
      <xdr:colOff>904874</xdr:colOff>
      <xdr:row>98</xdr:row>
      <xdr:rowOff>31749</xdr:rowOff>
    </xdr:to>
    <xdr:graphicFrame macro="">
      <xdr:nvGraphicFramePr>
        <xdr:cNvPr id="37" name="Chart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111578</xdr:colOff>
      <xdr:row>1</xdr:row>
      <xdr:rowOff>129268</xdr:rowOff>
    </xdr:from>
    <xdr:to>
      <xdr:col>12</xdr:col>
      <xdr:colOff>257176</xdr:colOff>
      <xdr:row>18</xdr:row>
      <xdr:rowOff>148318</xdr:rowOff>
    </xdr:to>
    <xdr:graphicFrame macro="">
      <xdr:nvGraphicFramePr>
        <xdr:cNvPr id="596588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171450</xdr:colOff>
      <xdr:row>50</xdr:row>
      <xdr:rowOff>12700</xdr:rowOff>
    </xdr:from>
    <xdr:to>
      <xdr:col>25</xdr:col>
      <xdr:colOff>247650</xdr:colOff>
      <xdr:row>65</xdr:row>
      <xdr:rowOff>152400</xdr:rowOff>
    </xdr:to>
    <xdr:graphicFrame macro="">
      <xdr:nvGraphicFramePr>
        <xdr:cNvPr id="5965884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43296</xdr:colOff>
      <xdr:row>29</xdr:row>
      <xdr:rowOff>46182</xdr:rowOff>
    </xdr:from>
    <xdr:to>
      <xdr:col>8</xdr:col>
      <xdr:colOff>713221</xdr:colOff>
      <xdr:row>45</xdr:row>
      <xdr:rowOff>120073</xdr:rowOff>
    </xdr:to>
    <xdr:graphicFrame macro="">
      <xdr:nvGraphicFramePr>
        <xdr:cNvPr id="5965884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296333</xdr:colOff>
      <xdr:row>28</xdr:row>
      <xdr:rowOff>149224</xdr:rowOff>
    </xdr:from>
    <xdr:to>
      <xdr:col>17</xdr:col>
      <xdr:colOff>303069</xdr:colOff>
      <xdr:row>45</xdr:row>
      <xdr:rowOff>148167</xdr:rowOff>
    </xdr:to>
    <xdr:graphicFrame macro="">
      <xdr:nvGraphicFramePr>
        <xdr:cNvPr id="5965885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463551</xdr:colOff>
      <xdr:row>64</xdr:row>
      <xdr:rowOff>27213</xdr:rowOff>
    </xdr:from>
    <xdr:to>
      <xdr:col>16</xdr:col>
      <xdr:colOff>149678</xdr:colOff>
      <xdr:row>81</xdr:row>
      <xdr:rowOff>40820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423333</xdr:colOff>
      <xdr:row>29</xdr:row>
      <xdr:rowOff>76200</xdr:rowOff>
    </xdr:from>
    <xdr:to>
      <xdr:col>25</xdr:col>
      <xdr:colOff>285750</xdr:colOff>
      <xdr:row>47</xdr:row>
      <xdr:rowOff>76199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598715</xdr:colOff>
      <xdr:row>64</xdr:row>
      <xdr:rowOff>0</xdr:rowOff>
    </xdr:from>
    <xdr:to>
      <xdr:col>6</xdr:col>
      <xdr:colOff>431800</xdr:colOff>
      <xdr:row>81</xdr:row>
      <xdr:rowOff>13607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166689</xdr:colOff>
      <xdr:row>16</xdr:row>
      <xdr:rowOff>-1</xdr:rowOff>
    </xdr:from>
    <xdr:to>
      <xdr:col>4</xdr:col>
      <xdr:colOff>107156</xdr:colOff>
      <xdr:row>30</xdr:row>
      <xdr:rowOff>119061</xdr:rowOff>
    </xdr:to>
    <xdr:graphicFrame macro="">
      <xdr:nvGraphicFramePr>
        <xdr:cNvPr id="654669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209550</xdr:colOff>
      <xdr:row>16</xdr:row>
      <xdr:rowOff>47625</xdr:rowOff>
    </xdr:from>
    <xdr:to>
      <xdr:col>7</xdr:col>
      <xdr:colOff>571500</xdr:colOff>
      <xdr:row>29</xdr:row>
      <xdr:rowOff>114300</xdr:rowOff>
    </xdr:to>
    <xdr:graphicFrame macro="">
      <xdr:nvGraphicFramePr>
        <xdr:cNvPr id="6546694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588169</xdr:colOff>
      <xdr:row>15</xdr:row>
      <xdr:rowOff>14287</xdr:rowOff>
    </xdr:from>
    <xdr:to>
      <xdr:col>14</xdr:col>
      <xdr:colOff>476250</xdr:colOff>
      <xdr:row>30</xdr:row>
      <xdr:rowOff>0</xdr:rowOff>
    </xdr:to>
    <xdr:graphicFrame macro="">
      <xdr:nvGraphicFramePr>
        <xdr:cNvPr id="6546694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911678</xdr:colOff>
      <xdr:row>15</xdr:row>
      <xdr:rowOff>71436</xdr:rowOff>
    </xdr:from>
    <xdr:to>
      <xdr:col>23</xdr:col>
      <xdr:colOff>250033</xdr:colOff>
      <xdr:row>30</xdr:row>
      <xdr:rowOff>7823</xdr:rowOff>
    </xdr:to>
    <xdr:graphicFrame macro="">
      <xdr:nvGraphicFramePr>
        <xdr:cNvPr id="6546694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452665</xdr:colOff>
      <xdr:row>13</xdr:row>
      <xdr:rowOff>18142</xdr:rowOff>
    </xdr:from>
    <xdr:to>
      <xdr:col>42</xdr:col>
      <xdr:colOff>68036</xdr:colOff>
      <xdr:row>30</xdr:row>
      <xdr:rowOff>27214</xdr:rowOff>
    </xdr:to>
    <xdr:graphicFrame macro="">
      <xdr:nvGraphicFramePr>
        <xdr:cNvPr id="6546694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66</xdr:col>
      <xdr:colOff>546856</xdr:colOff>
      <xdr:row>1</xdr:row>
      <xdr:rowOff>4837</xdr:rowOff>
    </xdr:from>
    <xdr:to>
      <xdr:col>74</xdr:col>
      <xdr:colOff>229203</xdr:colOff>
      <xdr:row>18</xdr:row>
      <xdr:rowOff>44298</xdr:rowOff>
    </xdr:to>
    <xdr:graphicFrame macro="">
      <xdr:nvGraphicFramePr>
        <xdr:cNvPr id="6546695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74</xdr:col>
      <xdr:colOff>303894</xdr:colOff>
      <xdr:row>1</xdr:row>
      <xdr:rowOff>24190</xdr:rowOff>
    </xdr:from>
    <xdr:to>
      <xdr:col>82</xdr:col>
      <xdr:colOff>233137</xdr:colOff>
      <xdr:row>18</xdr:row>
      <xdr:rowOff>62290</xdr:rowOff>
    </xdr:to>
    <xdr:graphicFrame macro="">
      <xdr:nvGraphicFramePr>
        <xdr:cNvPr id="65466957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584200</xdr:colOff>
      <xdr:row>15</xdr:row>
      <xdr:rowOff>63500</xdr:rowOff>
    </xdr:from>
    <xdr:to>
      <xdr:col>33</xdr:col>
      <xdr:colOff>222250</xdr:colOff>
      <xdr:row>30</xdr:row>
      <xdr:rowOff>57150</xdr:rowOff>
    </xdr:to>
    <xdr:graphicFrame macro="">
      <xdr:nvGraphicFramePr>
        <xdr:cNvPr id="6546695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109311</xdr:colOff>
      <xdr:row>13</xdr:row>
      <xdr:rowOff>14059</xdr:rowOff>
    </xdr:from>
    <xdr:to>
      <xdr:col>59</xdr:col>
      <xdr:colOff>369094</xdr:colOff>
      <xdr:row>30</xdr:row>
      <xdr:rowOff>23812</xdr:rowOff>
    </xdr:to>
    <xdr:graphicFrame macro="">
      <xdr:nvGraphicFramePr>
        <xdr:cNvPr id="6546696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136071</xdr:colOff>
      <xdr:row>13</xdr:row>
      <xdr:rowOff>13606</xdr:rowOff>
    </xdr:from>
    <xdr:to>
      <xdr:col>50</xdr:col>
      <xdr:colOff>517071</xdr:colOff>
      <xdr:row>30</xdr:row>
      <xdr:rowOff>131988</xdr:rowOff>
    </xdr:to>
    <xdr:graphicFrame macro="">
      <xdr:nvGraphicFramePr>
        <xdr:cNvPr id="65466966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639535</xdr:colOff>
      <xdr:row>50</xdr:row>
      <xdr:rowOff>49324</xdr:rowOff>
    </xdr:from>
    <xdr:to>
      <xdr:col>14</xdr:col>
      <xdr:colOff>90146</xdr:colOff>
      <xdr:row>69</xdr:row>
      <xdr:rowOff>141173</xdr:rowOff>
    </xdr:to>
    <xdr:graphicFrame macro="">
      <xdr:nvGraphicFramePr>
        <xdr:cNvPr id="36" name="Chart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707572</xdr:colOff>
      <xdr:row>51</xdr:row>
      <xdr:rowOff>83343</xdr:rowOff>
    </xdr:from>
    <xdr:to>
      <xdr:col>21</xdr:col>
      <xdr:colOff>250031</xdr:colOff>
      <xdr:row>69</xdr:row>
      <xdr:rowOff>95249</xdr:rowOff>
    </xdr:to>
    <xdr:graphicFrame macro="">
      <xdr:nvGraphicFramePr>
        <xdr:cNvPr id="37" name="Chart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707572</xdr:colOff>
      <xdr:row>50</xdr:row>
      <xdr:rowOff>27215</xdr:rowOff>
    </xdr:from>
    <xdr:to>
      <xdr:col>5</xdr:col>
      <xdr:colOff>27215</xdr:colOff>
      <xdr:row>68</xdr:row>
      <xdr:rowOff>95250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91</xdr:col>
      <xdr:colOff>638449</xdr:colOff>
      <xdr:row>19</xdr:row>
      <xdr:rowOff>15603</xdr:rowOff>
    </xdr:from>
    <xdr:to>
      <xdr:col>100</xdr:col>
      <xdr:colOff>574948</xdr:colOff>
      <xdr:row>36</xdr:row>
      <xdr:rowOff>4263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592667</xdr:colOff>
      <xdr:row>70</xdr:row>
      <xdr:rowOff>63500</xdr:rowOff>
    </xdr:from>
    <xdr:to>
      <xdr:col>6</xdr:col>
      <xdr:colOff>31750</xdr:colOff>
      <xdr:row>97</xdr:row>
      <xdr:rowOff>31750</xdr:rowOff>
    </xdr:to>
    <xdr:graphicFrame macro="">
      <xdr:nvGraphicFramePr>
        <xdr:cNvPr id="32" name="Chart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91</xdr:col>
      <xdr:colOff>660400</xdr:colOff>
      <xdr:row>1</xdr:row>
      <xdr:rowOff>91440</xdr:rowOff>
    </xdr:from>
    <xdr:to>
      <xdr:col>100</xdr:col>
      <xdr:colOff>596899</xdr:colOff>
      <xdr:row>18</xdr:row>
      <xdr:rowOff>80100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102</xdr:col>
      <xdr:colOff>20320</xdr:colOff>
      <xdr:row>1</xdr:row>
      <xdr:rowOff>86360</xdr:rowOff>
    </xdr:from>
    <xdr:to>
      <xdr:col>111</xdr:col>
      <xdr:colOff>101600</xdr:colOff>
      <xdr:row>18</xdr:row>
      <xdr:rowOff>142240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340995</xdr:colOff>
      <xdr:row>72</xdr:row>
      <xdr:rowOff>38734</xdr:rowOff>
    </xdr:from>
    <xdr:to>
      <xdr:col>14</xdr:col>
      <xdr:colOff>63500</xdr:colOff>
      <xdr:row>97</xdr:row>
      <xdr:rowOff>63499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92</xdr:col>
      <xdr:colOff>2268</xdr:colOff>
      <xdr:row>38</xdr:row>
      <xdr:rowOff>57150</xdr:rowOff>
    </xdr:from>
    <xdr:to>
      <xdr:col>101</xdr:col>
      <xdr:colOff>217715</xdr:colOff>
      <xdr:row>56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101</xdr:col>
      <xdr:colOff>508001</xdr:colOff>
      <xdr:row>20</xdr:row>
      <xdr:rowOff>116418</xdr:rowOff>
    </xdr:from>
    <xdr:to>
      <xdr:col>110</xdr:col>
      <xdr:colOff>589281</xdr:colOff>
      <xdr:row>38</xdr:row>
      <xdr:rowOff>13548</xdr:rowOff>
    </xdr:to>
    <xdr:graphicFrame macro="">
      <xdr:nvGraphicFramePr>
        <xdr:cNvPr id="35" name="Chart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555623</xdr:colOff>
      <xdr:row>51</xdr:row>
      <xdr:rowOff>79375</xdr:rowOff>
    </xdr:from>
    <xdr:to>
      <xdr:col>32</xdr:col>
      <xdr:colOff>201082</xdr:colOff>
      <xdr:row>70</xdr:row>
      <xdr:rowOff>116417</xdr:rowOff>
    </xdr:to>
    <xdr:graphicFrame macro="">
      <xdr:nvGraphicFramePr>
        <xdr:cNvPr id="39" name="Chart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14</xdr:col>
      <xdr:colOff>836084</xdr:colOff>
      <xdr:row>72</xdr:row>
      <xdr:rowOff>21168</xdr:rowOff>
    </xdr:from>
    <xdr:to>
      <xdr:col>21</xdr:col>
      <xdr:colOff>21168</xdr:colOff>
      <xdr:row>89</xdr:row>
      <xdr:rowOff>63501</xdr:rowOff>
    </xdr:to>
    <xdr:graphicFrame macro="">
      <xdr:nvGraphicFramePr>
        <xdr:cNvPr id="40" name="Chart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102</xdr:col>
      <xdr:colOff>645583</xdr:colOff>
      <xdr:row>40</xdr:row>
      <xdr:rowOff>52917</xdr:rowOff>
    </xdr:from>
    <xdr:to>
      <xdr:col>111</xdr:col>
      <xdr:colOff>285749</xdr:colOff>
      <xdr:row>57</xdr:row>
      <xdr:rowOff>42334</xdr:rowOff>
    </xdr:to>
    <xdr:graphicFrame macro="">
      <xdr:nvGraphicFramePr>
        <xdr:cNvPr id="41" name="Chart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396874</xdr:colOff>
      <xdr:row>75</xdr:row>
      <xdr:rowOff>0</xdr:rowOff>
    </xdr:from>
    <xdr:to>
      <xdr:col>32</xdr:col>
      <xdr:colOff>142875</xdr:colOff>
      <xdr:row>93</xdr:row>
      <xdr:rowOff>142875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85725</xdr:colOff>
      <xdr:row>30</xdr:row>
      <xdr:rowOff>209550</xdr:rowOff>
    </xdr:from>
    <xdr:to>
      <xdr:col>17</xdr:col>
      <xdr:colOff>419100</xdr:colOff>
      <xdr:row>46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41</xdr:row>
      <xdr:rowOff>19050</xdr:rowOff>
    </xdr:from>
    <xdr:to>
      <xdr:col>8</xdr:col>
      <xdr:colOff>657225</xdr:colOff>
      <xdr:row>58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9525</xdr:colOff>
      <xdr:row>47</xdr:row>
      <xdr:rowOff>152400</xdr:rowOff>
    </xdr:from>
    <xdr:to>
      <xdr:col>15</xdr:col>
      <xdr:colOff>561975</xdr:colOff>
      <xdr:row>64</xdr:row>
      <xdr:rowOff>142875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638175</xdr:colOff>
      <xdr:row>60</xdr:row>
      <xdr:rowOff>0</xdr:rowOff>
    </xdr:from>
    <xdr:to>
      <xdr:col>6</xdr:col>
      <xdr:colOff>876300</xdr:colOff>
      <xdr:row>76</xdr:row>
      <xdr:rowOff>152400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876300</xdr:colOff>
      <xdr:row>67</xdr:row>
      <xdr:rowOff>19050</xdr:rowOff>
    </xdr:from>
    <xdr:to>
      <xdr:col>12</xdr:col>
      <xdr:colOff>504825</xdr:colOff>
      <xdr:row>84</xdr:row>
      <xdr:rowOff>9525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152400</xdr:colOff>
      <xdr:row>67</xdr:row>
      <xdr:rowOff>66675</xdr:rowOff>
    </xdr:from>
    <xdr:to>
      <xdr:col>19</xdr:col>
      <xdr:colOff>0</xdr:colOff>
      <xdr:row>84</xdr:row>
      <xdr:rowOff>57150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9525</xdr:colOff>
      <xdr:row>25</xdr:row>
      <xdr:rowOff>133350</xdr:rowOff>
    </xdr:from>
    <xdr:to>
      <xdr:col>24</xdr:col>
      <xdr:colOff>219075</xdr:colOff>
      <xdr:row>41</xdr:row>
      <xdr:rowOff>123825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9525</xdr:colOff>
      <xdr:row>13</xdr:row>
      <xdr:rowOff>152400</xdr:rowOff>
    </xdr:from>
    <xdr:to>
      <xdr:col>24</xdr:col>
      <xdr:colOff>219075</xdr:colOff>
      <xdr:row>24</xdr:row>
      <xdr:rowOff>47625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714374</xdr:colOff>
      <xdr:row>0</xdr:row>
      <xdr:rowOff>114300</xdr:rowOff>
    </xdr:from>
    <xdr:to>
      <xdr:col>13</xdr:col>
      <xdr:colOff>466724</xdr:colOff>
      <xdr:row>14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127000</xdr:colOff>
      <xdr:row>32</xdr:row>
      <xdr:rowOff>0</xdr:rowOff>
    </xdr:from>
    <xdr:to>
      <xdr:col>29</xdr:col>
      <xdr:colOff>402167</xdr:colOff>
      <xdr:row>45</xdr:row>
      <xdr:rowOff>21167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751414</xdr:colOff>
      <xdr:row>80</xdr:row>
      <xdr:rowOff>52915</xdr:rowOff>
    </xdr:from>
    <xdr:to>
      <xdr:col>16</xdr:col>
      <xdr:colOff>74083</xdr:colOff>
      <xdr:row>101</xdr:row>
      <xdr:rowOff>137583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8</xdr:row>
      <xdr:rowOff>38100</xdr:rowOff>
    </xdr:from>
    <xdr:to>
      <xdr:col>16</xdr:col>
      <xdr:colOff>438150</xdr:colOff>
      <xdr:row>25</xdr:row>
      <xdr:rowOff>28575</xdr:rowOff>
    </xdr:to>
    <xdr:graphicFrame macro="">
      <xdr:nvGraphicFramePr>
        <xdr:cNvPr id="353584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47625</xdr:colOff>
      <xdr:row>8</xdr:row>
      <xdr:rowOff>85725</xdr:rowOff>
    </xdr:from>
    <xdr:to>
      <xdr:col>24</xdr:col>
      <xdr:colOff>190500</xdr:colOff>
      <xdr:row>24</xdr:row>
      <xdr:rowOff>57150</xdr:rowOff>
    </xdr:to>
    <xdr:graphicFrame macro="">
      <xdr:nvGraphicFramePr>
        <xdr:cNvPr id="3535843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ana.vaz" refreshedDate="41166.461374652776" createdVersion="3" refreshedVersion="3" minRefreshableVersion="3" recordCount="774">
  <cacheSource type="worksheet">
    <worksheetSource ref="A2:AT776" sheet="Total (2003-2011)"/>
  </cacheSource>
  <cacheFields count="46">
    <cacheField name="Ref" numFmtId="0">
      <sharedItems containsSemiMixedTypes="0" containsString="0" containsNumber="1" containsInteger="1" minValue="1" maxValue="774"/>
    </cacheField>
    <cacheField name="Country" numFmtId="0">
      <sharedItems containsBlank="1"/>
    </cacheField>
    <cacheField name="Zone" numFmtId="0">
      <sharedItems count="6">
        <s v="Americas"/>
        <s v="Africa"/>
        <s v="Europe"/>
        <s v="Middle East and North Africa"/>
        <s v="Asia Pacific"/>
        <s v="Global"/>
      </sharedItems>
    </cacheField>
    <cacheField name="Start Date" numFmtId="14">
      <sharedItems containsSemiMixedTypes="0" containsNonDate="0" containsDate="1" containsString="0" minDate="2004-01-01T00:00:00" maxDate="2011-12-03T00:00:00"/>
    </cacheField>
    <cacheField name="End Date" numFmtId="14">
      <sharedItems containsDate="1" containsBlank="1" containsMixedTypes="1" minDate="2004-02-01T00:00:00" maxDate="2014-12-02T00:00:00"/>
    </cacheField>
    <cacheField name="YEAR" numFmtId="0">
      <sharedItems containsSemiMixedTypes="0" containsString="0" containsNumber="1" containsInteger="1" minValue="2004" maxValue="2011" count="8">
        <n v="2011"/>
        <n v="2010"/>
        <n v="2009"/>
        <n v="2008"/>
        <n v="2007"/>
        <n v="2006"/>
        <n v="2005"/>
        <n v="2004"/>
      </sharedItems>
    </cacheField>
    <cacheField name="Type of Disaster" numFmtId="0">
      <sharedItems count="331">
        <s v="Tropical Storm Ophelia"/>
        <s v="Floods"/>
        <s v="Shipwreck"/>
        <s v="Boat Accident "/>
        <s v="Population movement"/>
        <s v="Explosion"/>
        <s v="Hurricane Irene"/>
        <s v="Flash Floods"/>
        <s v="Violent wind and floods "/>
        <s v="Population Movement "/>
        <s v="Political disturbances"/>
        <s v="Violent Winds in Bangui"/>
        <s v="Floods in Bangui and Paoua"/>
        <s v="Heavy rainstorms and floods "/>
        <s v="Floods &amp; landslides"/>
        <s v="Tropical Depression 12-E"/>
        <s v="Food Insecurity"/>
        <s v="Civil unrest "/>
        <s v="Severe Winter"/>
        <s v="Sikkim Earthquake"/>
        <s v="Floods in Thies"/>
        <s v="Hailstorms"/>
        <s v="Civil Unrest"/>
        <s v="Earthquake"/>
        <s v="Floods "/>
        <s v="Unrest"/>
        <s v="Magway Floods"/>
        <s v="Tropical Cyclone Vania"/>
        <s v="Floods and Cholera "/>
        <s v="Cholera"/>
        <s v="Cyclone Bingiza "/>
        <s v="Dengue"/>
        <s v="Drought and Food insecurity"/>
        <s v="Fires"/>
        <s v="Cholera "/>
        <s v="Mekong Delta floods"/>
        <s v="Flood and landslides"/>
        <s v="Van Earthquake"/>
        <s v="Post electoral civil unrest"/>
        <s v="Cholera Outberak"/>
        <s v="Cholera Epidemic"/>
        <s v="Tropical Storm Washi"/>
        <s v="Odisha Floods"/>
        <s v="Floods and landslides"/>
        <s v="cholera Outbreak"/>
        <s v="Dengue Outbreak"/>
        <s v="Yellow Fever"/>
        <s v="Floods 2011"/>
        <s v="Typhoon Nesat"/>
        <s v="Hand, Foot and Mouth disease"/>
        <s v="Drought"/>
        <s v="Complex emergency"/>
        <s v="Yellow Fever Outbreak "/>
        <s v="Hepatitis E Epidemic Karamoja"/>
        <s v="Polio"/>
        <s v="Meningitis Epidemic "/>
        <s v="Measles Outbreak "/>
        <s v="Measles in Pointe Noire "/>
        <s v="Chikungunya outbreak"/>
        <s v="Cholera Oubreak"/>
        <s v="Ebola Hemorrhagic fever"/>
        <s v="Polio Outbreak"/>
        <s v="Yellow fever epidemic"/>
        <s v="Monsoon Floods"/>
        <s v="Forest Fire Imminent Crisis"/>
        <s v="Elections"/>
        <s v="Tropical storm agatha"/>
        <s v="Wild Polio Outbreak"/>
        <s v="Cholera Outbreak - Response and Preparedness"/>
        <s v="Hurricane Tomas "/>
        <s v="Preparedness for Civil Unrest "/>
        <s v="Typhoon Megi "/>
        <s v="Food Insecurity "/>
        <s v="Java eruption, Sumatra earthquake and tsunami "/>
        <s v="Flood and Cholera "/>
        <s v="Potential diarrhoea outbreak "/>
        <s v="Hurricane Richard"/>
        <s v="Tropical Storm Nicole"/>
        <s v="Flood"/>
        <s v="Rift Valley Fever"/>
        <s v="Cyclone Giri"/>
        <s v="Volcano Eruption, Sinabung"/>
        <s v="Chikungunya and Dengue fever epidemics"/>
        <s v="Poliomyelitis"/>
        <s v="Urban Violence"/>
        <s v="Mudslides"/>
        <s v="Election preparedness"/>
        <s v="Severe Food Shortages"/>
        <s v="Support for internally displaced people"/>
        <s v="Internally displaced people"/>
        <s v="Violent wind in Mouila"/>
        <s v="Meningitis"/>
        <s v="Yogyakarta Earthquake"/>
        <s v="Measles in the Chadian Refugees' camp at Langui"/>
        <s v="Fire in Malabo"/>
        <s v="Poliomyelitis1"/>
        <s v="Hunza landslides and floods"/>
        <s v="Floods and mudslides"/>
        <s v="Tropical Cyclones "/>
        <s v="Cyclone PHET and floods"/>
        <s v="Cold wave"/>
        <s v="Preparedness for Civil Unrest"/>
        <s v="Chikungunya Epidemic"/>
        <s v="Cyclone Hubert"/>
        <s v="Rubavu Landslide"/>
        <s v="Floods and Landslides in Eastern Uganda"/>
        <s v="Food Crisis"/>
        <s v="Bomb Blast"/>
        <s v="Moonson Floods"/>
        <s v="Population Displaced From Iraq"/>
        <s v="Tropical Storm Matthew"/>
        <s v="Hurricane Earl"/>
        <s v="SHKODRA FLOODS"/>
        <s v="Tropical storm"/>
        <s v="Landslides"/>
        <s v="Plain Crash"/>
        <s v="Wild fire"/>
        <s v="Mine Blast"/>
        <s v="Measles epidemic"/>
        <s v="Violent winds"/>
        <s v="Fire"/>
        <s v="Violent winds in Kembe, Grimari, Zangba, Mboki, Obo and Mbaïki"/>
        <s v="Storm in Bangui"/>
        <s v="Local storm"/>
        <s v="Mudslides and floods"/>
        <s v="Earthquake and Tsunami"/>
        <s v="Cholera, Dysentery and Influenza Outbreaks"/>
        <s v="Ebola Fever"/>
        <s v="Explosions"/>
        <s v="Floods 2009"/>
        <s v="Early Warning/Early Action for climate events"/>
        <s v="Baluchistan Earthquake"/>
        <s v="Preparedness for El Niño Floods"/>
        <s v="Khartoum state Floods"/>
        <s v="Dengue Fever"/>
        <s v="West Sumatra earthquake "/>
        <s v="Cholera outbreak in Katanga Province"/>
        <s v="Cyclone Aila"/>
        <s v="Thyphoons"/>
        <s v="Floods and typhoons"/>
        <s v="Volcano eruption alert in Goma"/>
        <s v="Acute watery diarrhoea"/>
        <s v="Pandemic influenza"/>
        <s v="Meningitis and Measles"/>
        <s v="Landslide "/>
        <s v="Heavy Storm"/>
        <s v="Air accident"/>
        <s v="Tropical Cyclones"/>
        <s v="Floods and Cholera"/>
        <s v=" Capacity Assessment &amp; Gap Analysis"/>
        <s v="storm "/>
        <s v="Typhoon Ketsana"/>
        <s v="Hurricane Jimena"/>
        <s v="Gaza humanitarian crisis"/>
        <s v="Cairo Rockslides"/>
        <s v="Typhoon Fengshen"/>
        <s v="Assistance to the South Ossetia refugees"/>
        <s v="Floods in Ghardaia"/>
        <s v="Hurricane Season 2008"/>
        <s v="Hepatitis E Virus (HEV)"/>
        <s v="Flood preparedness and response"/>
        <s v="Cyclone Ivan"/>
        <s v="Food security"/>
        <s v=" Humanitarian Crisis"/>
        <s v="Epidemics"/>
        <s v="Cholera in Katanga and Maniema"/>
        <s v="Cyclone Nargis "/>
        <s v="Earthquake "/>
        <s v="Exceptional Food Security Crisis"/>
        <s v="Internal Disturbance"/>
        <s v="Reinforcing Response Capacity"/>
        <s v="Tropical Storm Alma"/>
        <s v="Hurricane Omar"/>
        <s v="Tropical Storm Arthur"/>
        <s v="Volcanic Eruption"/>
        <s v="Volcano"/>
        <s v="Wind Storm"/>
        <s v="Earthquakes"/>
        <s v="Cyclone Jokwe"/>
        <s v="Dengue and Yellow Fever Outbreak"/>
        <s v="Wind and Hail Storm"/>
        <s v="Acute watery diarrhoea epidemic"/>
        <s v="Technical Accident and Floods"/>
        <s v="Population Movement from Kenya"/>
        <s v="Food insecurity in Kampala"/>
        <s v="Typhoon Kammuri"/>
        <s v="Urban disturbance"/>
        <s v="Earthquake in South Kivu"/>
        <s v="Meningitis in Kaga Bandoro"/>
        <s v="Cholera in Katanga"/>
        <s v="Cyclone Sidr"/>
        <s v="Coldwave"/>
        <s v="Heatwave"/>
        <s v="Plane Crash"/>
        <s v="Floods in Mokolo and Kolofata"/>
        <s v="Tropical storm Noel"/>
        <s v="Floods 2007"/>
        <s v="Floods in Kinshasa"/>
        <s v="Ebola Haemorrhagic Fever in Western Kasai"/>
        <s v="Palestinian Pilgrims Stranded in Arish"/>
        <s v="Fire in Zeinhom Area"/>
        <s v="Palestinians Stranded on the Al-Areesh and Al-Rafah Borders"/>
        <s v="Chikungunya Virus in Libreville"/>
        <s v="Jakarta floods"/>
        <s v="Humanitarian crisis"/>
        <s v="Mount Elgon Clashes"/>
        <s v="Socio-economic crisis"/>
        <s v="Cyclones"/>
        <s v="Cyclone Clovis"/>
        <s v="Floods and Cyclone"/>
        <s v="Caprivi Floods"/>
        <s v="Harsh weather in Bilma"/>
        <s v="Measles"/>
        <s v="Election Contingency plan"/>
        <s v="Cyclone Yemyin/Floods"/>
        <s v="Refugees in Nahr Al-Bared Camp (Lebanon)"/>
        <s v="Cyclone Guba"/>
        <s v="Mine Blast Kemerovo Region"/>
        <s v="Earthquake &amp; tsunami"/>
        <s v="Heavy Hail Storm"/>
        <s v="Floods and mudflows"/>
        <s v="Hurricane Dean"/>
        <s v="Flooding and Landslides"/>
        <s v="Meningitis "/>
        <s v="Ebola Haemorrhagic Fever "/>
        <s v="Marburg Fever Outbreak"/>
        <s v="Storm"/>
        <s v="Typhoon Lekima"/>
        <s v="Solwezi and Mpulungu Floods"/>
        <s v="Diarrohea Outbreak"/>
        <s v="Hurricane Felix"/>
        <s v="Severe Weather"/>
        <s v="Humanitarian assistance to returnees and vulnerable groups"/>
        <s v="Heavy rains and floods"/>
        <s v="Cholera in Bafoussam"/>
        <s v="Population movement in Central africa"/>
        <s v="Contingency planning for population movement"/>
        <s v="Health Hazard "/>
        <s v="Cholera in the Uvira and Fizi Territories "/>
        <s v="Inkisi floods"/>
        <s v="Regional Drought responses"/>
        <s v="Ferry disaster"/>
        <s v="Avian influenza"/>
        <s v="Dahab bomb explosions"/>
        <s v="Acute Watery Diarrhoea Outbreak"/>
        <s v="Floods from tropical storm Ernesto"/>
        <s v="Sumatra Floods"/>
        <s v="Mariental Floods "/>
        <s v="Oil pipeline disaster in Abule Egba"/>
        <s v="Hurricana season Preparedness 2006"/>
        <s v="Call for support"/>
        <s v="Typhoons"/>
        <s v="Landslides and Floods"/>
        <s v="Floods and landslides "/>
        <s v="Koryakia Earthquake"/>
        <s v="Floods/Landslides"/>
        <s v="Heavy rains in Kigoma "/>
        <s v="Malaria Outbreak in Kagera"/>
        <s v="Storms and floods"/>
        <s v="Doroud Earthquake"/>
        <s v="Avian Flu"/>
        <s v="Cyclone Mala"/>
        <s v="Mount Tavurvur volcano"/>
        <s v=" Seismic Swarm"/>
        <s v="Hailstorm"/>
        <s v="Kazungula Floods"/>
        <s v="Marburg Haemorrhagic Fever Outbreak"/>
        <s v="Hurricane Wilma"/>
        <s v="Togolese refugees"/>
        <s v="Hurricanes Dennis and Emily"/>
        <s v="Cholera in south Kivu"/>
        <s v="Floods and vulcanic activity"/>
        <s v="Afghan refugees in Iran: Water shortage"/>
        <s v="Humanitarian Emergency"/>
        <s v="Marsabit unrest"/>
        <s v="Emergency support for the Lebanese Red Cross Ambulance Services"/>
        <s v="Floods and snowfalls minor emergencies"/>
        <s v="Volcanoes"/>
        <s v="Winter assistance"/>
        <s v="Earthquake preparedness"/>
        <s v="Explosion in Juba"/>
        <s v="Storms "/>
        <s v="Flooding in Zanzibar"/>
        <s v="Typhoon Damrey"/>
        <s v="Assistenc e to the population affected by the &quot;clean up&quot; exercise"/>
        <s v="Snowfalls"/>
        <s v="Social unrest"/>
        <s v="Central African refugees"/>
        <s v="Volcano and floods"/>
        <s v="Hurricane beta"/>
        <s v="Tropical Storm Adrian"/>
        <s v="Dp For Response Planning"/>
        <s v="Tropical storm Gamma"/>
        <s v="Hurricane Katrina and Rita- Ops Support"/>
        <s v="WatSan project"/>
        <s v="Preparedness "/>
        <s v="Spill of Toxic waste"/>
        <s v="Humanitarian assistance to returnees and affected communities"/>
        <s v="Kelibia Tornado"/>
        <s v="Congolese refugees"/>
        <s v="avian flu awareness campaign"/>
        <s v="Spring Floods"/>
        <s v="Floods from Hurricane Stan"/>
        <s v="Jiangxi Earthquake"/>
        <s v="Hostage Crisis in Beslan, North Ossetia"/>
        <s v="Train explosion in Ryongchon County "/>
        <s v="Hurricane Charley "/>
        <s v="Cyclone Gafilo"/>
        <s v="Cyclone"/>
        <s v="Typhoon"/>
        <s v="Angola returnees and host community care"/>
        <s v="Hurricane Ivan"/>
        <s v="Huricanne Jeanne"/>
        <s v="Population movements"/>
        <s v="Tornado"/>
        <s v="Tsumani "/>
        <s v="Blasts"/>
        <s v="Food emergency"/>
        <s v="civil violence"/>
        <s v="Malaria and Measles"/>
        <s v="Flooding"/>
        <s v="Explosion Of Ammunition Depot"/>
        <s v="darfur"/>
        <s v="Palestinian Refugees"/>
        <s v="Youth Alliance"/>
        <s v="Hurricane Frances"/>
        <s v="Hurricane Jeanne"/>
        <s v="People fleeing Burndi"/>
        <s v="Water &amp; Sanitation"/>
        <s v=" Fire"/>
        <s v="Earthquake Edan"/>
      </sharedItems>
    </cacheField>
    <cacheField name="Disaster Category" numFmtId="0">
      <sharedItems count="19">
        <s v="Natural Hydrometeorologic meteorological"/>
        <s v="Natural Hydrometeorologic hydrological"/>
        <s v="Technological Transport accident "/>
        <s v="Human related"/>
        <s v="Technological Industrial accident"/>
        <s v="Natural Hydrometeorologic hydrological and climatological"/>
        <s v="Natural Hydrometeorologic climatological"/>
        <s v="Natural Hydrometeorologic hydrological and meteorological"/>
        <s v="Natural Geophysical"/>
        <s v="Natural Hydrometeorologic and Biological"/>
        <s v="Natural Biological"/>
        <s v="Natural Hydrometeorologic climatological and Human related"/>
        <s v="Technological Miscellaneous accident"/>
        <s v="Natural Hydrometeorologic hydrological and biological"/>
        <s v="Natural Hydrometeorologic hydrological "/>
        <s v="Natural Geophysical and Hydrometeorologic hydrological"/>
        <s v="Natural Hydrological and Biological"/>
        <s v="Technological Industrial accident "/>
        <s v="not known"/>
      </sharedItems>
    </cacheField>
    <cacheField name="Appeal Code" numFmtId="0">
      <sharedItems containsBlank="1"/>
    </cacheField>
    <cacheField name="Type of response " numFmtId="0">
      <sharedItems count="4">
        <s v="DREF"/>
        <s v="Emergency appeal"/>
        <s v="Information bulletin"/>
        <s v="Report not found"/>
      </sharedItems>
    </cacheField>
    <cacheField name="Total Targeted Beneficiaries " numFmtId="3">
      <sharedItems containsBlank="1" containsMixedTypes="1" containsNumber="1" containsInteger="1" minValue="113" maxValue="25000000"/>
    </cacheField>
    <cacheField name="Total Budget (CHF)" numFmtId="3">
      <sharedItems containsString="0" containsBlank="1" containsNumber="1" containsInteger="1" minValue="0" maxValue="247279612"/>
    </cacheField>
    <cacheField name="Total Income (CHF)" numFmtId="3">
      <sharedItems containsBlank="1" containsMixedTypes="1" containsNumber="1" minValue="1126.6300000000001" maxValue="665262821.01999903"/>
    </cacheField>
    <cacheField name="Total Expenditure (CHF)" numFmtId="3">
      <sharedItems containsBlank="1" containsMixedTypes="1" containsNumber="1" minValue="1126.6300000000001" maxValue="665262821.01999903"/>
    </cacheField>
    <cacheField name="Cost per beneficiary" numFmtId="3">
      <sharedItems containsString="0" containsBlank="1" containsNumber="1" minValue="0" maxValue="1171.2937853107344"/>
    </cacheField>
    <cacheField name="Appeal Coverage (%)" numFmtId="3">
      <sharedItems containsBlank="1" containsMixedTypes="1" containsNumber="1" minValue="0" maxValue="203"/>
    </cacheField>
    <cacheField name="Water  Beneficiaries" numFmtId="3">
      <sharedItems containsBlank="1" containsMixedTypes="1" containsNumber="1" minValue="200" maxValue="1503500"/>
    </cacheField>
    <cacheField name="Sanitation  Beneficiaries" numFmtId="3">
      <sharedItems containsBlank="1" containsMixedTypes="1" containsNumber="1" containsInteger="1" minValue="0" maxValue="601000"/>
    </cacheField>
    <cacheField name="Total WatSan/HP" numFmtId="3">
      <sharedItems containsBlank="1" containsMixedTypes="1" containsNumber="1" minValue="200" maxValue="1503500"/>
    </cacheField>
    <cacheField name="PHAST: Yes/No" numFmtId="3">
      <sharedItems containsBlank="1"/>
    </cacheField>
    <cacheField name="Total Trained Volunteers " numFmtId="3">
      <sharedItems containsBlank="1" containsMixedTypes="1" containsNumber="1" containsInteger="1" minValue="0" maxValue="15600"/>
    </cacheField>
    <cacheField name="Total  HP Beneficiaries " numFmtId="3">
      <sharedItems containsBlank="1" containsMixedTypes="1" containsNumber="1" containsInteger="1" minValue="0" maxValue="3700000"/>
    </cacheField>
    <cacheField name="Water, Sanitation &amp; Hygene Budget (CHF)" numFmtId="3">
      <sharedItems containsBlank="1" containsMixedTypes="1" containsNumber="1" containsInteger="1" minValue="0" maxValue="20956936"/>
    </cacheField>
    <cacheField name="Water, Sanitation &amp; Hygene Expenditures (CHF)" numFmtId="3">
      <sharedItems containsBlank="1" containsMixedTypes="1" containsNumber="1" minValue="0" maxValue="76422331"/>
    </cacheField>
    <cacheField name="Cost/beneficiary (Watsan)" numFmtId="3">
      <sharedItems containsString="0" containsBlank="1" containsNumber="1" minValue="0" maxValue="201.52265861027189"/>
    </cacheField>
    <cacheField name="Psychosocial Programs' Beneficiaries" numFmtId="3">
      <sharedItems containsBlank="1" containsMixedTypes="1" containsNumber="1" containsInteger="1" minValue="0" maxValue="455000"/>
    </cacheField>
    <cacheField name="Health Promotion/Prevention Beneficiaries" numFmtId="3">
      <sharedItems containsBlank="1" containsMixedTypes="1" containsNumber="1" containsInteger="1" minValue="0" maxValue="8932994"/>
    </cacheField>
    <cacheField name=" No. of Volunteers " numFmtId="3">
      <sharedItems containsBlank="1" containsMixedTypes="1" containsNumber="1" containsInteger="1" minValue="4" maxValue="77255"/>
    </cacheField>
    <cacheField name="Community Based Health First Aid " numFmtId="3">
      <sharedItems containsBlank="1" containsMixedTypes="1" containsNumber="1" containsInteger="1" minValue="10" maxValue="277600"/>
    </cacheField>
    <cacheField name="Epidemic Control for Volunteers " numFmtId="3">
      <sharedItems containsBlank="1" containsMixedTypes="1" containsNumber="1" containsInteger="1" minValue="10" maxValue="1000"/>
    </cacheField>
    <cacheField name="No. of Distributed Mosquito Nets" numFmtId="3">
      <sharedItems containsBlank="1" containsMixedTypes="1" containsNumber="1" minValue="14" maxValue="1700000"/>
    </cacheField>
    <cacheField name="Distribution of Female Condoms" numFmtId="3">
      <sharedItems containsBlank="1"/>
    </cacheField>
    <cacheField name="Distribution of Male  Condoms" numFmtId="3">
      <sharedItems containsBlank="1" containsMixedTypes="1" containsNumber="1" containsInteger="1" minValue="10" maxValue="44928"/>
    </cacheField>
    <cacheField name="Clinical Treatments" numFmtId="3">
      <sharedItems containsBlank="1" containsMixedTypes="1" containsNumber="1" containsInteger="1" minValue="0" maxValue="416916"/>
    </cacheField>
    <cacheField name="Maternal Health" numFmtId="3">
      <sharedItems containsBlank="1" containsMixedTypes="1" containsNumber="1" containsInteger="1" minValue="42" maxValue="2674"/>
    </cacheField>
    <cacheField name="Total (PSS, prev, clinical)" numFmtId="3">
      <sharedItems containsString="0" containsBlank="1" containsNumber="1" containsInteger="1" minValue="0" maxValue="8932994"/>
    </cacheField>
    <cacheField name="Medical &amp; First Aid Budget (CHF)" numFmtId="3">
      <sharedItems containsBlank="1" containsMixedTypes="1" containsNumber="1" containsInteger="1" minValue="0" maxValue="3518166"/>
    </cacheField>
    <cacheField name="Medical &amp; First Aid Expenditures (CHF)" numFmtId="3">
      <sharedItems containsBlank="1" containsMixedTypes="1" containsNumber="1" minValue="0" maxValue="96068504"/>
    </cacheField>
    <cacheField name="Notes" numFmtId="3">
      <sharedItems containsBlank="1"/>
    </cacheField>
    <cacheField name="Module 15/ Specialized Water " numFmtId="3">
      <sharedItems containsBlank="1" containsMixedTypes="1" containsNumber="1" containsInteger="1" minValue="1" maxValue="3"/>
    </cacheField>
    <cacheField name="Mass Sanitation/ Module 20" numFmtId="3">
      <sharedItems containsBlank="1" containsMixedTypes="1" containsNumber="1" containsInteger="1" minValue="1" maxValue="3"/>
    </cacheField>
    <cacheField name="Water &amp; Sanitation /Module 40" numFmtId="3">
      <sharedItems containsBlank="1" containsMixedTypes="1" containsNumber="1" containsInteger="1" minValue="1" maxValue="1"/>
    </cacheField>
    <cacheField name="Referral Hospital  " numFmtId="3">
      <sharedItems containsBlank="1" containsMixedTypes="1" containsNumber="1" containsInteger="1" minValue="1" maxValue="2"/>
    </cacheField>
    <cacheField name="Basic Health Care " numFmtId="3">
      <sharedItems containsBlank="1" containsMixedTypes="1" containsNumber="1" containsInteger="1" minValue="1" maxValue="6"/>
    </cacheField>
    <cacheField name="WatSan" numFmtId="3">
      <sharedItems containsBlank="1" containsMixedTypes="1" containsNumber="1" containsInteger="1" minValue="1" maxValue="5"/>
    </cacheField>
    <cacheField name="Emergency Health " numFmtId="3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4">
  <r>
    <n v="1"/>
    <s v="Domicana"/>
    <x v="0"/>
    <d v="2011-09-01T00:00:00"/>
    <d v="2012-01-01T00:00:00"/>
    <x v="0"/>
    <x v="0"/>
    <x v="0"/>
    <s v="DREF operation n° MDRDM001"/>
    <x v="0"/>
    <n v="395"/>
    <n v="27516"/>
    <n v="27516"/>
    <n v="27516"/>
    <n v="69.660759493670881"/>
    <n v="100"/>
    <m/>
    <m/>
    <m/>
    <s v="no"/>
    <m/>
    <m/>
    <n v="927"/>
    <n v="927"/>
    <m/>
    <m/>
    <m/>
    <m/>
    <m/>
    <m/>
    <m/>
    <m/>
    <m/>
    <m/>
    <m/>
    <n v="0"/>
    <s v="-"/>
    <s v="-"/>
    <m/>
    <m/>
    <m/>
    <m/>
    <m/>
    <m/>
    <m/>
    <m/>
  </r>
  <r>
    <n v="2"/>
    <s v="Burundi"/>
    <x v="1"/>
    <d v="2011-04-01T00:00:00"/>
    <d v="2012-05-01T00:00:00"/>
    <x v="0"/>
    <x v="1"/>
    <x v="1"/>
    <s v=" DREF Final Report No. MDRBI006"/>
    <x v="0"/>
    <n v="695"/>
    <n v="29829"/>
    <n v="26634"/>
    <n v="26634"/>
    <n v="38.322302158273381"/>
    <n v="100"/>
    <m/>
    <m/>
    <m/>
    <m/>
    <m/>
    <m/>
    <n v="1061"/>
    <n v="1061"/>
    <m/>
    <m/>
    <m/>
    <m/>
    <m/>
    <m/>
    <m/>
    <m/>
    <m/>
    <m/>
    <m/>
    <n v="0"/>
    <n v="0"/>
    <n v="0"/>
    <m/>
    <m/>
    <m/>
    <m/>
    <m/>
    <m/>
    <m/>
    <m/>
  </r>
  <r>
    <n v="3"/>
    <s v="Comores"/>
    <x v="1"/>
    <d v="2011-01-01T00:00:00"/>
    <d v="2011-11-01T00:00:00"/>
    <x v="0"/>
    <x v="2"/>
    <x v="2"/>
    <s v="DREF operation n° MDRKM003"/>
    <x v="0"/>
    <n v="910"/>
    <n v="39396"/>
    <n v="37222"/>
    <n v="39396"/>
    <n v="43.292307692307695"/>
    <n v="94"/>
    <m/>
    <m/>
    <m/>
    <m/>
    <m/>
    <m/>
    <m/>
    <n v="2454"/>
    <m/>
    <n v="910"/>
    <n v="60000"/>
    <n v="45"/>
    <s v="yes"/>
    <m/>
    <m/>
    <m/>
    <m/>
    <n v="65"/>
    <m/>
    <n v="60975"/>
    <n v="7251"/>
    <n v="4542"/>
    <m/>
    <m/>
    <m/>
    <m/>
    <m/>
    <m/>
    <m/>
    <m/>
  </r>
  <r>
    <n v="4"/>
    <s v="Russia"/>
    <x v="2"/>
    <d v="2011-07-01T00:00:00"/>
    <d v="2012-01-01T00:00:00"/>
    <x v="0"/>
    <x v="3"/>
    <x v="2"/>
    <s v="DREF operation n° MDRRU012"/>
    <x v="0"/>
    <n v="1000"/>
    <n v="25358"/>
    <n v="25358"/>
    <n v="25358"/>
    <n v="25.358000000000001"/>
    <n v="100"/>
    <s v="N/A"/>
    <s v="N/A"/>
    <s v="N/A"/>
    <s v="no"/>
    <s v="N/A"/>
    <s v="N/A"/>
    <s v="-"/>
    <s v="-"/>
    <m/>
    <n v="1000"/>
    <m/>
    <n v="13"/>
    <m/>
    <m/>
    <m/>
    <m/>
    <m/>
    <m/>
    <m/>
    <n v="1000"/>
    <s v="-"/>
    <s v="-"/>
    <m/>
    <m/>
    <m/>
    <m/>
    <m/>
    <m/>
    <m/>
    <m/>
  </r>
  <r>
    <n v="5"/>
    <s v="St Vincent and Grenadines"/>
    <x v="0"/>
    <d v="2011-05-01T00:00:00"/>
    <d v="2011-10-01T00:00:00"/>
    <x v="0"/>
    <x v="1"/>
    <x v="1"/>
    <s v="DREF operation n° MDRVC001"/>
    <x v="0"/>
    <n v="1000"/>
    <n v="36303"/>
    <n v="36303"/>
    <n v="13132"/>
    <n v="13.132"/>
    <n v="100"/>
    <n v="1000"/>
    <s v="N/A"/>
    <n v="1000"/>
    <s v="no"/>
    <s v="N/A"/>
    <s v="N/A"/>
    <n v="13634"/>
    <n v="2348"/>
    <n v="2.3479999999999999"/>
    <m/>
    <m/>
    <m/>
    <m/>
    <m/>
    <m/>
    <m/>
    <m/>
    <m/>
    <m/>
    <n v="0"/>
    <s v="-"/>
    <s v="-"/>
    <m/>
    <m/>
    <m/>
    <m/>
    <m/>
    <m/>
    <m/>
    <m/>
  </r>
  <r>
    <n v="6"/>
    <s v="Malta"/>
    <x v="2"/>
    <d v="2011-02-01T00:00:00"/>
    <d v="2011-04-01T00:00:00"/>
    <x v="0"/>
    <x v="4"/>
    <x v="3"/>
    <s v=" DREF Final Report No. MDRMT001"/>
    <x v="0"/>
    <n v="1000"/>
    <n v="83603"/>
    <n v="83603"/>
    <n v="77151"/>
    <n v="77.150999999999996"/>
    <n v="100"/>
    <m/>
    <m/>
    <m/>
    <m/>
    <m/>
    <m/>
    <n v="0"/>
    <n v="7754"/>
    <m/>
    <n v="1000"/>
    <m/>
    <n v="8"/>
    <m/>
    <m/>
    <m/>
    <m/>
    <m/>
    <m/>
    <m/>
    <n v="1000"/>
    <n v="5000"/>
    <n v="2770"/>
    <m/>
    <m/>
    <m/>
    <m/>
    <m/>
    <m/>
    <m/>
    <m/>
  </r>
  <r>
    <n v="7"/>
    <s v="Tanzania"/>
    <x v="1"/>
    <d v="2011-03-01T00:00:00"/>
    <d v="2011-04-01T00:00:00"/>
    <x v="0"/>
    <x v="5"/>
    <x v="4"/>
    <s v=" DREF Final Report No. MDRTZ011"/>
    <x v="0"/>
    <n v="1000"/>
    <n v="36210"/>
    <n v="36210"/>
    <n v="35725"/>
    <n v="35.725000000000001"/>
    <n v="100"/>
    <n v="1000"/>
    <m/>
    <n v="1000"/>
    <s v="no"/>
    <m/>
    <n v="1000"/>
    <n v="3300"/>
    <n v="4233"/>
    <n v="4.2329999999999997"/>
    <m/>
    <m/>
    <m/>
    <m/>
    <m/>
    <m/>
    <m/>
    <m/>
    <m/>
    <m/>
    <n v="0"/>
    <n v="4200"/>
    <n v="2499"/>
    <m/>
    <m/>
    <m/>
    <m/>
    <m/>
    <m/>
    <m/>
    <m/>
  </r>
  <r>
    <n v="8"/>
    <s v="Bahamas"/>
    <x v="0"/>
    <d v="2011-10-01T00:00:00"/>
    <d v="2011-11-01T00:00:00"/>
    <x v="0"/>
    <x v="6"/>
    <x v="0"/>
    <s v="DREF operation n° MDRBS001 "/>
    <x v="0"/>
    <n v="1000"/>
    <n v="71014"/>
    <n v="71014"/>
    <n v="71014"/>
    <n v="71.013999999999996"/>
    <n v="100"/>
    <n v="1000"/>
    <s v="N/A"/>
    <n v="1000"/>
    <s v="no"/>
    <m/>
    <n v="1000"/>
    <n v="4880"/>
    <n v="4880"/>
    <n v="4.88"/>
    <m/>
    <n v="1000"/>
    <m/>
    <s v="yes"/>
    <s v="yes"/>
    <m/>
    <m/>
    <m/>
    <m/>
    <m/>
    <n v="1000"/>
    <n v="2000"/>
    <n v="2000"/>
    <m/>
    <m/>
    <m/>
    <m/>
    <m/>
    <m/>
    <m/>
    <m/>
  </r>
  <r>
    <n v="9"/>
    <s v="Iraq"/>
    <x v="3"/>
    <d v="2011-04-01T00:00:00"/>
    <d v="2011-08-01T00:00:00"/>
    <x v="0"/>
    <x v="7"/>
    <x v="1"/>
    <s v="DREF operation n° MDRIQ004"/>
    <x v="0"/>
    <n v="1000"/>
    <n v="165385"/>
    <n v="165385"/>
    <n v="165385"/>
    <n v="165.38499999999999"/>
    <n v="100"/>
    <n v="1000"/>
    <n v="1000"/>
    <n v="1000"/>
    <s v="no"/>
    <s v="N/A"/>
    <s v="N/A"/>
    <n v="16500"/>
    <n v="16500"/>
    <n v="16.5"/>
    <m/>
    <m/>
    <m/>
    <m/>
    <m/>
    <m/>
    <m/>
    <m/>
    <n v="1000"/>
    <m/>
    <n v="1000"/>
    <n v="8000"/>
    <n v="8000"/>
    <m/>
    <m/>
    <m/>
    <m/>
    <m/>
    <m/>
    <m/>
    <m/>
  </r>
  <r>
    <n v="10"/>
    <s v="Gabon"/>
    <x v="1"/>
    <d v="2011-01-01T00:00:00"/>
    <d v="2011-04-01T00:00:00"/>
    <x v="0"/>
    <x v="8"/>
    <x v="5"/>
    <s v=" DREF Final Report No. MDRGA005"/>
    <x v="0"/>
    <n v="1015"/>
    <n v="96960"/>
    <n v="96857"/>
    <n v="96857"/>
    <n v="95.425615763546801"/>
    <n v="100"/>
    <m/>
    <n v="1015"/>
    <n v="1015"/>
    <s v="no"/>
    <s v="Missing Data"/>
    <n v="1015"/>
    <n v="914"/>
    <n v="10413"/>
    <n v="10.259113300492611"/>
    <m/>
    <n v="1015"/>
    <n v="77"/>
    <m/>
    <m/>
    <n v="609"/>
    <m/>
    <m/>
    <m/>
    <m/>
    <n v="1015"/>
    <n v="999"/>
    <n v="1839"/>
    <m/>
    <m/>
    <m/>
    <m/>
    <m/>
    <m/>
    <n v="1"/>
    <m/>
  </r>
  <r>
    <n v="11"/>
    <s v="Tajikistan "/>
    <x v="2"/>
    <d v="2011-06-01T00:00:00"/>
    <d v="2011-09-01T00:00:00"/>
    <x v="0"/>
    <x v="1"/>
    <x v="1"/>
    <s v="DREF operation n° MDRTJ011"/>
    <x v="0"/>
    <n v="1278"/>
    <n v="59406"/>
    <n v="59406"/>
    <n v="59406"/>
    <n v="46.483568075117368"/>
    <n v="100"/>
    <n v="1278"/>
    <m/>
    <n v="1278"/>
    <m/>
    <m/>
    <m/>
    <n v="0"/>
    <n v="2246"/>
    <n v="1.7574334898278561"/>
    <s v="N/A"/>
    <s v="N/A"/>
    <s v="N/A"/>
    <s v="N/A"/>
    <s v="N/A"/>
    <s v="N/A"/>
    <s v="N/A"/>
    <s v="N/A"/>
    <s v="N/A"/>
    <s v="N/A"/>
    <n v="0"/>
    <s v="N/A"/>
    <s v="N/A"/>
    <m/>
    <m/>
    <m/>
    <m/>
    <m/>
    <m/>
    <m/>
    <m/>
  </r>
  <r>
    <n v="12"/>
    <s v="Lebanon "/>
    <x v="3"/>
    <d v="2011-05-01T00:00:00"/>
    <d v="2011-12-01T00:00:00"/>
    <x v="0"/>
    <x v="9"/>
    <x v="3"/>
    <s v="DREF Final Report No. MDRLB003"/>
    <x v="0"/>
    <n v="1500"/>
    <n v="36849"/>
    <n v="36849"/>
    <n v="36889"/>
    <n v="24.592666666666666"/>
    <n v="100"/>
    <s v="N/A"/>
    <s v="N/A"/>
    <s v="N/A"/>
    <s v="N/A"/>
    <s v="N/A"/>
    <s v="N/A"/>
    <s v="N/A"/>
    <s v="N/A"/>
    <m/>
    <s v="N/A"/>
    <n v="1500"/>
    <m/>
    <m/>
    <m/>
    <m/>
    <m/>
    <m/>
    <m/>
    <m/>
    <n v="1500"/>
    <n v="5000"/>
    <n v="5000"/>
    <m/>
    <m/>
    <m/>
    <m/>
    <m/>
    <m/>
    <m/>
    <m/>
  </r>
  <r>
    <n v="13"/>
    <s v="Uganda"/>
    <x v="1"/>
    <d v="2011-05-01T00:00:00"/>
    <d v="2011-09-01T00:00:00"/>
    <x v="0"/>
    <x v="10"/>
    <x v="3"/>
    <s v="DREF operation n° MDRUG020"/>
    <x v="0"/>
    <n v="1500"/>
    <n v="99879"/>
    <n v="99879"/>
    <n v="99879"/>
    <n v="66.585999999999999"/>
    <n v="100"/>
    <s v="N/A"/>
    <s v="N/A"/>
    <s v="N/A"/>
    <s v="no"/>
    <s v="N/A"/>
    <s v="N/A"/>
    <s v="-"/>
    <s v="-"/>
    <m/>
    <n v="491"/>
    <s v="N/A"/>
    <n v="314"/>
    <s v="N/A"/>
    <s v="N/A"/>
    <s v="N/A"/>
    <s v="N/A"/>
    <s v="N/A"/>
    <s v="N/A"/>
    <s v="N/A"/>
    <n v="491"/>
    <n v="27113"/>
    <n v="27113"/>
    <m/>
    <m/>
    <m/>
    <m/>
    <m/>
    <m/>
    <s v="N/A"/>
    <s v="N/A"/>
  </r>
  <r>
    <n v="14"/>
    <s v="Central African Republic"/>
    <x v="1"/>
    <d v="2011-06-02T00:00:00"/>
    <d v="2011-10-01T00:00:00"/>
    <x v="0"/>
    <x v="11"/>
    <x v="6"/>
    <s v="DREF operation n° MDRCF008"/>
    <x v="0"/>
    <n v="1626"/>
    <n v="114935"/>
    <n v="114935"/>
    <n v="64388"/>
    <n v="39.599015990159899"/>
    <n v="100"/>
    <n v="1626"/>
    <n v="940"/>
    <n v="1626"/>
    <s v="no"/>
    <n v="30"/>
    <n v="13000"/>
    <n v="15210"/>
    <n v="7156"/>
    <n v="4.4009840098400987"/>
    <m/>
    <n v="13000"/>
    <n v="30"/>
    <m/>
    <m/>
    <n v="652"/>
    <m/>
    <m/>
    <m/>
    <m/>
    <n v="13000"/>
    <s v="-"/>
    <s v="-"/>
    <m/>
    <m/>
    <m/>
    <m/>
    <m/>
    <m/>
    <m/>
    <m/>
  </r>
  <r>
    <n v="15"/>
    <s v="Georgia"/>
    <x v="2"/>
    <d v="2011-06-01T00:00:00"/>
    <d v="2011-12-01T00:00:00"/>
    <x v="0"/>
    <x v="1"/>
    <x v="1"/>
    <s v="DREF operation n° MDRGE003"/>
    <x v="0"/>
    <n v="1750"/>
    <n v="59960"/>
    <n v="59960"/>
    <n v="59960"/>
    <n v="34.262857142857143"/>
    <s v="-"/>
    <m/>
    <m/>
    <m/>
    <m/>
    <m/>
    <m/>
    <n v="0"/>
    <n v="5211"/>
    <m/>
    <m/>
    <m/>
    <m/>
    <m/>
    <m/>
    <m/>
    <m/>
    <m/>
    <m/>
    <m/>
    <n v="0"/>
    <s v="-"/>
    <s v="-"/>
    <m/>
    <m/>
    <m/>
    <m/>
    <m/>
    <m/>
    <m/>
    <m/>
  </r>
  <r>
    <n v="16"/>
    <s v="Central African Republic"/>
    <x v="1"/>
    <d v="2011-10-01T00:00:00"/>
    <d v="2012-02-01T00:00:00"/>
    <x v="0"/>
    <x v="12"/>
    <x v="1"/>
    <s v="DREF operation n° MDRCF010"/>
    <x v="0"/>
    <n v="1765"/>
    <n v="166245"/>
    <n v="166245"/>
    <n v="166245"/>
    <n v="94.18980169971671"/>
    <s v="-"/>
    <n v="1765"/>
    <n v="1765"/>
    <n v="1765"/>
    <s v="no"/>
    <n v="85"/>
    <n v="1765"/>
    <n v="17311"/>
    <m/>
    <n v="0"/>
    <m/>
    <m/>
    <m/>
    <m/>
    <m/>
    <n v="706"/>
    <m/>
    <m/>
    <m/>
    <m/>
    <n v="0"/>
    <s v="-"/>
    <s v="-"/>
    <m/>
    <m/>
    <m/>
    <m/>
    <m/>
    <m/>
    <m/>
    <m/>
  </r>
  <r>
    <n v="17"/>
    <s v="Rwanda"/>
    <x v="1"/>
    <d v="2011-05-01T00:00:00"/>
    <d v="2011-07-01T00:00:00"/>
    <x v="0"/>
    <x v="13"/>
    <x v="7"/>
    <s v=" DREF Final Report No. MDRRW007"/>
    <x v="0"/>
    <n v="1860"/>
    <n v="149759"/>
    <n v="149954"/>
    <n v="147404"/>
    <n v="79.249462365591398"/>
    <n v="100"/>
    <n v="1760"/>
    <n v="1760"/>
    <n v="1760"/>
    <s v="yes"/>
    <n v="0"/>
    <n v="1760"/>
    <n v="8700"/>
    <n v="8700"/>
    <n v="4.9431818181818183"/>
    <m/>
    <m/>
    <m/>
    <m/>
    <m/>
    <m/>
    <m/>
    <m/>
    <m/>
    <m/>
    <n v="0"/>
    <n v="0"/>
    <n v="0"/>
    <m/>
    <m/>
    <m/>
    <m/>
    <m/>
    <m/>
    <m/>
    <m/>
  </r>
  <r>
    <n v="18"/>
    <s v="Ghana/West Africa"/>
    <x v="1"/>
    <d v="2011-07-01T00:00:00"/>
    <d v="2011-10-01T00:00:00"/>
    <x v="0"/>
    <x v="1"/>
    <x v="1"/>
    <s v="DREF operation n° MDRGH004"/>
    <x v="0"/>
    <n v="2500"/>
    <n v="91510"/>
    <n v="91349"/>
    <n v="91349"/>
    <n v="36.5396"/>
    <n v="100"/>
    <n v="2500"/>
    <s v="N/A"/>
    <n v="2500"/>
    <s v="no"/>
    <n v="100"/>
    <n v="2500"/>
    <n v="4500"/>
    <n v="10429"/>
    <n v="4.1715999999999998"/>
    <m/>
    <n v="2500"/>
    <n v="50"/>
    <m/>
    <m/>
    <n v="1000"/>
    <m/>
    <m/>
    <m/>
    <m/>
    <n v="2500"/>
    <n v="7500"/>
    <n v="7500"/>
    <m/>
    <m/>
    <m/>
    <m/>
    <m/>
    <m/>
    <m/>
    <m/>
  </r>
  <r>
    <n v="19"/>
    <s v="Bolivia "/>
    <x v="0"/>
    <d v="2011-05-01T00:00:00"/>
    <d v="2011-03-01T00:00:00"/>
    <x v="0"/>
    <x v="14"/>
    <x v="1"/>
    <s v="Emergency Appeal No. MDRBO006 "/>
    <x v="1"/>
    <n v="2800"/>
    <n v="518725"/>
    <n v="450214"/>
    <n v="299715"/>
    <n v="107.04107142857143"/>
    <n v="86"/>
    <n v="2500"/>
    <m/>
    <n v="2500"/>
    <m/>
    <m/>
    <n v="2500"/>
    <n v="37665"/>
    <n v="32391.9"/>
    <n v="12.956760000000001"/>
    <n v="140"/>
    <m/>
    <m/>
    <m/>
    <m/>
    <m/>
    <m/>
    <m/>
    <m/>
    <m/>
    <n v="140"/>
    <n v="18600"/>
    <n v="15996"/>
    <m/>
    <m/>
    <m/>
    <m/>
    <m/>
    <m/>
    <m/>
    <m/>
  </r>
  <r>
    <n v="20"/>
    <s v="Honduras"/>
    <x v="0"/>
    <d v="2011-11-01T00:00:00"/>
    <d v="2012-01-01T00:00:00"/>
    <x v="0"/>
    <x v="15"/>
    <x v="0"/>
    <s v="DREF operation n° MDRHN005"/>
    <x v="0"/>
    <n v="4000"/>
    <n v="220262"/>
    <n v="220262"/>
    <n v="220262"/>
    <n v="55.0655"/>
    <s v="-"/>
    <n v="4000"/>
    <s v="N/A"/>
    <n v="4000"/>
    <s v="no"/>
    <s v="Missing Data"/>
    <n v="400"/>
    <m/>
    <m/>
    <n v="0"/>
    <n v="400"/>
    <m/>
    <n v="92"/>
    <m/>
    <s v="yes"/>
    <n v="1000"/>
    <m/>
    <m/>
    <m/>
    <m/>
    <n v="400"/>
    <m/>
    <m/>
    <m/>
    <m/>
    <m/>
    <m/>
    <m/>
    <m/>
    <m/>
    <m/>
  </r>
  <r>
    <n v="21"/>
    <s v="Senegal"/>
    <x v="1"/>
    <d v="2011-12-01T00:00:00"/>
    <d v="2012-03-01T00:00:00"/>
    <x v="0"/>
    <x v="16"/>
    <x v="3"/>
    <s v="DREF operation n° MDRSN007"/>
    <x v="0"/>
    <n v="4000"/>
    <n v="166428"/>
    <n v="166428"/>
    <n v="166428"/>
    <n v="41.606999999999999"/>
    <m/>
    <m/>
    <m/>
    <m/>
    <m/>
    <m/>
    <m/>
    <m/>
    <m/>
    <m/>
    <m/>
    <n v="25000"/>
    <m/>
    <m/>
    <m/>
    <m/>
    <m/>
    <m/>
    <m/>
    <m/>
    <n v="25000"/>
    <m/>
    <m/>
    <s v="No health data"/>
    <m/>
    <m/>
    <m/>
    <m/>
    <m/>
    <m/>
    <m/>
  </r>
  <r>
    <n v="22"/>
    <s v="Laos"/>
    <x v="4"/>
    <d v="2011-07-01T00:00:00"/>
    <d v="2012-01-01T00:00:00"/>
    <x v="0"/>
    <x v="1"/>
    <x v="1"/>
    <s v="DREF operation n° MDRLA002"/>
    <x v="0"/>
    <n v="5000"/>
    <n v="329788"/>
    <n v="329788"/>
    <n v="297587"/>
    <n v="59.517400000000002"/>
    <n v="100"/>
    <n v="1730"/>
    <s v="N/A"/>
    <n v="1730"/>
    <s v="no"/>
    <m/>
    <n v="23655"/>
    <n v="12000"/>
    <n v="9731"/>
    <n v="5.6248554913294795"/>
    <m/>
    <n v="23655"/>
    <m/>
    <m/>
    <m/>
    <m/>
    <m/>
    <m/>
    <m/>
    <m/>
    <n v="23655"/>
    <n v="4500"/>
    <n v="1492"/>
    <m/>
    <m/>
    <m/>
    <m/>
    <m/>
    <m/>
    <s v="2 not specified"/>
    <m/>
  </r>
  <r>
    <n v="23"/>
    <s v="Tunisia"/>
    <x v="3"/>
    <d v="2011-01-01T00:00:00"/>
    <d v="2011-05-01T00:00:00"/>
    <x v="0"/>
    <x v="17"/>
    <x v="3"/>
    <s v=" DREF Final Report No. MDRTN004"/>
    <x v="0"/>
    <n v="5000"/>
    <n v="150000"/>
    <n v="150000"/>
    <n v="94430"/>
    <n v="18.885999999999999"/>
    <n v="100"/>
    <s v="N/A"/>
    <s v="N/A"/>
    <s v="N/A"/>
    <s v="N/A"/>
    <s v="N/A"/>
    <s v="N/A"/>
    <s v="N/A"/>
    <s v="N/A"/>
    <m/>
    <m/>
    <m/>
    <n v="25"/>
    <m/>
    <m/>
    <m/>
    <m/>
    <m/>
    <m/>
    <m/>
    <n v="0"/>
    <n v="19500"/>
    <n v="19500"/>
    <m/>
    <m/>
    <n v="1"/>
    <m/>
    <m/>
    <m/>
    <m/>
    <m/>
  </r>
  <r>
    <n v="24"/>
    <s v="Chile"/>
    <x v="0"/>
    <d v="2011-08-01T00:00:00"/>
    <d v="2011-11-01T00:00:00"/>
    <x v="0"/>
    <x v="18"/>
    <x v="6"/>
    <s v="DREF operation n° MDRCL007"/>
    <x v="0"/>
    <n v="5000"/>
    <n v="146890"/>
    <n v="146890"/>
    <n v="146890"/>
    <n v="29.378"/>
    <n v="100"/>
    <m/>
    <m/>
    <m/>
    <s v="no"/>
    <m/>
    <m/>
    <n v="36696"/>
    <n v="36696"/>
    <m/>
    <m/>
    <m/>
    <m/>
    <m/>
    <m/>
    <m/>
    <m/>
    <m/>
    <m/>
    <m/>
    <n v="0"/>
    <s v="-"/>
    <s v="-"/>
    <m/>
    <m/>
    <m/>
    <m/>
    <m/>
    <m/>
    <m/>
    <m/>
  </r>
  <r>
    <n v="25"/>
    <s v="Dominican Republic"/>
    <x v="0"/>
    <d v="2011-09-01T00:00:00"/>
    <d v="2012-12-01T00:00:00"/>
    <x v="0"/>
    <x v="1"/>
    <x v="1"/>
    <s v="DREF operation n° MDRDO003"/>
    <x v="0"/>
    <n v="5000"/>
    <n v="81845"/>
    <n v="81845"/>
    <n v="81845"/>
    <n v="16.369"/>
    <n v="100"/>
    <n v="5000"/>
    <s v="N/A"/>
    <n v="5000"/>
    <s v="no"/>
    <s v="Missing Data"/>
    <n v="5000"/>
    <n v="44000"/>
    <n v="44000"/>
    <n v="8.8000000000000007"/>
    <m/>
    <n v="5000"/>
    <m/>
    <m/>
    <m/>
    <n v="300"/>
    <m/>
    <m/>
    <m/>
    <m/>
    <n v="5000"/>
    <n v="5000"/>
    <n v="5000"/>
    <m/>
    <m/>
    <m/>
    <m/>
    <m/>
    <m/>
    <m/>
    <m/>
  </r>
  <r>
    <n v="26"/>
    <s v="India"/>
    <x v="4"/>
    <d v="2011-10-01T00:00:00"/>
    <d v="2011-12-01T00:00:00"/>
    <x v="0"/>
    <x v="19"/>
    <x v="8"/>
    <s v="DREF operation n° MDRIN008"/>
    <x v="0"/>
    <n v="5000"/>
    <n v="97137"/>
    <n v="97137"/>
    <n v="97137"/>
    <n v="19.427399999999999"/>
    <s v="-"/>
    <n v="300"/>
    <s v="N/A"/>
    <n v="300"/>
    <s v="no"/>
    <s v="N/A"/>
    <s v="N/A"/>
    <m/>
    <m/>
    <n v="0"/>
    <m/>
    <m/>
    <m/>
    <m/>
    <m/>
    <m/>
    <m/>
    <m/>
    <m/>
    <m/>
    <n v="0"/>
    <m/>
    <m/>
    <m/>
    <m/>
    <m/>
    <m/>
    <m/>
    <m/>
    <m/>
    <m/>
  </r>
  <r>
    <n v="27"/>
    <s v="Nicaragua"/>
    <x v="0"/>
    <d v="2011-10-01T00:00:00"/>
    <d v="2012-01-01T00:00:00"/>
    <x v="0"/>
    <x v="1"/>
    <x v="1"/>
    <s v="DREF operation n° MDRNI004"/>
    <x v="0"/>
    <n v="5000"/>
    <n v="235352"/>
    <n v="235352"/>
    <n v="235352"/>
    <n v="47.070399999999999"/>
    <m/>
    <m/>
    <m/>
    <m/>
    <m/>
    <m/>
    <m/>
    <m/>
    <m/>
    <m/>
    <m/>
    <n v="5000"/>
    <n v="250"/>
    <m/>
    <m/>
    <n v="3000"/>
    <m/>
    <m/>
    <m/>
    <m/>
    <n v="5000"/>
    <m/>
    <m/>
    <m/>
    <m/>
    <m/>
    <m/>
    <m/>
    <m/>
    <m/>
    <m/>
  </r>
  <r>
    <n v="28"/>
    <s v="Senegal"/>
    <x v="1"/>
    <d v="2011-08-01T00:00:00"/>
    <d v="2011-10-01T00:00:00"/>
    <x v="0"/>
    <x v="20"/>
    <x v="1"/>
    <s v="DREF operation n° MDRSN005"/>
    <x v="0"/>
    <n v="5000"/>
    <n v="192662"/>
    <n v="192662"/>
    <n v="192662"/>
    <n v="38.532400000000003"/>
    <m/>
    <n v="5000"/>
    <n v="400"/>
    <n v="5000"/>
    <s v="yes"/>
    <n v="30"/>
    <n v="5000"/>
    <m/>
    <m/>
    <n v="0"/>
    <m/>
    <n v="5000"/>
    <m/>
    <m/>
    <m/>
    <n v="2000"/>
    <m/>
    <m/>
    <m/>
    <m/>
    <n v="5000"/>
    <m/>
    <m/>
    <m/>
    <m/>
    <m/>
    <m/>
    <m/>
    <m/>
    <m/>
    <m/>
  </r>
  <r>
    <n v="29"/>
    <s v="Russia"/>
    <x v="2"/>
    <d v="2011-09-01T00:00:00"/>
    <d v="2011-12-01T00:00:00"/>
    <x v="0"/>
    <x v="1"/>
    <x v="1"/>
    <s v="DREF operation n° MDRRU013"/>
    <x v="0"/>
    <n v="5174"/>
    <n v="77905"/>
    <n v="77905"/>
    <n v="77905"/>
    <n v="15.057015848473135"/>
    <n v="100"/>
    <m/>
    <m/>
    <m/>
    <m/>
    <m/>
    <m/>
    <n v="0"/>
    <n v="19209"/>
    <m/>
    <m/>
    <m/>
    <m/>
    <m/>
    <m/>
    <m/>
    <m/>
    <m/>
    <m/>
    <m/>
    <n v="0"/>
    <s v="-"/>
    <s v="-"/>
    <m/>
    <m/>
    <m/>
    <m/>
    <m/>
    <m/>
    <m/>
    <m/>
  </r>
  <r>
    <n v="30"/>
    <s v="Burkina Faso "/>
    <x v="1"/>
    <d v="2011-12-01T00:00:00"/>
    <d v="2012-03-01T00:00:00"/>
    <x v="0"/>
    <x v="16"/>
    <x v="3"/>
    <s v="DREF operation n° MDRBF011 "/>
    <x v="0"/>
    <n v="5500"/>
    <n v="3952739"/>
    <n v="113532"/>
    <n v="113532"/>
    <n v="20.642181818181818"/>
    <s v="-"/>
    <m/>
    <m/>
    <m/>
    <s v="no"/>
    <m/>
    <n v="5500"/>
    <n v="20400"/>
    <n v="20400"/>
    <m/>
    <m/>
    <m/>
    <m/>
    <m/>
    <m/>
    <m/>
    <m/>
    <m/>
    <m/>
    <m/>
    <n v="0"/>
    <n v="1875"/>
    <n v="1875"/>
    <m/>
    <m/>
    <m/>
    <m/>
    <m/>
    <m/>
    <s v="yes not specified"/>
    <m/>
  </r>
  <r>
    <n v="31"/>
    <s v="Benin"/>
    <x v="1"/>
    <d v="2011-07-01T00:00:00"/>
    <d v="2010-07-01T00:00:00"/>
    <x v="0"/>
    <x v="1"/>
    <x v="1"/>
    <s v="DREF operation n° MDRBJ008"/>
    <x v="0"/>
    <n v="5840"/>
    <n v="167241"/>
    <n v="148220"/>
    <n v="148220"/>
    <n v="25.38013698630137"/>
    <n v="89"/>
    <n v="5010"/>
    <m/>
    <n v="5010"/>
    <s v="no"/>
    <n v="100"/>
    <n v="5010"/>
    <n v="20400"/>
    <n v="19709"/>
    <n v="3.9339321357285431"/>
    <m/>
    <m/>
    <m/>
    <m/>
    <m/>
    <n v="718"/>
    <m/>
    <m/>
    <m/>
    <m/>
    <n v="0"/>
    <n v="1600"/>
    <n v="1424"/>
    <m/>
    <m/>
    <m/>
    <m/>
    <m/>
    <m/>
    <m/>
    <m/>
  </r>
  <r>
    <n v="32"/>
    <s v="Paraguay"/>
    <x v="0"/>
    <d v="2011-08-01T00:00:00"/>
    <d v="2012-02-01T00:00:00"/>
    <x v="0"/>
    <x v="21"/>
    <x v="1"/>
    <s v="DREF operation n° MDRPY010"/>
    <x v="0"/>
    <n v="5873"/>
    <n v="185603"/>
    <n v="185603"/>
    <n v="185548"/>
    <n v="31.593393495658095"/>
    <n v="100"/>
    <m/>
    <m/>
    <m/>
    <m/>
    <m/>
    <m/>
    <n v="21199"/>
    <n v="19605"/>
    <m/>
    <m/>
    <m/>
    <m/>
    <m/>
    <m/>
    <m/>
    <m/>
    <m/>
    <m/>
    <m/>
    <n v="0"/>
    <s v="-"/>
    <s v="-"/>
    <m/>
    <m/>
    <m/>
    <m/>
    <m/>
    <m/>
    <m/>
    <m/>
  </r>
  <r>
    <n v="33"/>
    <s v="Nigeria"/>
    <x v="1"/>
    <d v="2011-05-01T00:00:00"/>
    <d v="2011-10-01T00:00:00"/>
    <x v="0"/>
    <x v="22"/>
    <x v="3"/>
    <s v="DREF operation n° MDRNG009"/>
    <x v="0"/>
    <n v="7500"/>
    <n v="246829"/>
    <n v="246778"/>
    <n v="246778"/>
    <n v="32.903733333333335"/>
    <n v="100"/>
    <n v="7500"/>
    <s v="N/A"/>
    <n v="7500"/>
    <s v="no"/>
    <n v="130"/>
    <n v="7500"/>
    <n v="22200"/>
    <n v="20144"/>
    <n v="2.6858666666666666"/>
    <m/>
    <m/>
    <n v="130"/>
    <m/>
    <m/>
    <n v="750"/>
    <m/>
    <m/>
    <m/>
    <m/>
    <n v="0"/>
    <n v="9842"/>
    <n v="3985"/>
    <m/>
    <m/>
    <m/>
    <m/>
    <m/>
    <m/>
    <m/>
    <m/>
  </r>
  <r>
    <n v="34"/>
    <s v="Myanmar"/>
    <x v="4"/>
    <d v="2011-03-01T00:00:00"/>
    <d v="2011-08-01T00:00:00"/>
    <x v="0"/>
    <x v="23"/>
    <x v="8"/>
    <s v="DREF operation n° MDRMM004"/>
    <x v="0"/>
    <n v="7500"/>
    <n v="157534"/>
    <n v="157540"/>
    <n v="156553"/>
    <n v="20.873733333333334"/>
    <n v="100"/>
    <n v="500"/>
    <n v="50"/>
    <n v="500"/>
    <s v="no"/>
    <s v="N/A"/>
    <s v="N/A"/>
    <s v="-"/>
    <s v="-"/>
    <m/>
    <s v="yes"/>
    <s v="missing data"/>
    <n v="100"/>
    <s v="N/A"/>
    <s v="N/A"/>
    <n v="701"/>
    <s v="N/A"/>
    <s v="N/A"/>
    <s v="N/A"/>
    <s v="N/A"/>
    <n v="0"/>
    <s v="-"/>
    <s v="-"/>
    <m/>
    <m/>
    <m/>
    <m/>
    <m/>
    <m/>
    <s v="N/A"/>
    <s v="N/A"/>
  </r>
  <r>
    <n v="35"/>
    <s v="Guatemala"/>
    <x v="0"/>
    <d v="2011-10-01T00:00:00"/>
    <d v="2012-07-01T00:00:00"/>
    <x v="0"/>
    <x v="1"/>
    <x v="1"/>
    <s v="Emergency appeal n° MDRGT003"/>
    <x v="1"/>
    <n v="7500"/>
    <n v="715933"/>
    <n v="668446"/>
    <n v="533706"/>
    <n v="71.160799999999995"/>
    <n v="93.367116755338841"/>
    <n v="3000"/>
    <m/>
    <n v="3000"/>
    <m/>
    <m/>
    <n v="7500"/>
    <n v="108605"/>
    <n v="83743"/>
    <n v="27.914333333333332"/>
    <m/>
    <n v="7500"/>
    <n v="120"/>
    <s v="yes"/>
    <m/>
    <n v="3000"/>
    <m/>
    <m/>
    <m/>
    <m/>
    <n v="7500"/>
    <m/>
    <m/>
    <m/>
    <m/>
    <m/>
    <m/>
    <m/>
    <m/>
    <m/>
    <m/>
  </r>
  <r>
    <n v="36"/>
    <s v="Guinea"/>
    <x v="1"/>
    <d v="2011-09-01T00:00:00"/>
    <d v="2011-11-01T00:00:00"/>
    <x v="0"/>
    <x v="1"/>
    <x v="1"/>
    <s v="DREF operation n° MDRGN004"/>
    <x v="0"/>
    <n v="7500"/>
    <n v="261008"/>
    <n v="261008"/>
    <n v="261008"/>
    <n v="34.801066666666664"/>
    <s v="-"/>
    <n v="7500"/>
    <n v="7500"/>
    <n v="7500"/>
    <s v="yes"/>
    <n v="75"/>
    <n v="7500"/>
    <m/>
    <m/>
    <n v="0"/>
    <m/>
    <n v="7500"/>
    <n v="150"/>
    <m/>
    <m/>
    <n v="3000"/>
    <m/>
    <m/>
    <m/>
    <m/>
    <n v="7500"/>
    <m/>
    <m/>
    <m/>
    <m/>
    <m/>
    <m/>
    <m/>
    <m/>
    <m/>
    <m/>
  </r>
  <r>
    <n v="37"/>
    <s v="Mali"/>
    <x v="1"/>
    <d v="2011-08-01T00:00:00"/>
    <d v="2011-11-01T00:00:00"/>
    <x v="0"/>
    <x v="1"/>
    <x v="1"/>
    <s v="DREF operation n° MDRML007"/>
    <x v="0"/>
    <n v="7500"/>
    <n v="264684"/>
    <n v="264684"/>
    <n v="264684"/>
    <n v="35.291200000000003"/>
    <m/>
    <n v="7500"/>
    <n v="7500"/>
    <n v="7500"/>
    <m/>
    <m/>
    <n v="7500"/>
    <m/>
    <m/>
    <n v="0"/>
    <m/>
    <n v="7500"/>
    <n v="120"/>
    <m/>
    <m/>
    <n v="300"/>
    <m/>
    <m/>
    <m/>
    <m/>
    <n v="7500"/>
    <m/>
    <m/>
    <m/>
    <m/>
    <m/>
    <m/>
    <m/>
    <m/>
    <m/>
    <m/>
  </r>
  <r>
    <n v="38"/>
    <s v="Nepal"/>
    <x v="4"/>
    <d v="2011-09-01T00:00:00"/>
    <d v="2012-01-01T00:00:00"/>
    <x v="0"/>
    <x v="23"/>
    <x v="8"/>
    <s v="DREF operation n° MDRNP005"/>
    <x v="0"/>
    <n v="7500"/>
    <n v="172417"/>
    <n v="172417"/>
    <n v="172417"/>
    <n v="22.988933333333332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9"/>
    <s v="South Africa"/>
    <x v="1"/>
    <d v="2011-01-01T00:00:00"/>
    <d v="2011-04-01T00:00:00"/>
    <x v="0"/>
    <x v="24"/>
    <x v="1"/>
    <s v="DREF Final Report No.MDRZA005 "/>
    <x v="0"/>
    <n v="8870"/>
    <n v="177585"/>
    <n v="236780"/>
    <n v="235310"/>
    <n v="26.528748590755356"/>
    <n v="100"/>
    <n v="8870"/>
    <m/>
    <n v="8870"/>
    <s v="yes"/>
    <n v="144"/>
    <n v="8870"/>
    <n v="5987"/>
    <n v="58071"/>
    <n v="6.5468996617812856"/>
    <m/>
    <m/>
    <n v="199"/>
    <m/>
    <m/>
    <m/>
    <m/>
    <m/>
    <m/>
    <m/>
    <n v="0"/>
    <n v="750"/>
    <n v="750"/>
    <m/>
    <m/>
    <m/>
    <m/>
    <m/>
    <m/>
    <m/>
    <m/>
  </r>
  <r>
    <n v="40"/>
    <s v="Nigeria"/>
    <x v="1"/>
    <d v="2011-07-01T00:00:00"/>
    <d v="2011-11-01T00:00:00"/>
    <x v="0"/>
    <x v="7"/>
    <x v="1"/>
    <s v="DREF operation n° MDRNG010"/>
    <x v="0"/>
    <n v="9000"/>
    <n v="289282"/>
    <n v="289283"/>
    <n v="286688"/>
    <n v="31.854222222222223"/>
    <n v="100"/>
    <n v="7500"/>
    <s v="N/A"/>
    <n v="7500"/>
    <s v="no"/>
    <n v="55"/>
    <n v="7500"/>
    <n v="31160"/>
    <n v="21246"/>
    <n v="2.8328000000000002"/>
    <m/>
    <m/>
    <n v="80"/>
    <m/>
    <m/>
    <n v="500"/>
    <m/>
    <m/>
    <m/>
    <m/>
    <n v="0"/>
    <n v="4521"/>
    <n v="10835"/>
    <m/>
    <m/>
    <m/>
    <m/>
    <m/>
    <m/>
    <s v="1 not specified"/>
    <m/>
  </r>
  <r>
    <n v="41"/>
    <s v="Russia"/>
    <x v="2"/>
    <d v="2011-06-01T00:00:00"/>
    <d v="2011-09-01T00:00:00"/>
    <x v="0"/>
    <x v="1"/>
    <x v="1"/>
    <s v="DREF operation n° MDRRU010"/>
    <x v="0"/>
    <n v="9000"/>
    <n v="149420"/>
    <n v="149420"/>
    <n v="146359"/>
    <n v="16.262111111111111"/>
    <n v="100"/>
    <s v="N/A"/>
    <s v="N/A"/>
    <s v="N/A"/>
    <s v="no"/>
    <n v="15"/>
    <s v="missing data"/>
    <n v="0"/>
    <n v="26541"/>
    <m/>
    <m/>
    <s v="missing data"/>
    <n v="15"/>
    <m/>
    <m/>
    <m/>
    <m/>
    <m/>
    <m/>
    <m/>
    <n v="0"/>
    <s v="-"/>
    <s v="-"/>
    <m/>
    <m/>
    <m/>
    <m/>
    <m/>
    <m/>
    <m/>
    <m/>
  </r>
  <r>
    <n v="42"/>
    <s v="Egypt"/>
    <x v="3"/>
    <d v="2011-02-01T00:00:00"/>
    <d v="2011-06-01T00:00:00"/>
    <x v="0"/>
    <x v="25"/>
    <x v="3"/>
    <s v="DREF Final Report No.MDREG010"/>
    <x v="0"/>
    <n v="10000"/>
    <n v="107672"/>
    <n v="107672"/>
    <n v="105524"/>
    <n v="10.5524"/>
    <n v="100"/>
    <s v="N/A"/>
    <s v="N/A"/>
    <s v="N/A"/>
    <s v="N/A"/>
    <s v="N/A"/>
    <s v="N/A"/>
    <s v="N/A"/>
    <s v="N/A"/>
    <m/>
    <m/>
    <m/>
    <n v="120"/>
    <n v="50"/>
    <m/>
    <m/>
    <m/>
    <m/>
    <m/>
    <m/>
    <n v="0"/>
    <n v="35000"/>
    <n v="32802"/>
    <m/>
    <m/>
    <m/>
    <m/>
    <m/>
    <m/>
    <m/>
    <m/>
  </r>
  <r>
    <n v="43"/>
    <s v="Lesotho"/>
    <x v="1"/>
    <d v="2011-02-01T00:00:00"/>
    <d v="2011-05-01T00:00:00"/>
    <x v="0"/>
    <x v="1"/>
    <x v="1"/>
    <s v="DREF Final Report No.MDRLS001"/>
    <x v="0"/>
    <n v="10000"/>
    <n v="244036"/>
    <n v="244036"/>
    <n v="228966"/>
    <n v="22.896599999999999"/>
    <n v="100"/>
    <n v="5043"/>
    <n v="4000"/>
    <n v="5043"/>
    <s v="yes"/>
    <n v="5043"/>
    <n v="5043"/>
    <n v="43500"/>
    <n v="46222"/>
    <n v="9.1655760460043627"/>
    <m/>
    <m/>
    <m/>
    <m/>
    <m/>
    <m/>
    <m/>
    <m/>
    <m/>
    <m/>
    <n v="0"/>
    <n v="1000"/>
    <n v="3708"/>
    <m/>
    <m/>
    <m/>
    <m/>
    <m/>
    <m/>
    <m/>
    <m/>
  </r>
  <r>
    <n v="44"/>
    <s v="El Salvador"/>
    <x v="0"/>
    <d v="2011-10-01T00:00:00"/>
    <d v="2012-06-01T00:00:00"/>
    <x v="0"/>
    <x v="1"/>
    <x v="1"/>
    <s v="Emergency appeal n° MDRSV004"/>
    <x v="1"/>
    <n v="10000"/>
    <n v="1174119"/>
    <n v="1139398"/>
    <n v="1105216.06"/>
    <n v="110.52160600000001"/>
    <n v="97"/>
    <s v="Missing data"/>
    <s v="Missing data"/>
    <s v="Missing data"/>
    <m/>
    <m/>
    <n v="10000"/>
    <m/>
    <m/>
    <m/>
    <m/>
    <n v="10000"/>
    <n v="100"/>
    <s v="yes"/>
    <m/>
    <m/>
    <m/>
    <m/>
    <m/>
    <n v="201"/>
    <n v="10000"/>
    <m/>
    <m/>
    <m/>
    <m/>
    <m/>
    <m/>
    <m/>
    <m/>
    <s v="yes"/>
    <m/>
  </r>
  <r>
    <n v="45"/>
    <s v="Ethiopia"/>
    <x v="1"/>
    <d v="2011-10-01T00:00:00"/>
    <d v="2012-04-01T00:00:00"/>
    <x v="0"/>
    <x v="4"/>
    <x v="3"/>
    <s v="Emergency appeal n° MDRET011"/>
    <x v="1"/>
    <n v="10000"/>
    <n v="684476"/>
    <n v="445768"/>
    <n v="191704"/>
    <n v="19.170400000000001"/>
    <n v="65"/>
    <n v="10000"/>
    <n v="250"/>
    <n v="10000"/>
    <s v="yes"/>
    <n v="55"/>
    <n v="10000"/>
    <n v="14000"/>
    <n v="14000"/>
    <n v="1.4"/>
    <m/>
    <n v="10000"/>
    <n v="250"/>
    <m/>
    <n v="100"/>
    <n v="5000"/>
    <m/>
    <m/>
    <m/>
    <m/>
    <n v="10000"/>
    <n v="96000"/>
    <n v="96000"/>
    <m/>
    <m/>
    <m/>
    <m/>
    <m/>
    <m/>
    <m/>
    <m/>
  </r>
  <r>
    <n v="46"/>
    <s v="Myanmar"/>
    <x v="4"/>
    <d v="2011-09-01T00:00:00"/>
    <d v="2012-03-01T00:00:00"/>
    <x v="0"/>
    <x v="26"/>
    <x v="1"/>
    <s v="DREF operation n° MDRMM005"/>
    <x v="0"/>
    <n v="10000"/>
    <n v="165670"/>
    <n v="165669"/>
    <n v="123842"/>
    <n v="12.3842"/>
    <n v="100"/>
    <n v="17095"/>
    <n v="1000"/>
    <n v="17095"/>
    <m/>
    <n v="113"/>
    <n v="5750"/>
    <n v="25807"/>
    <n v="985"/>
    <n v="5.7619186896753438E-2"/>
    <m/>
    <m/>
    <m/>
    <m/>
    <m/>
    <m/>
    <m/>
    <m/>
    <m/>
    <m/>
    <n v="0"/>
    <m/>
    <m/>
    <m/>
    <m/>
    <m/>
    <m/>
    <m/>
    <m/>
    <m/>
    <m/>
  </r>
  <r>
    <n v="47"/>
    <s v="Mauritania"/>
    <x v="1"/>
    <d v="2011-12-01T00:00:00"/>
    <d v="2012-12-01T00:00:00"/>
    <x v="0"/>
    <x v="16"/>
    <x v="3"/>
    <s v="Emergency appeal n° MDRMR004"/>
    <x v="1"/>
    <n v="10000"/>
    <n v="2131749"/>
    <n v="200000"/>
    <n v="200000"/>
    <n v="20"/>
    <m/>
    <n v="8000"/>
    <n v="8000"/>
    <n v="8000"/>
    <s v="yes"/>
    <n v="100"/>
    <n v="8000"/>
    <m/>
    <m/>
    <n v="0"/>
    <m/>
    <n v="3000"/>
    <m/>
    <m/>
    <m/>
    <m/>
    <m/>
    <m/>
    <m/>
    <m/>
    <n v="3000"/>
    <m/>
    <m/>
    <m/>
    <m/>
    <m/>
    <m/>
    <m/>
    <m/>
    <m/>
    <m/>
  </r>
  <r>
    <n v="48"/>
    <s v="Senegal "/>
    <x v="1"/>
    <d v="2011-11-01T00:00:00"/>
    <d v="2011-02-01T00:00:00"/>
    <x v="0"/>
    <x v="1"/>
    <x v="1"/>
    <s v=" DREF Final Report No.MDRSN004"/>
    <x v="0"/>
    <n v="10500"/>
    <n v="147854"/>
    <n v="147854"/>
    <n v="137197"/>
    <n v="13.066380952380952"/>
    <n v="100"/>
    <n v="7500"/>
    <n v="7500"/>
    <n v="7500"/>
    <s v="yes"/>
    <n v="50"/>
    <n v="7500"/>
    <n v="13625"/>
    <n v="21059"/>
    <n v="2.8078666666666665"/>
    <m/>
    <m/>
    <m/>
    <m/>
    <m/>
    <n v="3000"/>
    <m/>
    <m/>
    <m/>
    <m/>
    <n v="0"/>
    <n v="0"/>
    <n v="0"/>
    <m/>
    <m/>
    <m/>
    <m/>
    <m/>
    <m/>
    <m/>
    <m/>
  </r>
  <r>
    <n v="49"/>
    <s v="Niger"/>
    <x v="1"/>
    <d v="2011-08-01T00:00:00"/>
    <d v="2012-02-01T00:00:00"/>
    <x v="0"/>
    <x v="1"/>
    <x v="1"/>
    <s v="DREF operation n° MDRNE008"/>
    <x v="0"/>
    <n v="11200"/>
    <n v="250491"/>
    <n v="250491"/>
    <n v="248814"/>
    <n v="22.215535714285714"/>
    <n v="100"/>
    <n v="8000"/>
    <n v="200"/>
    <n v="8000"/>
    <s v="no"/>
    <n v="80"/>
    <n v="10000"/>
    <n v="8222"/>
    <n v="28394"/>
    <n v="3.5492499999999998"/>
    <m/>
    <n v="10000"/>
    <n v="80"/>
    <m/>
    <m/>
    <n v="3200"/>
    <m/>
    <m/>
    <m/>
    <m/>
    <n v="10000"/>
    <n v="14760"/>
    <n v="14035"/>
    <m/>
    <m/>
    <m/>
    <m/>
    <m/>
    <m/>
    <m/>
    <m/>
  </r>
  <r>
    <n v="50"/>
    <s v="Colombia "/>
    <x v="0"/>
    <d v="2011-12-01T00:00:00"/>
    <d v="2012-02-01T00:00:00"/>
    <x v="0"/>
    <x v="1"/>
    <x v="1"/>
    <s v="DREF operation n° MDRCO009"/>
    <x v="0"/>
    <n v="11450"/>
    <n v="105591"/>
    <n v="105591"/>
    <n v="105591"/>
    <n v="9.2219213973799121"/>
    <s v="-"/>
    <n v="6000"/>
    <s v="N/A"/>
    <n v="6000"/>
    <s v="no"/>
    <s v="N/A"/>
    <s v="N/A"/>
    <n v="24862"/>
    <m/>
    <n v="0"/>
    <n v="3700"/>
    <n v="3700"/>
    <m/>
    <m/>
    <m/>
    <n v="500"/>
    <m/>
    <m/>
    <m/>
    <m/>
    <n v="7400"/>
    <n v="16574"/>
    <n v="16574"/>
    <m/>
    <m/>
    <m/>
    <m/>
    <m/>
    <m/>
    <m/>
    <m/>
  </r>
  <r>
    <n v="51"/>
    <s v="Brazil "/>
    <x v="0"/>
    <d v="2011-01-01T00:00:00"/>
    <d v="2011-09-01T00:00:00"/>
    <x v="0"/>
    <x v="1"/>
    <x v="1"/>
    <s v="DREF operation n° MDRBR006"/>
    <x v="0"/>
    <n v="12500"/>
    <n v="20000"/>
    <n v="20000"/>
    <n v="4472"/>
    <n v="0.35776000000000002"/>
    <n v="100"/>
    <s v="N/A"/>
    <s v="N/A"/>
    <s v="N/A"/>
    <s v="no"/>
    <s v="N/A"/>
    <s v="N/A"/>
    <s v="-"/>
    <s v="-"/>
    <m/>
    <s v="yes"/>
    <m/>
    <m/>
    <s v="N/A"/>
    <s v="N/A"/>
    <s v="N/A"/>
    <s v="N/A"/>
    <s v="N/A"/>
    <s v="N/A"/>
    <s v="N/A"/>
    <n v="0"/>
    <s v="-"/>
    <s v="-"/>
    <m/>
    <m/>
    <m/>
    <m/>
    <m/>
    <m/>
    <s v="N/A"/>
    <s v="N/A"/>
  </r>
  <r>
    <n v="52"/>
    <s v="Costa Rica"/>
    <x v="0"/>
    <d v="2011-10-01T00:00:00"/>
    <d v="2012-01-01T00:00:00"/>
    <x v="0"/>
    <x v="15"/>
    <x v="0"/>
    <s v="DREF operation n° MDRCR008"/>
    <x v="0"/>
    <n v="12500"/>
    <n v="94374"/>
    <n v="94374"/>
    <n v="94374"/>
    <n v="7.5499200000000002"/>
    <s v="-"/>
    <n v="12500"/>
    <s v="N/A"/>
    <n v="12500"/>
    <s v="no"/>
    <s v="Missing Data"/>
    <n v="1250"/>
    <s v="-"/>
    <s v="-"/>
    <m/>
    <m/>
    <m/>
    <m/>
    <m/>
    <m/>
    <m/>
    <m/>
    <m/>
    <m/>
    <m/>
    <n v="0"/>
    <s v="-"/>
    <s v="-"/>
    <m/>
    <m/>
    <m/>
    <m/>
    <m/>
    <m/>
    <m/>
    <m/>
  </r>
  <r>
    <n v="53"/>
    <s v="Vanuatu"/>
    <x v="4"/>
    <d v="2011-02-01T00:00:00"/>
    <d v="2011-05-01T00:00:00"/>
    <x v="0"/>
    <x v="27"/>
    <x v="0"/>
    <s v=" DREF Final Report No. MDRVU001"/>
    <x v="0"/>
    <n v="14530"/>
    <n v="90322"/>
    <n v="90322"/>
    <n v="52683"/>
    <n v="3.6258086717136959"/>
    <n v="100"/>
    <n v="14530"/>
    <m/>
    <n v="14530"/>
    <s v="no"/>
    <m/>
    <n v="14530"/>
    <n v="5057"/>
    <n v="5057"/>
    <n v="0.34803854094975911"/>
    <m/>
    <m/>
    <m/>
    <m/>
    <m/>
    <n v="362"/>
    <m/>
    <m/>
    <m/>
    <m/>
    <m/>
    <m/>
    <m/>
    <m/>
    <m/>
    <m/>
    <m/>
    <m/>
    <m/>
    <m/>
    <m/>
  </r>
  <r>
    <n v="54"/>
    <s v="Mozambique"/>
    <x v="1"/>
    <d v="2011-01-01T00:00:00"/>
    <d v="2011-04-01T00:00:00"/>
    <x v="0"/>
    <x v="28"/>
    <x v="9"/>
    <s v=" DREF Final Report No.MDRMZ008"/>
    <x v="0"/>
    <n v="15000"/>
    <n v="345207"/>
    <n v="345207"/>
    <n v="315178"/>
    <n v="21.011866666666666"/>
    <n v="100"/>
    <n v="15000"/>
    <n v="15000"/>
    <n v="15000"/>
    <s v="no"/>
    <m/>
    <m/>
    <n v="37210"/>
    <n v="4760"/>
    <n v="0.31733333333333336"/>
    <m/>
    <m/>
    <n v="334"/>
    <m/>
    <m/>
    <m/>
    <m/>
    <m/>
    <m/>
    <m/>
    <n v="0"/>
    <n v="47755"/>
    <n v="47755"/>
    <m/>
    <m/>
    <m/>
    <m/>
    <m/>
    <m/>
    <m/>
    <m/>
  </r>
  <r>
    <n v="55"/>
    <s v="Niger"/>
    <x v="1"/>
    <d v="2011-10-01T00:00:00"/>
    <d v="2012-01-01T00:00:00"/>
    <x v="0"/>
    <x v="29"/>
    <x v="10"/>
    <s v="DREF operation n° MDRNE009"/>
    <x v="0"/>
    <n v="15000"/>
    <n v="181335"/>
    <n v="181335"/>
    <n v="181335"/>
    <n v="12.089"/>
    <m/>
    <m/>
    <m/>
    <m/>
    <m/>
    <m/>
    <m/>
    <m/>
    <m/>
    <m/>
    <m/>
    <n v="5000"/>
    <n v="150"/>
    <m/>
    <s v="yes"/>
    <m/>
    <m/>
    <m/>
    <m/>
    <m/>
    <n v="5000"/>
    <m/>
    <m/>
    <m/>
    <m/>
    <m/>
    <m/>
    <m/>
    <m/>
    <m/>
    <m/>
  </r>
  <r>
    <n v="56"/>
    <s v="Madagascar"/>
    <x v="1"/>
    <d v="2011-02-01T00:00:00"/>
    <d v="2011-06-01T00:00:00"/>
    <x v="0"/>
    <x v="30"/>
    <x v="0"/>
    <s v="DREF Final Report No.MDRMG007"/>
    <x v="0"/>
    <n v="15500"/>
    <n v="305275"/>
    <n v="223197"/>
    <n v="223197"/>
    <n v="14.399806451612903"/>
    <n v="0.1"/>
    <n v="1120"/>
    <n v="3328"/>
    <n v="3328"/>
    <s v="yes"/>
    <n v="605"/>
    <n v="3328"/>
    <n v="98835"/>
    <n v="65980"/>
    <n v="19.825721153846153"/>
    <m/>
    <m/>
    <m/>
    <s v="yes"/>
    <m/>
    <m/>
    <m/>
    <m/>
    <m/>
    <m/>
    <n v="0"/>
    <n v="0"/>
    <n v="0"/>
    <m/>
    <m/>
    <m/>
    <m/>
    <m/>
    <m/>
    <m/>
    <m/>
  </r>
  <r>
    <n v="57"/>
    <s v="Paraguay "/>
    <x v="0"/>
    <d v="2011-04-01T00:00:00"/>
    <d v="2011-09-01T00:00:00"/>
    <x v="0"/>
    <x v="31"/>
    <x v="10"/>
    <s v="DREF operation n° MDRPY009"/>
    <x v="0"/>
    <n v="19455"/>
    <n v="99593"/>
    <n v="99593"/>
    <n v="82176"/>
    <n v="4.2239013107170393"/>
    <n v="100"/>
    <s v="Missing data"/>
    <s v="N/A"/>
    <s v="Missing data"/>
    <s v="no"/>
    <s v="N/A"/>
    <s v="N/A"/>
    <n v="0"/>
    <n v="7543"/>
    <m/>
    <s v="N/A"/>
    <n v="19455"/>
    <n v="133"/>
    <s v="N/A"/>
    <n v="62"/>
    <s v="N/A"/>
    <s v="N/A"/>
    <s v="N/A"/>
    <s v="N/A"/>
    <s v="N/A"/>
    <n v="19455"/>
    <n v="2266"/>
    <n v="2256"/>
    <m/>
    <m/>
    <m/>
    <m/>
    <m/>
    <m/>
    <s v="N/A"/>
    <s v="N/A"/>
  </r>
  <r>
    <n v="58"/>
    <s v="Kenya"/>
    <x v="1"/>
    <d v="2011-02-01T00:00:00"/>
    <d v="2011-03-01T00:00:00"/>
    <x v="0"/>
    <x v="9"/>
    <x v="3"/>
    <s v="Emergency Appeal No. MDRKE014"/>
    <x v="1"/>
    <n v="20000"/>
    <n v="3586228"/>
    <n v="271075"/>
    <n v="271075"/>
    <n v="13.553750000000001"/>
    <n v="8"/>
    <n v="20000"/>
    <n v="20000"/>
    <n v="20000"/>
    <s v="yes"/>
    <n v="200"/>
    <n v="20000"/>
    <n v="650899"/>
    <n v="52071.92"/>
    <n v="2.603596"/>
    <n v="760"/>
    <n v="750"/>
    <n v="50"/>
    <m/>
    <m/>
    <n v="4000"/>
    <m/>
    <m/>
    <n v="4956"/>
    <m/>
    <n v="6466"/>
    <n v="173265"/>
    <n v="13861.2"/>
    <m/>
    <m/>
    <m/>
    <m/>
    <m/>
    <m/>
    <m/>
    <m/>
  </r>
  <r>
    <n v="59"/>
    <s v="Tanzania"/>
    <x v="1"/>
    <d v="2011-09-01T00:00:00"/>
    <d v="2012-09-01T00:00:00"/>
    <x v="0"/>
    <x v="32"/>
    <x v="11"/>
    <s v="Emergency appeal n° MDRTZ012"/>
    <x v="1"/>
    <n v="20000"/>
    <n v="1352126"/>
    <n v="250000"/>
    <n v="250000"/>
    <n v="12.5"/>
    <m/>
    <m/>
    <m/>
    <m/>
    <m/>
    <m/>
    <m/>
    <m/>
    <m/>
    <m/>
    <m/>
    <m/>
    <n v="30"/>
    <m/>
    <m/>
    <n v="2000"/>
    <m/>
    <m/>
    <m/>
    <m/>
    <n v="0"/>
    <m/>
    <m/>
    <s v="No health data"/>
    <m/>
    <m/>
    <m/>
    <m/>
    <m/>
    <m/>
    <m/>
  </r>
  <r>
    <n v="60"/>
    <s v="Tanzania"/>
    <x v="1"/>
    <d v="2011-12-01T00:00:00"/>
    <d v="2012-03-01T00:00:00"/>
    <x v="0"/>
    <x v="1"/>
    <x v="1"/>
    <s v="DREF operation n° MDRTZ013"/>
    <x v="0"/>
    <n v="20000"/>
    <n v="203042"/>
    <n v="203042"/>
    <n v="203042"/>
    <n v="10.152100000000001"/>
    <m/>
    <n v="15000"/>
    <n v="15000"/>
    <n v="15000"/>
    <m/>
    <m/>
    <n v="15000"/>
    <m/>
    <m/>
    <n v="0"/>
    <m/>
    <m/>
    <m/>
    <m/>
    <m/>
    <m/>
    <m/>
    <m/>
    <m/>
    <m/>
    <n v="0"/>
    <m/>
    <m/>
    <m/>
    <m/>
    <m/>
    <m/>
    <m/>
    <m/>
    <m/>
    <m/>
  </r>
  <r>
    <n v="61"/>
    <s v="Kenya"/>
    <x v="1"/>
    <d v="2011-12-01T00:00:00"/>
    <d v="2012-04-01T00:00:00"/>
    <x v="0"/>
    <x v="1"/>
    <x v="1"/>
    <s v="DREF operation n° MDRKE020"/>
    <x v="0"/>
    <n v="21000"/>
    <n v="300003"/>
    <n v="300003"/>
    <n v="300003"/>
    <n v="14.285857142857143"/>
    <n v="100"/>
    <n v="21000"/>
    <m/>
    <n v="21000"/>
    <s v="yes"/>
    <m/>
    <n v="21000"/>
    <n v="32089"/>
    <n v="32089"/>
    <n v="1.5280476190476191"/>
    <m/>
    <n v="21000"/>
    <m/>
    <m/>
    <m/>
    <n v="3981.6"/>
    <m/>
    <m/>
    <m/>
    <m/>
    <n v="21000"/>
    <n v="43889"/>
    <n v="43889"/>
    <m/>
    <m/>
    <m/>
    <m/>
    <m/>
    <m/>
    <m/>
    <m/>
  </r>
  <r>
    <n v="62"/>
    <s v="Kenya"/>
    <x v="1"/>
    <d v="2011-03-01T00:00:00"/>
    <d v="2011-04-01T00:00:00"/>
    <x v="0"/>
    <x v="33"/>
    <x v="6"/>
    <s v="DREF operation n° MDRKE015"/>
    <x v="0"/>
    <n v="23335"/>
    <n v="205575"/>
    <n v="205575"/>
    <n v="205575"/>
    <n v="8.8097278765802436"/>
    <n v="100"/>
    <s v="N/A"/>
    <s v="N/A"/>
    <s v="N/A"/>
    <s v="no"/>
    <s v="N/A"/>
    <s v="N/A"/>
    <s v="-"/>
    <s v="-"/>
    <m/>
    <s v="yes"/>
    <m/>
    <n v="101"/>
    <m/>
    <m/>
    <n v="6200"/>
    <s v="N/A"/>
    <s v="N/A"/>
    <s v="N/A"/>
    <s v="N/A"/>
    <n v="0"/>
    <s v="-"/>
    <s v="-"/>
    <m/>
    <m/>
    <m/>
    <m/>
    <m/>
    <m/>
    <s v="N/A"/>
    <s v="N/A"/>
  </r>
  <r>
    <n v="63"/>
    <s v="Democratic People’s Republic of Korea"/>
    <x v="4"/>
    <d v="2011-08-01T00:00:00"/>
    <s v="08/20121"/>
    <x v="0"/>
    <x v="1"/>
    <x v="1"/>
    <s v="Emergency appeal n° MDRKP003"/>
    <x v="1"/>
    <n v="30000"/>
    <n v="2392728"/>
    <n v="2392728"/>
    <n v="2392728"/>
    <n v="79.757599999999996"/>
    <n v="99"/>
    <n v="34380"/>
    <n v="3000"/>
    <n v="34380"/>
    <m/>
    <n v="60"/>
    <n v="5000"/>
    <n v="196796"/>
    <m/>
    <n v="0"/>
    <m/>
    <m/>
    <n v="800"/>
    <n v="50"/>
    <m/>
    <m/>
    <m/>
    <m/>
    <m/>
    <m/>
    <n v="0"/>
    <n v="19121"/>
    <m/>
    <m/>
    <m/>
    <m/>
    <m/>
    <m/>
    <m/>
    <m/>
    <m/>
  </r>
  <r>
    <n v="64"/>
    <s v="Chad"/>
    <x v="1"/>
    <d v="2011-12-02T00:00:00"/>
    <d v="2012-03-02T00:00:00"/>
    <x v="0"/>
    <x v="16"/>
    <x v="3"/>
    <s v="DREF operation n° MDRTD009"/>
    <x v="0"/>
    <n v="25000"/>
    <n v="231613"/>
    <n v="231613"/>
    <n v="231613"/>
    <n v="9.2645199999999992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65"/>
    <s v="Niger"/>
    <x v="1"/>
    <d v="2011-06-01T00:00:00"/>
    <d v="2011-09-01T00:00:00"/>
    <x v="0"/>
    <x v="9"/>
    <x v="3"/>
    <s v="DREF operation n° MDRNE007"/>
    <x v="0"/>
    <n v="30000"/>
    <n v="250318"/>
    <n v="250151"/>
    <n v="250151"/>
    <n v="8.3383666666666674"/>
    <n v="100"/>
    <n v="50000"/>
    <n v="120"/>
    <n v="50000"/>
    <s v="no"/>
    <n v="20"/>
    <n v="50000"/>
    <n v="20882"/>
    <n v="10155"/>
    <n v="0.2031"/>
    <m/>
    <n v="6000"/>
    <n v="20"/>
    <m/>
    <m/>
    <n v="500"/>
    <m/>
    <m/>
    <m/>
    <m/>
    <n v="6000"/>
    <n v="4500"/>
    <n v="4500"/>
    <m/>
    <m/>
    <m/>
    <m/>
    <m/>
    <m/>
    <m/>
    <m/>
  </r>
  <r>
    <n v="66"/>
    <s v="Zimbabwe"/>
    <x v="1"/>
    <d v="2011-07-01T00:00:00"/>
    <d v="2011-12-01T00:00:00"/>
    <x v="0"/>
    <x v="29"/>
    <x v="10"/>
    <s v="DREF operation n° MDRZW005"/>
    <x v="0"/>
    <n v="30000"/>
    <n v="226353"/>
    <n v="226353"/>
    <n v="226353"/>
    <n v="7.5450999999999997"/>
    <m/>
    <n v="25000"/>
    <n v="27000"/>
    <n v="27000"/>
    <s v="yes"/>
    <n v="60"/>
    <n v="27000"/>
    <m/>
    <m/>
    <n v="0"/>
    <m/>
    <n v="27000"/>
    <m/>
    <m/>
    <s v="yes"/>
    <m/>
    <m/>
    <m/>
    <m/>
    <m/>
    <n v="27000"/>
    <m/>
    <m/>
    <m/>
    <m/>
    <m/>
    <m/>
    <m/>
    <m/>
    <m/>
    <m/>
  </r>
  <r>
    <n v="67"/>
    <s v="Namibia"/>
    <x v="1"/>
    <d v="2011-04-01T00:00:00"/>
    <d v="2011-09-01T00:00:00"/>
    <x v="0"/>
    <x v="1"/>
    <x v="1"/>
    <s v="Emergency appeal n° MDRNA006"/>
    <x v="1"/>
    <n v="37457"/>
    <n v="1811530"/>
    <n v="696116"/>
    <n v="695275"/>
    <n v="18.56195103718931"/>
    <n v="38"/>
    <n v="9364"/>
    <n v="9364"/>
    <n v="9364"/>
    <s v="yes"/>
    <n v="100"/>
    <n v="9364"/>
    <n v="289000"/>
    <n v="71110"/>
    <n v="7.5939769329346429"/>
    <m/>
    <n v="37457"/>
    <n v="100"/>
    <m/>
    <m/>
    <n v="11225"/>
    <m/>
    <m/>
    <m/>
    <m/>
    <n v="37457"/>
    <n v="6300"/>
    <n v="1524"/>
    <m/>
    <m/>
    <m/>
    <m/>
    <m/>
    <m/>
    <m/>
    <m/>
  </r>
  <r>
    <n v="68"/>
    <s v="Burundi "/>
    <x v="1"/>
    <d v="2011-08-01T00:00:00"/>
    <d v="2011-12-01T00:00:00"/>
    <x v="0"/>
    <x v="34"/>
    <x v="10"/>
    <s v="DREF operation n° MDRBI007"/>
    <x v="0"/>
    <n v="38095"/>
    <n v="85258"/>
    <n v="85258"/>
    <n v="84898"/>
    <n v="2.2285864286651793"/>
    <n v="100"/>
    <n v="10170"/>
    <s v="N/A"/>
    <n v="10170"/>
    <s v="yes"/>
    <n v="120"/>
    <n v="38095"/>
    <n v="21209"/>
    <n v="21209"/>
    <n v="2.0854473942969518"/>
    <m/>
    <n v="38095"/>
    <m/>
    <m/>
    <m/>
    <m/>
    <m/>
    <m/>
    <m/>
    <m/>
    <n v="38095"/>
    <s v="-"/>
    <s v="-"/>
    <m/>
    <m/>
    <m/>
    <m/>
    <m/>
    <m/>
    <m/>
    <m/>
  </r>
  <r>
    <n v="69"/>
    <s v="Vietnam"/>
    <x v="4"/>
    <d v="2011-11-01T00:00:00"/>
    <d v="2012-10-01T00:00:00"/>
    <x v="0"/>
    <x v="35"/>
    <x v="1"/>
    <s v="Emergency appeal n° MDRVN009 "/>
    <x v="1"/>
    <n v="42000"/>
    <n v="1107185"/>
    <n v="210710"/>
    <n v="210710"/>
    <n v="5.0169047619047618"/>
    <m/>
    <n v="4000"/>
    <m/>
    <n v="4000"/>
    <m/>
    <m/>
    <m/>
    <n v="50596"/>
    <m/>
    <n v="0"/>
    <m/>
    <n v="50000"/>
    <n v="180"/>
    <m/>
    <m/>
    <m/>
    <m/>
    <m/>
    <m/>
    <m/>
    <n v="50000"/>
    <m/>
    <m/>
    <m/>
    <m/>
    <m/>
    <m/>
    <m/>
    <m/>
    <s v="yes"/>
    <m/>
  </r>
  <r>
    <n v="70"/>
    <s v="Uganda"/>
    <x v="1"/>
    <d v="2011-07-01T00:00:00"/>
    <d v="2011-10-01T00:00:00"/>
    <x v="0"/>
    <x v="36"/>
    <x v="1"/>
    <s v="DREF operation n° MDRUG023"/>
    <x v="0"/>
    <n v="59090"/>
    <n v="185962"/>
    <n v="182767"/>
    <n v="182767"/>
    <n v="3.0930275850397697"/>
    <n v="98"/>
    <n v="59090"/>
    <n v="2380"/>
    <n v="59090"/>
    <s v="no"/>
    <n v="120"/>
    <n v="18368"/>
    <n v="1941"/>
    <n v="1902"/>
    <n v="3.2188187510577088E-2"/>
    <n v="57311"/>
    <n v="45"/>
    <m/>
    <m/>
    <m/>
    <n v="2000"/>
    <m/>
    <m/>
    <n v="123"/>
    <m/>
    <n v="57479"/>
    <n v="971"/>
    <n v="951.58"/>
    <m/>
    <m/>
    <m/>
    <m/>
    <m/>
    <m/>
    <m/>
    <m/>
  </r>
  <r>
    <n v="71"/>
    <s v="Turkey"/>
    <x v="2"/>
    <d v="2011-11-01T00:00:00"/>
    <d v="2012-11-01T00:00:00"/>
    <x v="0"/>
    <x v="37"/>
    <x v="8"/>
    <s v="Revised Emergency Appeal n° MDRTR002"/>
    <x v="1"/>
    <n v="60000"/>
    <n v="9402445"/>
    <n v="7286971"/>
    <n v="6259551"/>
    <n v="104.32585"/>
    <m/>
    <m/>
    <m/>
    <n v="50000"/>
    <s v="yes"/>
    <n v="27"/>
    <n v="50000"/>
    <m/>
    <m/>
    <n v="0"/>
    <n v="3500"/>
    <m/>
    <m/>
    <m/>
    <m/>
    <m/>
    <m/>
    <m/>
    <m/>
    <m/>
    <n v="3500"/>
    <m/>
    <m/>
    <m/>
    <m/>
    <m/>
    <m/>
    <m/>
    <m/>
    <m/>
    <m/>
  </r>
  <r>
    <n v="72"/>
    <s v="Cote d'Ivoire"/>
    <x v="1"/>
    <d v="2011-06-01T00:00:00"/>
    <m/>
    <x v="0"/>
    <x v="38"/>
    <x v="3"/>
    <s v="Appeal n° MDRCI003"/>
    <x v="1"/>
    <n v="60000"/>
    <n v="6702009"/>
    <n v="804536"/>
    <n v="759440"/>
    <n v="12.657333333333334"/>
    <n v="11"/>
    <n v="10000"/>
    <n v="24000"/>
    <n v="24000"/>
    <m/>
    <m/>
    <n v="24000"/>
    <n v="312150"/>
    <n v="5013"/>
    <n v="0.20887500000000001"/>
    <m/>
    <n v="10000"/>
    <m/>
    <m/>
    <m/>
    <m/>
    <m/>
    <m/>
    <m/>
    <m/>
    <n v="10000"/>
    <n v="182500"/>
    <n v="21228"/>
    <m/>
    <m/>
    <m/>
    <m/>
    <m/>
    <m/>
    <m/>
    <m/>
  </r>
  <r>
    <n v="73"/>
    <s v="Nigeria"/>
    <x v="1"/>
    <d v="2011-07-01T00:00:00"/>
    <d v="2011-09-01T00:00:00"/>
    <x v="0"/>
    <x v="39"/>
    <x v="10"/>
    <s v="DREF operation MDRNG011"/>
    <x v="0"/>
    <n v="69000"/>
    <n v="92995"/>
    <n v="92953"/>
    <n v="92953"/>
    <n v="1.3471449275362319"/>
    <n v="100"/>
    <n v="50000"/>
    <s v="N/A"/>
    <n v="50000"/>
    <s v="no"/>
    <n v="150"/>
    <n v="50000"/>
    <n v="17400"/>
    <n v="25139"/>
    <n v="0.50278"/>
    <m/>
    <n v="50000"/>
    <n v="150"/>
    <m/>
    <m/>
    <m/>
    <m/>
    <m/>
    <m/>
    <m/>
    <n v="50000"/>
    <n v="14208"/>
    <n v="6028"/>
    <m/>
    <m/>
    <m/>
    <m/>
    <m/>
    <m/>
    <m/>
    <m/>
  </r>
  <r>
    <n v="74"/>
    <s v="Uganda"/>
    <x v="1"/>
    <d v="2011-11-01T00:00:00"/>
    <s v="021/2012"/>
    <x v="0"/>
    <x v="40"/>
    <x v="10"/>
    <s v="DREF operation n° MDRUG024"/>
    <x v="0"/>
    <n v="72140"/>
    <n v="156962"/>
    <n v="156962"/>
    <n v="156962"/>
    <n v="2.1757970612697535"/>
    <m/>
    <n v="25194"/>
    <m/>
    <n v="25194"/>
    <s v="yes"/>
    <n v="30"/>
    <n v="25194"/>
    <m/>
    <m/>
    <n v="0"/>
    <m/>
    <n v="167961"/>
    <m/>
    <m/>
    <s v="yes"/>
    <m/>
    <m/>
    <m/>
    <m/>
    <m/>
    <n v="167961"/>
    <m/>
    <m/>
    <m/>
    <m/>
    <m/>
    <m/>
    <m/>
    <m/>
    <m/>
    <s v="yes"/>
  </r>
  <r>
    <n v="75"/>
    <s v="Philippines"/>
    <x v="4"/>
    <d v="2011-12-01T00:00:00"/>
    <d v="2012-01-01T00:00:00"/>
    <x v="0"/>
    <x v="41"/>
    <x v="0"/>
    <s v="Emergency Appeal No. MDRPH008"/>
    <x v="1"/>
    <n v="100000"/>
    <n v="5705280"/>
    <n v="4299037"/>
    <n v="1778292"/>
    <n v="17.782920000000001"/>
    <n v="75"/>
    <n v="7500"/>
    <n v="6000"/>
    <n v="7500"/>
    <s v="no"/>
    <m/>
    <n v="128000"/>
    <n v="561650"/>
    <n v="196710"/>
    <n v="26.228000000000002"/>
    <m/>
    <n v="128000"/>
    <m/>
    <m/>
    <m/>
    <n v="18000"/>
    <m/>
    <m/>
    <s v="yes"/>
    <m/>
    <n v="128000"/>
    <s v="N/A"/>
    <s v="N/A"/>
    <m/>
    <m/>
    <m/>
    <m/>
    <m/>
    <m/>
    <m/>
    <m/>
  </r>
  <r>
    <n v="76"/>
    <s v="India "/>
    <x v="4"/>
    <d v="2011-10-01T00:00:00"/>
    <d v="2011-12-01T00:00:00"/>
    <x v="0"/>
    <x v="42"/>
    <x v="1"/>
    <s v="DREF operation n° MDRIN007"/>
    <x v="0"/>
    <n v="75000"/>
    <n v="240301"/>
    <n v="240301"/>
    <n v="240301"/>
    <n v="3.2040133333333332"/>
    <s v="-"/>
    <n v="5750"/>
    <s v="N/A"/>
    <n v="5750"/>
    <s v="no"/>
    <n v="21"/>
    <n v="20144"/>
    <m/>
    <m/>
    <n v="0"/>
    <m/>
    <m/>
    <m/>
    <m/>
    <m/>
    <n v="900"/>
    <m/>
    <m/>
    <m/>
    <m/>
    <n v="0"/>
    <m/>
    <m/>
    <m/>
    <m/>
    <m/>
    <m/>
    <m/>
    <m/>
    <m/>
    <m/>
  </r>
  <r>
    <n v="77"/>
    <s v="Sri Lanka"/>
    <x v="4"/>
    <d v="2011-01-01T00:00:00"/>
    <d v="2012-01-01T00:00:00"/>
    <x v="0"/>
    <x v="43"/>
    <x v="1"/>
    <s v="Revised emergency appeal n° MDRLK003"/>
    <x v="1"/>
    <n v="75000"/>
    <n v="4622804"/>
    <n v="655670"/>
    <n v="655670"/>
    <n v="8.7422666666666675"/>
    <m/>
    <n v="50000"/>
    <n v="1020"/>
    <n v="50000"/>
    <s v="yes"/>
    <n v="100"/>
    <n v="40000"/>
    <m/>
    <m/>
    <n v="0"/>
    <m/>
    <m/>
    <m/>
    <m/>
    <m/>
    <m/>
    <m/>
    <m/>
    <m/>
    <m/>
    <n v="0"/>
    <m/>
    <m/>
    <m/>
    <m/>
    <m/>
    <m/>
    <m/>
    <m/>
    <m/>
    <m/>
  </r>
  <r>
    <n v="78"/>
    <s v="Kenya"/>
    <x v="1"/>
    <d v="2011-11-01T00:00:00"/>
    <d v="2012-11-01T00:00:00"/>
    <x v="0"/>
    <x v="4"/>
    <x v="3"/>
    <s v="Emergency appeal n° MDRKE018"/>
    <x v="1"/>
    <n v="110000"/>
    <n v="26854197"/>
    <n v="7250633.1900000004"/>
    <n v="7250633"/>
    <n v="65.914845454545457"/>
    <n v="27"/>
    <n v="110000"/>
    <n v="110000"/>
    <n v="110000"/>
    <s v="yes"/>
    <n v="50"/>
    <n v="1950"/>
    <m/>
    <m/>
    <n v="0"/>
    <m/>
    <m/>
    <n v="50"/>
    <m/>
    <m/>
    <m/>
    <m/>
    <m/>
    <m/>
    <m/>
    <n v="0"/>
    <m/>
    <m/>
    <m/>
    <m/>
    <m/>
    <m/>
    <m/>
    <m/>
    <m/>
    <m/>
  </r>
  <r>
    <n v="79"/>
    <s v="Cameroon"/>
    <x v="1"/>
    <d v="2011-04-01T00:00:00"/>
    <d v="2012-03-01T00:00:00"/>
    <x v="0"/>
    <x v="44"/>
    <x v="10"/>
    <s v="Emergency appeal n° MDRCM011"/>
    <x v="1"/>
    <n v="87500"/>
    <n v="1361331"/>
    <n v="285879.51"/>
    <n v="285880"/>
    <n v="3.2671999999999999"/>
    <n v="21"/>
    <n v="50000"/>
    <n v="62885"/>
    <n v="50000"/>
    <m/>
    <n v="600"/>
    <n v="37500"/>
    <n v="273489"/>
    <n v="57432.689999999995"/>
    <n v="1.1486537999999999"/>
    <m/>
    <n v="4320000"/>
    <n v="600"/>
    <s v="yes"/>
    <s v="yes"/>
    <m/>
    <m/>
    <m/>
    <m/>
    <m/>
    <n v="4320000"/>
    <n v="84441"/>
    <n v="17732.61"/>
    <m/>
    <m/>
    <m/>
    <m/>
    <m/>
    <m/>
    <m/>
    <m/>
  </r>
  <r>
    <n v="80"/>
    <s v="Peru and Bolivia"/>
    <x v="0"/>
    <d v="2011-02-01T00:00:00"/>
    <d v="2011-08-01T00:00:00"/>
    <x v="0"/>
    <x v="45"/>
    <x v="10"/>
    <s v="DREF operation n° MDR46001"/>
    <x v="0"/>
    <n v="91361"/>
    <n v="78781"/>
    <n v="78781"/>
    <n v="74054"/>
    <n v="0.81056468296100082"/>
    <n v="100"/>
    <n v="89311"/>
    <n v="89311"/>
    <n v="89311"/>
    <s v="no"/>
    <n v="25"/>
    <n v="89311"/>
    <s v="-"/>
    <s v="-"/>
    <m/>
    <m/>
    <n v="91361"/>
    <n v="98"/>
    <m/>
    <n v="73"/>
    <n v="1200"/>
    <s v="N/A"/>
    <s v="N/A"/>
    <s v="N/A"/>
    <s v="N/A"/>
    <n v="91361"/>
    <s v="-"/>
    <s v="-"/>
    <m/>
    <m/>
    <m/>
    <m/>
    <m/>
    <m/>
    <s v="N/A"/>
    <s v="N/A"/>
  </r>
  <r>
    <n v="81"/>
    <s v="Ghana"/>
    <x v="1"/>
    <d v="2011-12-01T00:00:00"/>
    <d v="2012-03-01T00:00:00"/>
    <x v="0"/>
    <x v="46"/>
    <x v="10"/>
    <s v="DREF operation n° MDRGH005"/>
    <x v="0"/>
    <n v="100000"/>
    <n v="86464"/>
    <n v="86464"/>
    <n v="86464"/>
    <n v="0.86463999999999996"/>
    <s v="-"/>
    <m/>
    <m/>
    <m/>
    <s v="no"/>
    <n v="260"/>
    <n v="100000"/>
    <m/>
    <m/>
    <m/>
    <m/>
    <n v="100000"/>
    <n v="5000"/>
    <m/>
    <n v="10"/>
    <m/>
    <m/>
    <m/>
    <m/>
    <m/>
    <n v="100000"/>
    <m/>
    <m/>
    <m/>
    <m/>
    <m/>
    <m/>
    <m/>
    <m/>
    <m/>
    <m/>
  </r>
  <r>
    <n v="82"/>
    <s v="Pakistan"/>
    <x v="4"/>
    <d v="2011-09-01T00:00:00"/>
    <d v="2012-03-01T00:00:00"/>
    <x v="0"/>
    <x v="47"/>
    <x v="1"/>
    <s v="Emergency appeal n° MDRPK007"/>
    <x v="1"/>
    <n v="105000"/>
    <n v="5304193"/>
    <n v="5804564"/>
    <n v="2523603"/>
    <n v="24.034314285714284"/>
    <n v="109"/>
    <n v="208600"/>
    <m/>
    <n v="208600"/>
    <m/>
    <n v="96"/>
    <n v="88260"/>
    <n v="309267"/>
    <n v="226244"/>
    <n v="1.0845829338446789"/>
    <n v="81214"/>
    <n v="82826"/>
    <m/>
    <m/>
    <m/>
    <n v="7406"/>
    <m/>
    <m/>
    <m/>
    <m/>
    <n v="164040"/>
    <n v="211638"/>
    <n v="99027"/>
    <m/>
    <m/>
    <m/>
    <m/>
    <m/>
    <m/>
    <m/>
    <m/>
  </r>
  <r>
    <n v="83"/>
    <s v="Chad"/>
    <x v="1"/>
    <d v="2011-04-01T00:00:00"/>
    <d v="2011-07-01T00:00:00"/>
    <x v="0"/>
    <x v="40"/>
    <x v="10"/>
    <s v="DREF operation n° MDRTD006"/>
    <x v="0"/>
    <n v="116400"/>
    <n v="190875"/>
    <n v="190183"/>
    <n v="190183"/>
    <n v="1.6338745704467355"/>
    <n v="100"/>
    <s v="N/A"/>
    <n v="2500"/>
    <n v="2500"/>
    <s v="no"/>
    <n v="110"/>
    <n v="31340"/>
    <n v="94849"/>
    <n v="93805"/>
    <n v="37.521999999999998"/>
    <m/>
    <n v="31340"/>
    <m/>
    <m/>
    <n v="110"/>
    <m/>
    <m/>
    <m/>
    <m/>
    <m/>
    <n v="31340"/>
    <n v="5407"/>
    <n v="5407"/>
    <m/>
    <m/>
    <m/>
    <m/>
    <m/>
    <m/>
    <m/>
    <m/>
  </r>
  <r>
    <n v="84"/>
    <s v="Philippines"/>
    <x v="4"/>
    <d v="2011-11-01T00:00:00"/>
    <d v="2012-09-01T00:00:00"/>
    <x v="0"/>
    <x v="48"/>
    <x v="0"/>
    <s v="Emergency appeal n° MDRPH007"/>
    <x v="1"/>
    <n v="125000"/>
    <n v="3550719"/>
    <n v="280000"/>
    <n v="280000"/>
    <n v="2.2400000000000002"/>
    <m/>
    <n v="25000"/>
    <n v="5000"/>
    <n v="25000"/>
    <m/>
    <m/>
    <n v="100000"/>
    <m/>
    <m/>
    <n v="0"/>
    <m/>
    <n v="100000"/>
    <m/>
    <m/>
    <m/>
    <m/>
    <m/>
    <m/>
    <m/>
    <m/>
    <n v="100000"/>
    <m/>
    <m/>
    <m/>
    <m/>
    <m/>
    <m/>
    <m/>
    <m/>
    <m/>
    <m/>
  </r>
  <r>
    <n v="85"/>
    <s v="Vietnam"/>
    <x v="4"/>
    <d v="2011-08-01T00:00:00"/>
    <d v="2012-02-01T00:00:00"/>
    <x v="0"/>
    <x v="49"/>
    <x v="10"/>
    <s v="DREF operation n° MDRVN008"/>
    <x v="0"/>
    <n v="144995"/>
    <n v="127222"/>
    <n v="127221"/>
    <n v="127076"/>
    <n v="0.87641642815269494"/>
    <n v="100"/>
    <s v="N/A"/>
    <s v="N/A"/>
    <s v="N/A"/>
    <s v="no"/>
    <m/>
    <n v="144995"/>
    <n v="8870"/>
    <n v="8397"/>
    <m/>
    <m/>
    <n v="144995"/>
    <n v="750"/>
    <m/>
    <s v="Yes "/>
    <m/>
    <m/>
    <m/>
    <m/>
    <m/>
    <n v="144995"/>
    <s v="-"/>
    <s v="-"/>
    <m/>
    <m/>
    <m/>
    <m/>
    <m/>
    <m/>
    <m/>
    <m/>
  </r>
  <r>
    <n v="86"/>
    <s v="Somalia"/>
    <x v="1"/>
    <d v="2011-09-01T00:00:00"/>
    <d v="2012-12-01T00:00:00"/>
    <x v="0"/>
    <x v="50"/>
    <x v="6"/>
    <s v="Emergency appeal n° MDRSO001"/>
    <x v="1"/>
    <n v="150000"/>
    <n v="4158792"/>
    <n v="3628536"/>
    <n v="1472296"/>
    <n v="9.8153066666666664"/>
    <n v="87"/>
    <n v="14500"/>
    <m/>
    <n v="14500"/>
    <s v="yes"/>
    <m/>
    <m/>
    <n v="483531"/>
    <n v="203895"/>
    <n v="14.061724137931034"/>
    <m/>
    <m/>
    <n v="600"/>
    <s v="yes"/>
    <s v="yes"/>
    <n v="10000"/>
    <m/>
    <m/>
    <m/>
    <m/>
    <n v="0"/>
    <n v="261961"/>
    <n v="53896"/>
    <m/>
    <m/>
    <m/>
    <m/>
    <m/>
    <m/>
    <m/>
    <m/>
  </r>
  <r>
    <n v="87"/>
    <s v="Senegal"/>
    <x v="1"/>
    <d v="2011-12-01T00:00:00"/>
    <d v="2012-03-01T00:00:00"/>
    <x v="0"/>
    <x v="46"/>
    <x v="10"/>
    <s v="DREF Operation n° MDRSN006"/>
    <x v="0"/>
    <n v="153476"/>
    <n v="72948"/>
    <n v="72948"/>
    <n v="72948"/>
    <n v="0.47530558523808281"/>
    <m/>
    <m/>
    <m/>
    <m/>
    <m/>
    <m/>
    <m/>
    <m/>
    <m/>
    <m/>
    <m/>
    <n v="143807"/>
    <n v="180"/>
    <m/>
    <n v="180"/>
    <m/>
    <m/>
    <m/>
    <m/>
    <m/>
    <n v="143807"/>
    <m/>
    <m/>
    <m/>
    <m/>
    <m/>
    <m/>
    <m/>
    <m/>
    <m/>
    <m/>
  </r>
  <r>
    <n v="88"/>
    <s v="Ethiopia"/>
    <x v="1"/>
    <d v="2011-09-01T00:00:00"/>
    <d v="2012-08-01T00:00:00"/>
    <x v="0"/>
    <x v="50"/>
    <x v="6"/>
    <s v="Emergency appeal n° MDRET010"/>
    <x v="1"/>
    <n v="570000"/>
    <n v="28408085"/>
    <n v="5681617"/>
    <n v="5681617"/>
    <n v="9.9677491228070174"/>
    <n v="19.7"/>
    <n v="62000"/>
    <n v="62000"/>
    <n v="62000"/>
    <m/>
    <m/>
    <n v="62000"/>
    <n v="13257760"/>
    <n v="2651552"/>
    <n v="42.766967741935481"/>
    <m/>
    <m/>
    <n v="250"/>
    <s v="yes"/>
    <m/>
    <n v="50000"/>
    <m/>
    <m/>
    <m/>
    <m/>
    <n v="0"/>
    <m/>
    <m/>
    <m/>
    <m/>
    <m/>
    <m/>
    <m/>
    <m/>
    <m/>
    <m/>
  </r>
  <r>
    <n v="89"/>
    <s v="South Sudan"/>
    <x v="1"/>
    <d v="2011-07-01T00:00:00"/>
    <d v="2012-02-01T00:00:00"/>
    <x v="0"/>
    <x v="51"/>
    <x v="3"/>
    <s v="Emergency appeal n° MDRSD011"/>
    <x v="1"/>
    <n v="173000"/>
    <n v="6188106"/>
    <n v="2418937"/>
    <n v="2242841"/>
    <n v="12.964398843930637"/>
    <n v="39"/>
    <n v="46500"/>
    <n v="46500"/>
    <n v="46500"/>
    <s v="yes"/>
    <n v="105"/>
    <m/>
    <n v="48000"/>
    <n v="23948"/>
    <n v="0.51501075268817209"/>
    <m/>
    <n v="46500"/>
    <m/>
    <m/>
    <m/>
    <n v="3500"/>
    <m/>
    <m/>
    <m/>
    <m/>
    <n v="46500"/>
    <n v="204534"/>
    <n v="123799"/>
    <m/>
    <m/>
    <m/>
    <m/>
    <m/>
    <m/>
    <m/>
    <m/>
  </r>
  <r>
    <n v="90"/>
    <s v="Chad"/>
    <x v="1"/>
    <d v="2011-11-01T00:00:00"/>
    <d v="2012-02-01T00:00:00"/>
    <x v="0"/>
    <x v="29"/>
    <x v="10"/>
    <s v="Revised emergency appeal n° MDRTD008"/>
    <x v="1"/>
    <n v="200000"/>
    <n v="1854041"/>
    <n v="1371990.34"/>
    <n v="1015272.8516000001"/>
    <n v="5.0763642579999999"/>
    <n v="74"/>
    <n v="80000"/>
    <n v="1500"/>
    <n v="80000"/>
    <m/>
    <n v="400"/>
    <n v="200000"/>
    <m/>
    <m/>
    <n v="0"/>
    <m/>
    <n v="200000"/>
    <m/>
    <m/>
    <m/>
    <m/>
    <m/>
    <m/>
    <m/>
    <m/>
    <n v="200000"/>
    <m/>
    <m/>
    <m/>
    <m/>
    <m/>
    <m/>
    <m/>
    <n v="1"/>
    <m/>
    <m/>
  </r>
  <r>
    <n v="91"/>
    <s v="Cote d'Ivoire"/>
    <x v="1"/>
    <d v="2011-01-01T00:00:00"/>
    <d v="2011-04-01T00:00:00"/>
    <x v="0"/>
    <x v="52"/>
    <x v="10"/>
    <s v=" DREF Final Report No. MDRCI002"/>
    <x v="0"/>
    <n v="226395"/>
    <n v="73659"/>
    <n v="73601"/>
    <n v="73601"/>
    <n v="0.32509993595264913"/>
    <n v="100"/>
    <s v="N/A"/>
    <s v="N/A"/>
    <s v="N/A"/>
    <s v="N/A"/>
    <s v="N/A"/>
    <s v="N/A"/>
    <s v="N/A"/>
    <s v="N/A"/>
    <m/>
    <s v="N/A"/>
    <n v="226395"/>
    <n v="658"/>
    <n v="320"/>
    <n v="338"/>
    <s v="no"/>
    <s v="no"/>
    <s v="no"/>
    <m/>
    <m/>
    <n v="226395"/>
    <n v="0"/>
    <n v="0"/>
    <m/>
    <m/>
    <m/>
    <m/>
    <m/>
    <m/>
    <s v="N/A"/>
    <s v="no"/>
  </r>
  <r>
    <n v="92"/>
    <s v="Uganda"/>
    <x v="1"/>
    <d v="2011-06-01T00:00:00"/>
    <d v="2011-09-01T00:00:00"/>
    <x v="0"/>
    <x v="53"/>
    <x v="10"/>
    <s v="DREF operation n° MDRUG022"/>
    <x v="0"/>
    <n v="280000"/>
    <n v="175028"/>
    <n v="175028"/>
    <n v="175027"/>
    <n v="0.62509642857142855"/>
    <n v="100"/>
    <n v="40859"/>
    <n v="4520"/>
    <n v="40859"/>
    <s v="yes"/>
    <n v="300"/>
    <n v="322000"/>
    <n v="18230"/>
    <n v="18230"/>
    <n v="0.44616853080104751"/>
    <m/>
    <n v="153063"/>
    <m/>
    <m/>
    <n v="300"/>
    <m/>
    <m/>
    <m/>
    <n v="103"/>
    <m/>
    <n v="153166"/>
    <n v="3394"/>
    <n v="3394"/>
    <m/>
    <m/>
    <m/>
    <m/>
    <m/>
    <m/>
    <m/>
    <m/>
  </r>
  <r>
    <n v="93"/>
    <s v="Niger"/>
    <x v="1"/>
    <d v="2011-12-01T00:00:00"/>
    <d v="2012-10-01T00:00:00"/>
    <x v="0"/>
    <x v="16"/>
    <x v="3"/>
    <s v="Emergency appeal n° MDRNE010"/>
    <x v="1"/>
    <n v="350000"/>
    <n v="3756836"/>
    <n v="126768"/>
    <n v="126768"/>
    <n v="0.36219428571428569"/>
    <m/>
    <n v="5000"/>
    <n v="8000"/>
    <n v="8000"/>
    <s v="yes"/>
    <n v="80"/>
    <n v="15000"/>
    <m/>
    <m/>
    <n v="0"/>
    <m/>
    <m/>
    <m/>
    <m/>
    <m/>
    <m/>
    <m/>
    <m/>
    <m/>
    <m/>
    <n v="0"/>
    <m/>
    <m/>
    <m/>
    <m/>
    <m/>
    <m/>
    <m/>
    <m/>
    <m/>
    <m/>
  </r>
  <r>
    <n v="94"/>
    <s v="Cameroon"/>
    <x v="1"/>
    <d v="2011-12-01T00:00:00"/>
    <d v="2012-04-01T00:00:00"/>
    <x v="0"/>
    <x v="54"/>
    <x v="10"/>
    <s v="DREF operation n° MDRCM012"/>
    <x v="0"/>
    <n v="421000"/>
    <n v="129083"/>
    <n v="129083"/>
    <n v="129083"/>
    <n v="0.30661045130641329"/>
    <s v="-"/>
    <m/>
    <m/>
    <m/>
    <s v="no"/>
    <m/>
    <m/>
    <n v="250"/>
    <m/>
    <m/>
    <m/>
    <m/>
    <m/>
    <n v="150"/>
    <n v="150"/>
    <m/>
    <m/>
    <m/>
    <m/>
    <m/>
    <n v="0"/>
    <m/>
    <m/>
    <m/>
    <m/>
    <m/>
    <m/>
    <m/>
    <m/>
    <m/>
    <m/>
  </r>
  <r>
    <n v="95"/>
    <s v="North Africa and Middle East (Syria, Jordan, Lebanon)"/>
    <x v="3"/>
    <d v="2011-02-01T00:00:00"/>
    <d v="2012-09-01T00:00:00"/>
    <x v="0"/>
    <x v="22"/>
    <x v="3"/>
    <s v="Emergency appeal n° MDR82001"/>
    <x v="1"/>
    <n v="435000"/>
    <n v="18673301"/>
    <n v="13252916"/>
    <n v="8974755"/>
    <n v="20.631620689655172"/>
    <n v="71"/>
    <s v="N/A"/>
    <s v="N/A"/>
    <s v="N/A"/>
    <m/>
    <m/>
    <m/>
    <n v="352362"/>
    <n v="358484"/>
    <m/>
    <m/>
    <m/>
    <m/>
    <m/>
    <m/>
    <m/>
    <m/>
    <m/>
    <m/>
    <m/>
    <n v="0"/>
    <n v="434079"/>
    <n v="113579"/>
    <m/>
    <m/>
    <m/>
    <m/>
    <m/>
    <m/>
    <m/>
    <m/>
  </r>
  <r>
    <n v="96"/>
    <s v="Chad"/>
    <x v="1"/>
    <d v="2011-04-01T00:00:00"/>
    <d v="2011-07-01T00:00:00"/>
    <x v="0"/>
    <x v="55"/>
    <x v="10"/>
    <s v=" DREF Final Report No. MDRTD007"/>
    <x v="0"/>
    <n v="650000"/>
    <n v="73950"/>
    <n v="73950"/>
    <n v="72416"/>
    <n v="0.11140923076923077"/>
    <n v="100"/>
    <s v="N/A"/>
    <s v="N/A"/>
    <s v="N/A"/>
    <s v="N/A"/>
    <s v="N/A"/>
    <s v="N/A"/>
    <n v="0"/>
    <n v="0"/>
    <m/>
    <s v="N/A"/>
    <n v="641000"/>
    <n v="100"/>
    <s v="no"/>
    <s v="no"/>
    <s v="no"/>
    <s v="no"/>
    <m/>
    <m/>
    <m/>
    <n v="641000"/>
    <n v="0"/>
    <n v="0"/>
    <m/>
    <m/>
    <m/>
    <m/>
    <m/>
    <m/>
    <m/>
    <m/>
  </r>
  <r>
    <n v="97"/>
    <s v="Mali"/>
    <x v="1"/>
    <d v="2011-08-01T00:00:00"/>
    <d v="2011-11-01T00:00:00"/>
    <x v="0"/>
    <x v="44"/>
    <x v="10"/>
    <s v="DREF operation n° MDRML006"/>
    <x v="0"/>
    <n v="699100"/>
    <m/>
    <n v="150010"/>
    <n v="150010"/>
    <n v="0.21457588327850094"/>
    <m/>
    <m/>
    <m/>
    <m/>
    <m/>
    <n v="385"/>
    <m/>
    <m/>
    <m/>
    <m/>
    <m/>
    <m/>
    <m/>
    <m/>
    <s v="yes"/>
    <m/>
    <m/>
    <m/>
    <n v="600"/>
    <m/>
    <n v="600"/>
    <m/>
    <m/>
    <m/>
    <m/>
    <m/>
    <m/>
    <m/>
    <m/>
    <m/>
    <m/>
  </r>
  <r>
    <n v="98"/>
    <s v="Republic of Congo"/>
    <x v="1"/>
    <d v="2011-10-01T00:00:00"/>
    <d v="2012-01-01T00:00:00"/>
    <x v="0"/>
    <x v="44"/>
    <x v="10"/>
    <s v="DREF operation n° MDRCG009"/>
    <x v="0"/>
    <n v="750000"/>
    <n v="188083"/>
    <n v="188083"/>
    <n v="188083"/>
    <n v="0.25077733333333335"/>
    <s v="-"/>
    <s v="missing data"/>
    <s v="missing data"/>
    <s v="missing data"/>
    <s v="no"/>
    <n v="360"/>
    <n v="68492"/>
    <s v="-"/>
    <s v="-"/>
    <m/>
    <m/>
    <n v="68492"/>
    <n v="360"/>
    <m/>
    <n v="25"/>
    <m/>
    <m/>
    <m/>
    <m/>
    <m/>
    <n v="68492"/>
    <s v="-"/>
    <s v="-"/>
    <m/>
    <m/>
    <m/>
    <m/>
    <m/>
    <m/>
    <s v="yes not specified"/>
    <m/>
  </r>
  <r>
    <n v="99"/>
    <s v="Kenya"/>
    <x v="1"/>
    <d v="2011-04-01T00:00:00"/>
    <d v="2011-07-01T00:00:00"/>
    <x v="0"/>
    <x v="56"/>
    <x v="10"/>
    <s v=" DREF Final Report No. MDRKE017"/>
    <x v="0"/>
    <n v="814904"/>
    <n v="299869"/>
    <n v="299869"/>
    <n v="299869"/>
    <n v="0.36798076828681658"/>
    <n v="100"/>
    <s v="N/A"/>
    <s v="N/A"/>
    <s v="N/A"/>
    <s v="no"/>
    <s v="N/A"/>
    <s v="N/A"/>
    <s v="N/A"/>
    <s v="N/A"/>
    <m/>
    <m/>
    <n v="585136"/>
    <n v="1295"/>
    <m/>
    <m/>
    <m/>
    <m/>
    <m/>
    <m/>
    <m/>
    <n v="585136"/>
    <s v="missing data"/>
    <s v="missing data"/>
    <m/>
    <m/>
    <m/>
    <m/>
    <m/>
    <m/>
    <s v="N/A"/>
    <m/>
  </r>
  <r>
    <n v="100"/>
    <s v="Republic of Congo"/>
    <x v="1"/>
    <d v="2011-06-01T00:00:00"/>
    <d v="2011-10-01T00:00:00"/>
    <x v="0"/>
    <x v="57"/>
    <x v="10"/>
    <s v="DREF operation n° MDRCG008"/>
    <x v="0"/>
    <n v="985335"/>
    <n v="56281"/>
    <n v="48615"/>
    <n v="48615"/>
    <n v="4.9338549833305427E-2"/>
    <n v="86"/>
    <s v="N/A"/>
    <s v="N/A"/>
    <s v="N/A"/>
    <s v="no"/>
    <s v="N/A"/>
    <s v="N/A"/>
    <s v="-"/>
    <s v="-"/>
    <m/>
    <m/>
    <n v="985335"/>
    <m/>
    <m/>
    <n v="150"/>
    <m/>
    <m/>
    <m/>
    <m/>
    <m/>
    <n v="985335"/>
    <s v="-"/>
    <s v="-"/>
    <m/>
    <m/>
    <m/>
    <m/>
    <m/>
    <m/>
    <m/>
    <m/>
  </r>
  <r>
    <n v="101"/>
    <s v="Kenya"/>
    <x v="1"/>
    <d v="2011-01-01T00:00:00"/>
    <d v="2012-10-01T00:00:00"/>
    <x v="0"/>
    <x v="50"/>
    <x v="6"/>
    <s v="Emergency Appeal No. MDRKE016"/>
    <x v="1"/>
    <n v="1000000"/>
    <n v="30438354"/>
    <n v="9682005"/>
    <n v="9234574"/>
    <n v="9.2345740000000003"/>
    <n v="32"/>
    <n v="22400"/>
    <m/>
    <n v="22400"/>
    <s v="yes"/>
    <n v="20"/>
    <n v="69085"/>
    <n v="7037895"/>
    <n v="233901"/>
    <n v="10.442008928571429"/>
    <m/>
    <n v="914904"/>
    <m/>
    <m/>
    <m/>
    <m/>
    <m/>
    <m/>
    <n v="35052"/>
    <m/>
    <n v="949956"/>
    <n v="1072843"/>
    <n v="107804"/>
    <m/>
    <m/>
    <m/>
    <m/>
    <m/>
    <m/>
    <m/>
    <m/>
  </r>
  <r>
    <n v="102"/>
    <s v="Democratic Republic of Congo"/>
    <x v="1"/>
    <d v="2011-07-01T00:00:00"/>
    <d v="2011-09-01T00:00:00"/>
    <x v="0"/>
    <x v="29"/>
    <x v="10"/>
    <s v="DREF operation n° MDRCD009 "/>
    <x v="0"/>
    <n v="1150000"/>
    <n v="227511"/>
    <n v="227511"/>
    <n v="227511"/>
    <n v="0.19783565217391305"/>
    <s v="-"/>
    <n v="9200"/>
    <n v="4240"/>
    <n v="9200"/>
    <s v="no"/>
    <n v="230"/>
    <n v="733000"/>
    <s v="-"/>
    <s v="-"/>
    <m/>
    <m/>
    <n v="317000"/>
    <n v="683"/>
    <m/>
    <m/>
    <m/>
    <m/>
    <m/>
    <m/>
    <m/>
    <n v="317000"/>
    <s v="-"/>
    <s v="-"/>
    <m/>
    <m/>
    <m/>
    <m/>
    <m/>
    <m/>
    <m/>
    <m/>
  </r>
  <r>
    <n v="103"/>
    <s v="Republic of Congo"/>
    <x v="1"/>
    <d v="2011-06-01T00:00:00"/>
    <d v="2012-02-01T00:00:00"/>
    <x v="0"/>
    <x v="58"/>
    <x v="10"/>
    <s v="DREF operation n° MDRCG007"/>
    <x v="0"/>
    <n v="1500000"/>
    <n v="292511"/>
    <n v="292511"/>
    <n v="253659"/>
    <n v="0.16910600000000001"/>
    <n v="100"/>
    <s v="N/A"/>
    <s v="N/A"/>
    <s v="N/A"/>
    <s v="no"/>
    <n v="300"/>
    <n v="1440000"/>
    <n v="33498"/>
    <n v="28337"/>
    <m/>
    <m/>
    <n v="1440000"/>
    <m/>
    <n v="300"/>
    <m/>
    <n v="6000"/>
    <m/>
    <m/>
    <m/>
    <m/>
    <n v="1440000"/>
    <n v="3960"/>
    <n v="4329"/>
    <m/>
    <m/>
    <m/>
    <m/>
    <m/>
    <m/>
    <s v="1 not specified"/>
    <m/>
  </r>
  <r>
    <n v="104"/>
    <s v="Central African Republic"/>
    <x v="1"/>
    <d v="2011-10-01T00:00:00"/>
    <d v="2011-12-01T00:00:00"/>
    <x v="0"/>
    <x v="59"/>
    <x v="10"/>
    <s v="DREF operation n° MDRCF009"/>
    <x v="0"/>
    <n v="1500000"/>
    <n v="238333"/>
    <n v="238333"/>
    <n v="238333"/>
    <n v="0.15888866666666668"/>
    <s v="-"/>
    <s v="missing data"/>
    <s v="N/A"/>
    <s v="missing data"/>
    <s v="no"/>
    <n v="500"/>
    <n v="759790"/>
    <s v="-"/>
    <s v="-"/>
    <m/>
    <m/>
    <n v="759790"/>
    <n v="500"/>
    <m/>
    <n v="50"/>
    <m/>
    <m/>
    <m/>
    <m/>
    <m/>
    <n v="759790"/>
    <s v="-"/>
    <s v="-"/>
    <m/>
    <m/>
    <m/>
    <m/>
    <m/>
    <m/>
    <m/>
    <m/>
  </r>
  <r>
    <n v="105"/>
    <s v="Uganda"/>
    <x v="1"/>
    <d v="2011-05-01T00:00:00"/>
    <d v="2011-08-01T00:00:00"/>
    <x v="0"/>
    <x v="60"/>
    <x v="10"/>
    <s v="DREF operation n° MDRUG021"/>
    <x v="0"/>
    <n v="1731900"/>
    <n v="133744"/>
    <n v="130549"/>
    <n v="130549"/>
    <n v="7.5379063456319645E-2"/>
    <n v="97.75"/>
    <s v="N/A"/>
    <s v="N/A"/>
    <s v="N/A"/>
    <s v="no"/>
    <s v="N/A"/>
    <s v="N/A"/>
    <m/>
    <m/>
    <m/>
    <m/>
    <n v="1731900"/>
    <n v="200"/>
    <s v="N/A"/>
    <s v="N/A"/>
    <m/>
    <s v="N/A"/>
    <s v="N/A"/>
    <s v="N/A"/>
    <s v="N/A"/>
    <n v="1731900"/>
    <m/>
    <m/>
    <m/>
    <m/>
    <m/>
    <m/>
    <m/>
    <m/>
    <s v="N/A"/>
    <s v="N/A"/>
  </r>
  <r>
    <n v="106"/>
    <s v="Kenya"/>
    <x v="1"/>
    <d v="2011-11-01T00:00:00"/>
    <d v="2011-12-01T00:00:00"/>
    <x v="0"/>
    <x v="61"/>
    <x v="10"/>
    <s v="DREF operation n° MDRKE019"/>
    <x v="0"/>
    <n v="2122964"/>
    <n v="314019"/>
    <n v="314019"/>
    <n v="314019"/>
    <n v="0.14791536738258398"/>
    <s v="-"/>
    <m/>
    <m/>
    <m/>
    <m/>
    <m/>
    <m/>
    <m/>
    <m/>
    <m/>
    <m/>
    <n v="2122964"/>
    <n v="3542"/>
    <m/>
    <m/>
    <m/>
    <m/>
    <m/>
    <m/>
    <m/>
    <n v="2122964"/>
    <m/>
    <m/>
    <m/>
    <m/>
    <m/>
    <m/>
    <m/>
    <m/>
    <m/>
    <m/>
  </r>
  <r>
    <n v="107"/>
    <s v="Uganda"/>
    <x v="1"/>
    <d v="2011-01-01T00:00:00"/>
    <d v="2011-04-01T00:00:00"/>
    <x v="0"/>
    <x v="62"/>
    <x v="10"/>
    <s v="DREF operation n° MDRUG019"/>
    <x v="0"/>
    <n v="2135700"/>
    <n v="195182"/>
    <n v="194658"/>
    <n v="194658"/>
    <n v="9.1144823711195394E-2"/>
    <n v="100"/>
    <m/>
    <m/>
    <m/>
    <m/>
    <m/>
    <m/>
    <m/>
    <m/>
    <m/>
    <m/>
    <n v="727255"/>
    <n v="590"/>
    <m/>
    <s v="yes"/>
    <m/>
    <m/>
    <m/>
    <m/>
    <m/>
    <n v="727255"/>
    <m/>
    <m/>
    <m/>
    <m/>
    <m/>
    <m/>
    <m/>
    <m/>
    <m/>
    <m/>
  </r>
  <r>
    <n v="108"/>
    <s v="Bangladesh"/>
    <x v="4"/>
    <d v="2011-07-01T00:00:00"/>
    <d v="2011-12-01T00:00:00"/>
    <x v="0"/>
    <x v="63"/>
    <x v="1"/>
    <s v="Emergency Appeal No.MDRBD009"/>
    <x v="1"/>
    <n v="7300000"/>
    <n v="2148592"/>
    <n v="1866876"/>
    <n v="1690166"/>
    <n v="0.23152958904109588"/>
    <n v="86.8"/>
    <n v="4750"/>
    <n v="2275"/>
    <n v="4750"/>
    <s v="yes"/>
    <m/>
    <n v="2275"/>
    <n v="53063"/>
    <n v="44568"/>
    <n v="9.3827368421052633"/>
    <m/>
    <n v="60000"/>
    <m/>
    <m/>
    <m/>
    <m/>
    <m/>
    <m/>
    <s v="yes"/>
    <m/>
    <n v="60000"/>
    <n v="4730"/>
    <n v="2008"/>
    <m/>
    <m/>
    <m/>
    <m/>
    <m/>
    <m/>
    <m/>
    <m/>
  </r>
  <r>
    <n v="109"/>
    <s v="Russia"/>
    <x v="2"/>
    <d v="2011-06-01T00:00:00"/>
    <d v="2011-07-01T00:00:00"/>
    <x v="0"/>
    <x v="64"/>
    <x v="6"/>
    <s v="DREF operation n° MDRRU011"/>
    <x v="0"/>
    <s v="missing data"/>
    <n v="33015"/>
    <n v="33015"/>
    <n v="33015"/>
    <m/>
    <n v="100"/>
    <m/>
    <m/>
    <m/>
    <m/>
    <m/>
    <m/>
    <s v="-"/>
    <s v="-"/>
    <m/>
    <m/>
    <m/>
    <m/>
    <m/>
    <m/>
    <m/>
    <m/>
    <m/>
    <m/>
    <m/>
    <n v="0"/>
    <s v="-"/>
    <s v="-"/>
    <m/>
    <m/>
    <m/>
    <m/>
    <m/>
    <m/>
    <m/>
    <m/>
  </r>
  <r>
    <n v="110"/>
    <s v="Maldives"/>
    <x v="4"/>
    <d v="2011-07-01T00:00:00"/>
    <d v="2011-10-01T00:00:00"/>
    <x v="0"/>
    <x v="45"/>
    <x v="10"/>
    <s v="DREF operation n° MDRMV001"/>
    <x v="0"/>
    <s v="missing data"/>
    <n v="42600"/>
    <n v="42600"/>
    <n v="42438"/>
    <m/>
    <n v="100"/>
    <s v="missing data"/>
    <s v="N/A"/>
    <s v="missing data"/>
    <s v="no"/>
    <s v="N/A"/>
    <s v="N/A"/>
    <s v="-"/>
    <s v="-"/>
    <m/>
    <s v="N/A"/>
    <s v="missing data"/>
    <n v="17"/>
    <s v="N/A"/>
    <s v="N/A"/>
    <s v="N/A"/>
    <s v="N/A"/>
    <s v="N/A"/>
    <s v="N/A"/>
    <s v="N/A"/>
    <n v="0"/>
    <s v="-"/>
    <s v="-"/>
    <m/>
    <m/>
    <m/>
    <m/>
    <m/>
    <m/>
    <s v="N/A"/>
    <s v="N/A"/>
  </r>
  <r>
    <n v="111"/>
    <s v="Democratic Republic of Congo"/>
    <x v="1"/>
    <d v="2011-11-01T00:00:00"/>
    <m/>
    <x v="0"/>
    <x v="65"/>
    <x v="3"/>
    <s v="DREF operation n° MDRCD010"/>
    <x v="0"/>
    <s v="missing data"/>
    <n v="67867"/>
    <n v="67867"/>
    <n v="66014"/>
    <m/>
    <n v="100"/>
    <s v="N/A"/>
    <s v="N/A"/>
    <s v="N/A"/>
    <s v="no"/>
    <s v="N/A"/>
    <s v="N/A"/>
    <s v="-"/>
    <s v="-"/>
    <m/>
    <m/>
    <m/>
    <n v="250"/>
    <n v="180"/>
    <m/>
    <m/>
    <m/>
    <m/>
    <m/>
    <m/>
    <n v="0"/>
    <n v="18500"/>
    <n v="12514"/>
    <m/>
    <m/>
    <m/>
    <m/>
    <m/>
    <m/>
    <m/>
    <m/>
  </r>
  <r>
    <n v="112"/>
    <s v="Guatemala"/>
    <x v="0"/>
    <d v="2010-06-01T00:00:00"/>
    <d v="2011-05-01T00:00:00"/>
    <x v="1"/>
    <x v="66"/>
    <x v="0"/>
    <s v="Preliminary Final report Emergency appeal n° MDRGT002 "/>
    <x v="1"/>
    <n v="7500"/>
    <n v="1286382"/>
    <n v="1327946"/>
    <n v="1210308"/>
    <n v="161.37440000000001"/>
    <n v="103"/>
    <n v="3371"/>
    <n v="7500"/>
    <n v="7500"/>
    <s v="yes"/>
    <n v="54"/>
    <n v="1449"/>
    <n v="182022"/>
    <n v="172592"/>
    <n v="23.012266666666665"/>
    <n v="927"/>
    <n v="2658"/>
    <m/>
    <m/>
    <m/>
    <n v="3000"/>
    <m/>
    <m/>
    <m/>
    <m/>
    <n v="3585"/>
    <n v="5793"/>
    <n v="7379"/>
    <m/>
    <m/>
    <m/>
    <m/>
    <m/>
    <m/>
    <m/>
    <m/>
  </r>
  <r>
    <n v="113"/>
    <s v="Republic of Congo"/>
    <x v="1"/>
    <d v="2010-11-01T00:00:00"/>
    <d v="2011-08-01T00:00:00"/>
    <x v="1"/>
    <x v="67"/>
    <x v="10"/>
    <s v="Final report Emergency appeal n° MDRCG006"/>
    <x v="1"/>
    <n v="3000000"/>
    <n v="1505011"/>
    <n v="419748"/>
    <n v="419748"/>
    <n v="0.13991600000000001"/>
    <n v="28"/>
    <s v="N/A"/>
    <s v="N/A"/>
    <s v="N/A"/>
    <s v="no"/>
    <n v="512"/>
    <n v="265852"/>
    <n v="14021"/>
    <n v="869"/>
    <m/>
    <m/>
    <n v="265852"/>
    <n v="512"/>
    <n v="280"/>
    <n v="280"/>
    <m/>
    <m/>
    <m/>
    <m/>
    <m/>
    <n v="265852"/>
    <n v="75318"/>
    <n v="21089"/>
    <m/>
    <m/>
    <m/>
    <m/>
    <m/>
    <m/>
    <m/>
    <m/>
  </r>
  <r>
    <n v="114"/>
    <s v="Panama"/>
    <x v="0"/>
    <d v="2010-11-01T00:00:00"/>
    <d v="2011-06-01T00:00:00"/>
    <x v="1"/>
    <x v="1"/>
    <x v="1"/>
    <s v="Final report Emergency Appeal n° MDRPA007"/>
    <x v="1"/>
    <n v="12725"/>
    <n v="701023"/>
    <n v="327541"/>
    <n v="327514"/>
    <n v="25.737838899803535"/>
    <n v="47"/>
    <n v="2000"/>
    <s v="N/A"/>
    <n v="2000"/>
    <s v="no"/>
    <s v="missing data"/>
    <n v="1922"/>
    <n v="48960"/>
    <n v="103425"/>
    <n v="51.712499999999999"/>
    <m/>
    <m/>
    <n v="353"/>
    <m/>
    <m/>
    <n v="4410"/>
    <m/>
    <m/>
    <m/>
    <m/>
    <n v="0"/>
    <s v="-"/>
    <s v="-"/>
    <m/>
    <m/>
    <m/>
    <m/>
    <m/>
    <m/>
    <m/>
    <m/>
  </r>
  <r>
    <n v="115"/>
    <s v="Vietnam"/>
    <x v="4"/>
    <d v="2010-10-01T00:00:00"/>
    <d v="2011-09-01T00:00:00"/>
    <x v="1"/>
    <x v="1"/>
    <x v="1"/>
    <s v="Final Report Emergency appeal n° MDRVN007"/>
    <x v="1"/>
    <n v="28500"/>
    <n v="1070620"/>
    <n v="1057923"/>
    <n v="1021022"/>
    <n v="35.825333333333333"/>
    <n v="99"/>
    <n v="24360"/>
    <s v="N/A"/>
    <n v="24360"/>
    <s v="no"/>
    <n v="49"/>
    <m/>
    <n v="85040"/>
    <n v="61236"/>
    <n v="2.5137931034482759"/>
    <n v="605"/>
    <m/>
    <n v="126"/>
    <m/>
    <m/>
    <m/>
    <m/>
    <m/>
    <m/>
    <m/>
    <n v="605"/>
    <s v="-"/>
    <s v="-"/>
    <m/>
    <m/>
    <m/>
    <m/>
    <m/>
    <m/>
    <m/>
    <m/>
  </r>
  <r>
    <n v="116"/>
    <s v="Panama"/>
    <x v="0"/>
    <d v="2010-11-01T00:00:00"/>
    <d v="2011-01-01T00:00:00"/>
    <x v="1"/>
    <x v="1"/>
    <x v="1"/>
    <s v="Emergency Appeal No. MDRPA007"/>
    <x v="1"/>
    <n v="12725"/>
    <n v="701023"/>
    <n v="327541"/>
    <n v="327514"/>
    <n v="25.737838899803535"/>
    <n v="46.7"/>
    <n v="5000"/>
    <m/>
    <n v="5000"/>
    <m/>
    <m/>
    <n v="500"/>
    <n v="48960"/>
    <n v="103425"/>
    <n v="20.684999999999999"/>
    <n v="750"/>
    <n v="1922"/>
    <n v="1015"/>
    <m/>
    <m/>
    <n v="4410"/>
    <m/>
    <m/>
    <m/>
    <m/>
    <n v="2672"/>
    <s v="-"/>
    <s v="-"/>
    <m/>
    <m/>
    <m/>
    <m/>
    <m/>
    <m/>
    <s v="yes"/>
    <m/>
  </r>
  <r>
    <n v="117"/>
    <s v="Haiti and Dominican Republic"/>
    <x v="0"/>
    <d v="2010-12-01T00:00:00"/>
    <d v="2012-02-01T00:00:00"/>
    <x v="1"/>
    <x v="68"/>
    <x v="10"/>
    <s v="Emergency Appeal No. MDR49007"/>
    <x v="1"/>
    <n v="650000"/>
    <n v="11486804"/>
    <n v="9318581"/>
    <n v="7327264"/>
    <n v="11.272713846153847"/>
    <n v="81"/>
    <n v="50000"/>
    <n v="50000"/>
    <n v="50000"/>
    <s v="yes"/>
    <n v="500"/>
    <n v="50000"/>
    <n v="2386797"/>
    <n v="1736253"/>
    <n v="34.725059999999999"/>
    <m/>
    <n v="250000"/>
    <n v="500"/>
    <n v="216"/>
    <n v="1000"/>
    <m/>
    <m/>
    <m/>
    <n v="2597"/>
    <m/>
    <n v="252597"/>
    <n v="1139014"/>
    <n v="1066188"/>
    <m/>
    <m/>
    <m/>
    <m/>
    <m/>
    <n v="3"/>
    <m/>
    <m/>
  </r>
  <r>
    <n v="118"/>
    <s v="Colombia "/>
    <x v="0"/>
    <d v="2010-12-01T00:00:00"/>
    <d v="2011-08-01T00:00:00"/>
    <x v="1"/>
    <x v="1"/>
    <x v="1"/>
    <s v="Emergency Appeal No. MDRCO008"/>
    <x v="1"/>
    <n v="1719707"/>
    <n v="1320879"/>
    <n v="1114007"/>
    <n v="932872"/>
    <n v="0.54245984926502011"/>
    <n v="84.33"/>
    <n v="26646"/>
    <m/>
    <n v="26646"/>
    <m/>
    <m/>
    <n v="42500"/>
    <n v="363038"/>
    <n v="228077"/>
    <n v="8.5595211288748771"/>
    <n v="3135"/>
    <n v="3135"/>
    <m/>
    <m/>
    <m/>
    <n v="3271"/>
    <m/>
    <m/>
    <n v="0"/>
    <m/>
    <n v="6270"/>
    <n v="41000"/>
    <n v="9591"/>
    <m/>
    <m/>
    <m/>
    <m/>
    <m/>
    <n v="1"/>
    <m/>
    <m/>
  </r>
  <r>
    <n v="119"/>
    <s v="Caribbean"/>
    <x v="0"/>
    <d v="2010-10-01T00:00:00"/>
    <d v="2011-07-01T00:00:00"/>
    <x v="1"/>
    <x v="69"/>
    <x v="0"/>
    <s v="Emergency Appeal No. MDR49006 "/>
    <x v="1"/>
    <n v="10000"/>
    <n v="1045054"/>
    <n v="694800"/>
    <n v="651645"/>
    <n v="65.164500000000004"/>
    <n v="66"/>
    <n v="10000"/>
    <m/>
    <n v="10000"/>
    <m/>
    <m/>
    <m/>
    <n v="133150"/>
    <n v="143406"/>
    <n v="14.3406"/>
    <n v="0"/>
    <n v="0"/>
    <m/>
    <m/>
    <m/>
    <n v="4000"/>
    <m/>
    <m/>
    <n v="0"/>
    <m/>
    <n v="0"/>
    <s v="-"/>
    <s v="-"/>
    <m/>
    <m/>
    <m/>
    <m/>
    <m/>
    <m/>
    <m/>
    <m/>
  </r>
  <r>
    <n v="120"/>
    <s v="Serbia"/>
    <x v="2"/>
    <d v="2010-11-01T00:00:00"/>
    <d v="2011-06-01T00:00:00"/>
    <x v="1"/>
    <x v="23"/>
    <x v="8"/>
    <s v="Emergency Appeal No.MDRRS004EA"/>
    <x v="1"/>
    <n v="8000"/>
    <n v="409759"/>
    <n v="180379"/>
    <n v="141863"/>
    <n v="17.732875"/>
    <n v="44"/>
    <n v="2000"/>
    <m/>
    <n v="2000"/>
    <m/>
    <m/>
    <n v="1200"/>
    <n v="15000"/>
    <n v="16377"/>
    <n v="8.1884999999999994"/>
    <n v="2000"/>
    <m/>
    <n v="50"/>
    <m/>
    <m/>
    <m/>
    <m/>
    <m/>
    <m/>
    <m/>
    <n v="2000"/>
    <s v="-"/>
    <s v="-"/>
    <m/>
    <m/>
    <m/>
    <m/>
    <m/>
    <m/>
    <m/>
    <m/>
  </r>
  <r>
    <n v="121"/>
    <s v="Sudan"/>
    <x v="1"/>
    <d v="2010-12-01T00:00:00"/>
    <d v="2011-01-01T00:00:00"/>
    <x v="1"/>
    <x v="70"/>
    <x v="3"/>
    <s v="Emergency Appeal No.MDRSD010"/>
    <x v="1"/>
    <n v="105000"/>
    <n v="3030275"/>
    <n v="1340351"/>
    <n v="391364"/>
    <n v="3.7272761904761906"/>
    <n v="44"/>
    <n v="60000"/>
    <m/>
    <n v="60000"/>
    <m/>
    <m/>
    <n v="60000"/>
    <n v="238038"/>
    <n v="104736.72"/>
    <n v="1.7456119999999999"/>
    <m/>
    <m/>
    <m/>
    <m/>
    <m/>
    <m/>
    <m/>
    <m/>
    <m/>
    <m/>
    <n v="0"/>
    <n v="351839"/>
    <n v="72168"/>
    <m/>
    <m/>
    <m/>
    <m/>
    <m/>
    <m/>
    <m/>
    <m/>
  </r>
  <r>
    <n v="122"/>
    <s v="Gambia"/>
    <x v="1"/>
    <d v="2010-09-01T00:00:00"/>
    <d v="2011-04-01T00:00:00"/>
    <x v="1"/>
    <x v="1"/>
    <x v="1"/>
    <s v="Emergency Appeal No. MDRGM006"/>
    <x v="1"/>
    <n v="5000"/>
    <n v="287261"/>
    <n v="287261"/>
    <n v="284774"/>
    <n v="56.954799999999999"/>
    <n v="100"/>
    <n v="5000"/>
    <n v="5000"/>
    <n v="5000"/>
    <m/>
    <m/>
    <n v="5000"/>
    <n v="44200"/>
    <n v="35675"/>
    <n v="7.1349999999999998"/>
    <m/>
    <n v="48070"/>
    <m/>
    <m/>
    <m/>
    <n v="2160"/>
    <m/>
    <m/>
    <m/>
    <m/>
    <n v="48070"/>
    <s v="-"/>
    <s v="-"/>
    <m/>
    <m/>
    <m/>
    <m/>
    <m/>
    <m/>
    <m/>
    <m/>
  </r>
  <r>
    <n v="123"/>
    <s v="Philippines"/>
    <x v="4"/>
    <d v="2010-10-01T00:00:00"/>
    <d v="2011-07-01T00:00:00"/>
    <x v="1"/>
    <x v="71"/>
    <x v="0"/>
    <s v="Emergency Appeal No. MDRPH006"/>
    <x v="1"/>
    <n v="60000"/>
    <n v="4183640"/>
    <n v="2765622"/>
    <n v="2753528"/>
    <n v="45.892133333333334"/>
    <n v="67"/>
    <n v="50000"/>
    <m/>
    <n v="50000"/>
    <m/>
    <m/>
    <n v="50000"/>
    <n v="0"/>
    <n v="121036"/>
    <n v="2.4207200000000002"/>
    <m/>
    <s v="yes"/>
    <m/>
    <m/>
    <m/>
    <n v="20500"/>
    <m/>
    <m/>
    <m/>
    <m/>
    <n v="0"/>
    <n v="0"/>
    <n v="21"/>
    <m/>
    <m/>
    <m/>
    <m/>
    <m/>
    <m/>
    <m/>
    <m/>
  </r>
  <r>
    <n v="124"/>
    <s v="Sudan"/>
    <x v="1"/>
    <d v="2010-10-01T00:00:00"/>
    <d v="2011-03-01T00:00:00"/>
    <x v="1"/>
    <x v="1"/>
    <x v="1"/>
    <s v="Emergency Appeal No.MDRSD009"/>
    <x v="1"/>
    <n v="51354"/>
    <n v="2318438"/>
    <n v="550738"/>
    <n v="547975"/>
    <n v="10.670541729952877"/>
    <n v="24"/>
    <n v="15406"/>
    <n v="15406"/>
    <n v="15406"/>
    <m/>
    <m/>
    <n v="51354"/>
    <n v="93276"/>
    <n v="9915"/>
    <n v="0.6435804232117357"/>
    <m/>
    <n v="24030"/>
    <m/>
    <m/>
    <m/>
    <n v="6434"/>
    <m/>
    <m/>
    <m/>
    <m/>
    <n v="24030"/>
    <n v="58400"/>
    <n v="131061"/>
    <m/>
    <m/>
    <m/>
    <m/>
    <m/>
    <m/>
    <m/>
    <m/>
  </r>
  <r>
    <n v="125"/>
    <s v="Niger"/>
    <x v="1"/>
    <d v="2010-03-01T00:00:00"/>
    <d v="2011-06-01T00:00:00"/>
    <x v="1"/>
    <x v="72"/>
    <x v="3"/>
    <s v="Emergency Appeal No. MDRNE005 "/>
    <x v="1"/>
    <n v="29890"/>
    <n v="3670686"/>
    <n v="1976563"/>
    <n v="1974453"/>
    <n v="66.057310137169623"/>
    <n v="54"/>
    <m/>
    <m/>
    <m/>
    <m/>
    <m/>
    <m/>
    <n v="10000"/>
    <n v="4292"/>
    <m/>
    <m/>
    <m/>
    <m/>
    <m/>
    <m/>
    <m/>
    <m/>
    <m/>
    <m/>
    <m/>
    <n v="0"/>
    <n v="3122"/>
    <n v="24029"/>
    <m/>
    <m/>
    <m/>
    <m/>
    <m/>
    <m/>
    <m/>
    <m/>
  </r>
  <r>
    <n v="126"/>
    <s v="Burkina Faso "/>
    <x v="1"/>
    <d v="2010-08-01T00:00:00"/>
    <d v="2011-04-01T00:00:00"/>
    <x v="1"/>
    <x v="1"/>
    <x v="1"/>
    <s v="Emergency Appeal No.MDRBF010"/>
    <x v="1"/>
    <n v="80000"/>
    <n v="2803535"/>
    <n v="561629"/>
    <n v="530818"/>
    <n v="6.6352250000000002"/>
    <n v="20"/>
    <n v="1500"/>
    <n v="3100"/>
    <n v="3100"/>
    <s v="yes"/>
    <n v="20"/>
    <n v="14418"/>
    <n v="603669"/>
    <n v="45788"/>
    <n v="14.770322580645161"/>
    <m/>
    <m/>
    <m/>
    <m/>
    <m/>
    <m/>
    <m/>
    <m/>
    <m/>
    <m/>
    <n v="0"/>
    <n v="2600"/>
    <n v="15"/>
    <m/>
    <m/>
    <m/>
    <m/>
    <m/>
    <m/>
    <m/>
    <m/>
  </r>
  <r>
    <n v="127"/>
    <s v="Indonesia"/>
    <x v="4"/>
    <d v="2010-10-01T00:00:00"/>
    <d v="2011-06-01T00:00:00"/>
    <x v="1"/>
    <x v="73"/>
    <x v="8"/>
    <s v="Emergency Appeal No. MDRID006"/>
    <x v="1"/>
    <n v="103750"/>
    <n v="5038981"/>
    <n v="3091118"/>
    <n v="2814292"/>
    <n v="27.125706024096385"/>
    <n v="61"/>
    <n v="100000"/>
    <m/>
    <n v="100000"/>
    <m/>
    <m/>
    <n v="100000"/>
    <n v="528646"/>
    <n v="518081"/>
    <n v="5.1808100000000001"/>
    <n v="3358"/>
    <n v="10000"/>
    <n v="161"/>
    <m/>
    <m/>
    <m/>
    <m/>
    <m/>
    <m/>
    <m/>
    <n v="13358"/>
    <n v="105233"/>
    <n v="5821"/>
    <m/>
    <m/>
    <m/>
    <m/>
    <m/>
    <m/>
    <m/>
    <m/>
  </r>
  <r>
    <n v="128"/>
    <s v="Chad"/>
    <x v="1"/>
    <d v="2010-10-01T00:00:00"/>
    <d v="2011-03-01T00:00:00"/>
    <x v="1"/>
    <x v="74"/>
    <x v="9"/>
    <s v="Emergency Appeal No.MDRTD005 "/>
    <x v="1"/>
    <n v="31675"/>
    <n v="1283953"/>
    <n v="374131"/>
    <n v="342180"/>
    <n v="10.80284135753749"/>
    <n v="27"/>
    <m/>
    <m/>
    <m/>
    <m/>
    <m/>
    <m/>
    <n v="374131"/>
    <n v="14347"/>
    <m/>
    <n v="0"/>
    <n v="0"/>
    <m/>
    <m/>
    <m/>
    <m/>
    <m/>
    <m/>
    <n v="0"/>
    <m/>
    <n v="0"/>
    <n v="3500"/>
    <n v="280"/>
    <m/>
    <m/>
    <m/>
    <m/>
    <m/>
    <m/>
    <m/>
    <m/>
  </r>
  <r>
    <n v="129"/>
    <s v="Kenya"/>
    <x v="1"/>
    <d v="2010-03-01T00:00:00"/>
    <d v="2011-04-01T00:00:00"/>
    <x v="1"/>
    <x v="50"/>
    <x v="6"/>
    <s v="Emergency Appeal No.MDRKE009"/>
    <x v="1"/>
    <n v="293000"/>
    <n v="2056046"/>
    <n v="2047020"/>
    <n v="2043224"/>
    <n v="6.973460750853242"/>
    <n v="99.5"/>
    <n v="41665"/>
    <n v="17650"/>
    <n v="41665"/>
    <s v="yes"/>
    <n v="59"/>
    <n v="17650"/>
    <n v="184656"/>
    <n v="184656"/>
    <n v="4.4319212768510736"/>
    <m/>
    <n v="60000"/>
    <m/>
    <m/>
    <m/>
    <m/>
    <m/>
    <m/>
    <m/>
    <m/>
    <n v="60000"/>
    <n v="69926"/>
    <n v="69926"/>
    <m/>
    <m/>
    <m/>
    <m/>
    <m/>
    <m/>
    <m/>
    <m/>
  </r>
  <r>
    <n v="130"/>
    <s v="Democratic People’s Republic of Korea"/>
    <x v="4"/>
    <d v="2010-08-01T00:00:00"/>
    <d v="2011-02-01T00:00:00"/>
    <x v="1"/>
    <x v="1"/>
    <x v="1"/>
    <s v=" Emergency Appeal No.MDRKP002"/>
    <x v="1"/>
    <n v="16000"/>
    <n v="378714"/>
    <n v="378714"/>
    <n v="308055"/>
    <n v="19.2534375"/>
    <n v="100"/>
    <n v="16000"/>
    <m/>
    <n v="16000"/>
    <m/>
    <m/>
    <m/>
    <n v="44653"/>
    <n v="34162"/>
    <n v="2.1351249999999999"/>
    <m/>
    <m/>
    <m/>
    <m/>
    <m/>
    <m/>
    <m/>
    <m/>
    <m/>
    <m/>
    <n v="0"/>
    <n v="0"/>
    <n v="0"/>
    <m/>
    <m/>
    <m/>
    <m/>
    <m/>
    <m/>
    <m/>
    <m/>
  </r>
  <r>
    <n v="131"/>
    <s v="Nepal"/>
    <x v="4"/>
    <d v="2010-05-01T00:00:00"/>
    <d v="2011-02-01T00:00:00"/>
    <x v="1"/>
    <x v="75"/>
    <x v="10"/>
    <s v=" Emergency Appeal No. MDRNP004"/>
    <x v="1"/>
    <n v="312000"/>
    <n v="738960"/>
    <n v="436858"/>
    <n v="436858"/>
    <n v="1.4001858974358974"/>
    <n v="59"/>
    <n v="189000"/>
    <m/>
    <n v="189000"/>
    <m/>
    <m/>
    <n v="189000"/>
    <n v="137551"/>
    <n v="19115"/>
    <n v="0.10113756613756614"/>
    <m/>
    <m/>
    <m/>
    <m/>
    <n v="25"/>
    <m/>
    <m/>
    <m/>
    <m/>
    <m/>
    <n v="0"/>
    <n v="181911"/>
    <n v="107327.49"/>
    <m/>
    <m/>
    <m/>
    <m/>
    <m/>
    <m/>
    <m/>
    <m/>
  </r>
  <r>
    <n v="132"/>
    <s v="Tanzania"/>
    <x v="1"/>
    <d v="2010-01-01T00:00:00"/>
    <d v="2011-12-01T00:00:00"/>
    <x v="1"/>
    <x v="1"/>
    <x v="1"/>
    <s v="Emergency Appeal No.MDRTZ010 "/>
    <x v="1"/>
    <n v="23000"/>
    <n v="923594"/>
    <n v="829794"/>
    <n v="829794"/>
    <n v="36.078000000000003"/>
    <n v="90"/>
    <n v="10000"/>
    <m/>
    <n v="10000"/>
    <s v="yes"/>
    <n v="21"/>
    <n v="5419"/>
    <n v="188574"/>
    <n v="197133"/>
    <n v="19.7133"/>
    <m/>
    <m/>
    <m/>
    <m/>
    <m/>
    <m/>
    <m/>
    <m/>
    <m/>
    <m/>
    <n v="0"/>
    <n v="2400"/>
    <n v="19707"/>
    <m/>
    <m/>
    <m/>
    <m/>
    <m/>
    <m/>
    <m/>
    <m/>
  </r>
  <r>
    <n v="133"/>
    <s v="Morocco "/>
    <x v="3"/>
    <d v="2010-12-01T00:00:00"/>
    <d v="2011-06-01T00:00:00"/>
    <x v="1"/>
    <x v="1"/>
    <x v="1"/>
    <s v="DREF Final Report No. MDRMA004"/>
    <x v="0"/>
    <n v="5000"/>
    <n v="195002"/>
    <n v="195002"/>
    <n v="167162.63999999998"/>
    <n v="33.432527999999998"/>
    <n v="100"/>
    <m/>
    <m/>
    <m/>
    <m/>
    <m/>
    <n v="1000"/>
    <m/>
    <m/>
    <m/>
    <m/>
    <m/>
    <m/>
    <n v="200"/>
    <m/>
    <m/>
    <m/>
    <m/>
    <m/>
    <m/>
    <n v="0"/>
    <n v="32000"/>
    <n v="32000"/>
    <m/>
    <m/>
    <m/>
    <m/>
    <m/>
    <m/>
    <m/>
    <m/>
  </r>
  <r>
    <n v="134"/>
    <s v="Benin"/>
    <x v="1"/>
    <d v="2010-10-01T00:00:00"/>
    <d v="2011-01-01T00:00:00"/>
    <x v="1"/>
    <x v="1"/>
    <x v="1"/>
    <s v=" DREF Final Reoprt No.MDRBJ007"/>
    <x v="0"/>
    <n v="10000"/>
    <n v="183673"/>
    <n v="183673"/>
    <n v="131301"/>
    <n v="13.130100000000001"/>
    <n v="100"/>
    <n v="10000"/>
    <m/>
    <n v="10000"/>
    <s v="yes"/>
    <n v="30"/>
    <n v="10000"/>
    <n v="6500"/>
    <n v="5835"/>
    <n v="0.58350000000000002"/>
    <m/>
    <n v="7500"/>
    <n v="50"/>
    <m/>
    <m/>
    <m/>
    <m/>
    <m/>
    <m/>
    <m/>
    <n v="7500"/>
    <s v="N/A"/>
    <s v="N/A"/>
    <m/>
    <m/>
    <m/>
    <m/>
    <m/>
    <m/>
    <m/>
    <m/>
  </r>
  <r>
    <n v="135"/>
    <s v="Ghana"/>
    <x v="1"/>
    <d v="2010-10-01T00:00:00"/>
    <d v="2011-01-01T00:00:00"/>
    <x v="1"/>
    <x v="1"/>
    <x v="1"/>
    <s v=" DREF Final Report No. MDRGH003"/>
    <x v="0"/>
    <n v="7500"/>
    <n v="122297"/>
    <n v="122297"/>
    <n v="122049"/>
    <n v="16.273199999999999"/>
    <n v="100"/>
    <n v="7500"/>
    <m/>
    <n v="7500"/>
    <s v="no"/>
    <n v="90"/>
    <m/>
    <n v="0"/>
    <n v="3296"/>
    <n v="0.43946666666666667"/>
    <s v="N/A"/>
    <m/>
    <m/>
    <m/>
    <m/>
    <n v="1500"/>
    <s v="N/A"/>
    <s v="N/A"/>
    <s v="N/A"/>
    <s v="N/A"/>
    <n v="0"/>
    <s v="N/A"/>
    <s v="N/A"/>
    <m/>
    <m/>
    <m/>
    <m/>
    <m/>
    <m/>
    <s v="No"/>
    <s v="no"/>
  </r>
  <r>
    <n v="136"/>
    <s v="Togo"/>
    <x v="1"/>
    <d v="2010-10-01T00:00:00"/>
    <d v="2011-01-01T00:00:00"/>
    <x v="1"/>
    <x v="24"/>
    <x v="1"/>
    <s v=" DREF Final Report No. MDRTG003"/>
    <x v="0"/>
    <n v="8750"/>
    <n v="244001"/>
    <n v="244001"/>
    <n v="215166"/>
    <n v="24.590399999999999"/>
    <n v="100"/>
    <m/>
    <m/>
    <m/>
    <s v="no"/>
    <n v="50"/>
    <n v="7500"/>
    <n v="12250"/>
    <n v="10136"/>
    <m/>
    <s v="N/A"/>
    <n v="7500"/>
    <n v="20"/>
    <s v="no"/>
    <s v="no"/>
    <n v="3000"/>
    <s v="no"/>
    <s v="no"/>
    <s v="no"/>
    <s v="no"/>
    <n v="7500"/>
    <n v="0"/>
    <n v="0"/>
    <m/>
    <m/>
    <m/>
    <m/>
    <m/>
    <m/>
    <s v="No"/>
    <s v="no"/>
  </r>
  <r>
    <n v="137"/>
    <s v="Senegal"/>
    <x v="1"/>
    <d v="2010-08-01T00:00:00"/>
    <d v="2010-11-01T00:00:00"/>
    <x v="1"/>
    <x v="1"/>
    <x v="1"/>
    <s v=" DREF Final Report No. MDRSN003"/>
    <x v="0"/>
    <n v="7500"/>
    <n v="180396"/>
    <n v="180396"/>
    <n v="157770"/>
    <n v="21.036000000000001"/>
    <n v="100"/>
    <n v="7500"/>
    <n v="125"/>
    <n v="7500"/>
    <s v="yes"/>
    <n v="50"/>
    <n v="7500"/>
    <n v="35922"/>
    <n v="42817"/>
    <n v="5.7089333333333334"/>
    <m/>
    <n v="7500"/>
    <n v="30"/>
    <m/>
    <m/>
    <n v="3000"/>
    <m/>
    <m/>
    <m/>
    <m/>
    <n v="7500"/>
    <n v="0"/>
    <n v="0"/>
    <m/>
    <m/>
    <m/>
    <m/>
    <m/>
    <m/>
    <m/>
    <m/>
  </r>
  <r>
    <n v="138"/>
    <s v="Guinea"/>
    <x v="1"/>
    <d v="2010-10-01T00:00:00"/>
    <d v="2011-01-01T00:00:00"/>
    <x v="1"/>
    <x v="1"/>
    <x v="1"/>
    <s v=" DREF Final Report No. MDRGN003"/>
    <x v="0"/>
    <n v="5000"/>
    <n v="174302"/>
    <n v="174302"/>
    <n v="173333"/>
    <n v="34.666600000000003"/>
    <n v="100"/>
    <n v="5000"/>
    <n v="200"/>
    <n v="5000"/>
    <s v="yes"/>
    <n v="75"/>
    <n v="5000"/>
    <n v="20663"/>
    <n v="21291"/>
    <n v="4.2582000000000004"/>
    <m/>
    <n v="5000"/>
    <m/>
    <m/>
    <m/>
    <n v="2000"/>
    <m/>
    <m/>
    <m/>
    <m/>
    <n v="5000"/>
    <n v="0"/>
    <n v="0"/>
    <m/>
    <m/>
    <m/>
    <m/>
    <m/>
    <m/>
    <m/>
    <m/>
  </r>
  <r>
    <n v="139"/>
    <s v="Mali"/>
    <x v="1"/>
    <d v="2010-09-01T00:00:00"/>
    <d v="2010-12-01T00:00:00"/>
    <x v="1"/>
    <x v="1"/>
    <x v="1"/>
    <s v=" DREF Final Report No. MDRML005"/>
    <x v="0"/>
    <n v="5840"/>
    <n v="253865"/>
    <n v="236309"/>
    <n v="236309"/>
    <n v="40.463869863013699"/>
    <n v="100"/>
    <n v="5840"/>
    <n v="5840"/>
    <n v="5840"/>
    <s v="no"/>
    <m/>
    <n v="5840"/>
    <n v="34868"/>
    <n v="17714"/>
    <n v="3.033219178082192"/>
    <m/>
    <m/>
    <m/>
    <m/>
    <m/>
    <n v="2350"/>
    <m/>
    <m/>
    <m/>
    <m/>
    <n v="0"/>
    <n v="0"/>
    <n v="0"/>
    <m/>
    <m/>
    <m/>
    <m/>
    <m/>
    <m/>
    <m/>
    <m/>
  </r>
  <r>
    <n v="140"/>
    <s v="Nigeria"/>
    <x v="1"/>
    <d v="2010-10-01T00:00:00"/>
    <d v="2011-01-01T00:00:00"/>
    <x v="1"/>
    <x v="1"/>
    <x v="1"/>
    <s v=" DREF Final Report No. MDRNG008"/>
    <x v="0"/>
    <n v="15000"/>
    <n v="301288"/>
    <n v="301288"/>
    <n v="300970"/>
    <n v="20.064666666666668"/>
    <n v="100"/>
    <n v="15000"/>
    <n v="800"/>
    <n v="15000"/>
    <s v="no"/>
    <m/>
    <n v="15000"/>
    <n v="3380"/>
    <n v="25226"/>
    <n v="1.6817333333333333"/>
    <n v="0"/>
    <n v="15000"/>
    <n v="120"/>
    <m/>
    <m/>
    <n v="6000"/>
    <m/>
    <m/>
    <m/>
    <m/>
    <n v="15000"/>
    <n v="12977"/>
    <n v="8508"/>
    <m/>
    <m/>
    <m/>
    <m/>
    <m/>
    <m/>
    <m/>
    <m/>
  </r>
  <r>
    <n v="141"/>
    <s v="Costa Rica"/>
    <x v="0"/>
    <d v="2010-12-01T00:00:00"/>
    <d v="2011-03-01T00:00:00"/>
    <x v="1"/>
    <x v="1"/>
    <x v="1"/>
    <s v=" DREF Final Report No. MDRCR007"/>
    <x v="0"/>
    <n v="5000"/>
    <n v="92709"/>
    <n v="92709"/>
    <n v="79857"/>
    <n v="15.971399999999999"/>
    <n v="100"/>
    <n v="6340"/>
    <n v="0"/>
    <n v="6340"/>
    <s v="no"/>
    <n v="15"/>
    <n v="0"/>
    <n v="24648"/>
    <n v="24455"/>
    <n v="3.8572555205047321"/>
    <m/>
    <m/>
    <m/>
    <m/>
    <m/>
    <m/>
    <m/>
    <m/>
    <m/>
    <m/>
    <m/>
    <m/>
    <m/>
    <m/>
    <m/>
    <m/>
    <m/>
    <m/>
    <m/>
    <m/>
    <m/>
  </r>
  <r>
    <n v="142"/>
    <s v="Belize"/>
    <x v="0"/>
    <d v="2010-01-01T00:00:00"/>
    <d v="2011-04-01T00:00:00"/>
    <x v="1"/>
    <x v="76"/>
    <x v="0"/>
    <s v=" DREF Final Report No. MDRBZ002"/>
    <x v="0"/>
    <n v="1250"/>
    <n v="53996"/>
    <n v="53996"/>
    <n v="44945"/>
    <n v="35.956000000000003"/>
    <n v="100"/>
    <m/>
    <m/>
    <m/>
    <m/>
    <m/>
    <m/>
    <n v="5250"/>
    <n v="5074"/>
    <m/>
    <m/>
    <m/>
    <m/>
    <m/>
    <m/>
    <m/>
    <m/>
    <m/>
    <m/>
    <m/>
    <m/>
    <m/>
    <m/>
    <m/>
    <m/>
    <m/>
    <m/>
    <m/>
    <m/>
    <m/>
    <m/>
  </r>
  <r>
    <n v="143"/>
    <s v="Bosnia and Herzegovina"/>
    <x v="2"/>
    <d v="2010-12-01T00:00:00"/>
    <d v="2011-04-01T00:00:00"/>
    <x v="1"/>
    <x v="1"/>
    <x v="1"/>
    <s v=" DREF Final Report No. MDRBA006"/>
    <x v="0"/>
    <n v="5800"/>
    <n v="218932"/>
    <n v="218932"/>
    <n v="218932"/>
    <n v="37.746896551724134"/>
    <n v="100"/>
    <n v="5800"/>
    <m/>
    <n v="5800"/>
    <s v="no"/>
    <m/>
    <n v="5800"/>
    <n v="0"/>
    <n v="52596"/>
    <n v="9.0682758620689654"/>
    <m/>
    <m/>
    <m/>
    <m/>
    <m/>
    <m/>
    <m/>
    <m/>
    <m/>
    <m/>
    <m/>
    <m/>
    <m/>
    <m/>
    <m/>
    <m/>
    <m/>
    <m/>
    <m/>
    <m/>
    <m/>
  </r>
  <r>
    <n v="144"/>
    <s v="Montenegro"/>
    <x v="2"/>
    <d v="2010-12-01T00:00:00"/>
    <d v="2011-04-01T00:00:00"/>
    <x v="1"/>
    <x v="1"/>
    <x v="1"/>
    <s v="DREF operation n° MDRME004"/>
    <x v="0"/>
    <n v="6630"/>
    <n v="111031"/>
    <n v="111031"/>
    <n v="111031"/>
    <n v="16.746757164404222"/>
    <n v="100"/>
    <m/>
    <m/>
    <n v="6630"/>
    <m/>
    <m/>
    <n v="6630"/>
    <m/>
    <m/>
    <n v="0"/>
    <m/>
    <n v="6630"/>
    <m/>
    <m/>
    <m/>
    <m/>
    <m/>
    <m/>
    <m/>
    <m/>
    <n v="6630"/>
    <m/>
    <m/>
    <m/>
    <m/>
    <m/>
    <m/>
    <m/>
    <m/>
    <m/>
    <m/>
  </r>
  <r>
    <n v="145"/>
    <s v="Serbia"/>
    <x v="2"/>
    <d v="2010-12-01T00:00:00"/>
    <d v="2011-04-01T00:00:00"/>
    <x v="1"/>
    <x v="1"/>
    <x v="1"/>
    <s v="DREF operation n° MDRRS005"/>
    <x v="0"/>
    <n v="4000"/>
    <n v="59800"/>
    <n v="54467"/>
    <n v="54467"/>
    <n v="13.61675"/>
    <n v="100"/>
    <m/>
    <m/>
    <n v="4000"/>
    <m/>
    <m/>
    <n v="4000"/>
    <n v="15400"/>
    <n v="9145"/>
    <n v="2.2862499999999999"/>
    <m/>
    <n v="4000"/>
    <m/>
    <m/>
    <m/>
    <m/>
    <m/>
    <m/>
    <m/>
    <m/>
    <n v="4000"/>
    <m/>
    <m/>
    <m/>
    <m/>
    <m/>
    <m/>
    <m/>
    <m/>
    <m/>
    <m/>
  </r>
  <r>
    <n v="146"/>
    <s v="Jamaica"/>
    <x v="0"/>
    <d v="2010-09-01T00:00:00"/>
    <d v="2011-05-01T00:00:00"/>
    <x v="1"/>
    <x v="77"/>
    <x v="0"/>
    <s v="DREF operation n° MDRJM002"/>
    <x v="0"/>
    <n v="2500"/>
    <n v="150644"/>
    <n v="120514"/>
    <n v="120514"/>
    <n v="48.205599999999997"/>
    <n v="100"/>
    <m/>
    <m/>
    <m/>
    <m/>
    <m/>
    <m/>
    <m/>
    <m/>
    <m/>
    <n v="2500"/>
    <n v="2500"/>
    <n v="30"/>
    <m/>
    <m/>
    <m/>
    <m/>
    <m/>
    <m/>
    <m/>
    <n v="5000"/>
    <m/>
    <m/>
    <m/>
    <m/>
    <m/>
    <m/>
    <m/>
    <m/>
    <m/>
    <m/>
  </r>
  <r>
    <n v="147"/>
    <s v="Niger"/>
    <x v="1"/>
    <d v="2010-08-01T00:00:00"/>
    <d v="2011-04-01T00:00:00"/>
    <x v="1"/>
    <x v="1"/>
    <x v="1"/>
    <s v="DREF Operation n° MDRNE006"/>
    <x v="0"/>
    <n v="10500"/>
    <n v="242119"/>
    <n v="241535"/>
    <n v="241535"/>
    <n v="23.003333333333334"/>
    <n v="100"/>
    <n v="7500"/>
    <n v="40"/>
    <n v="7500"/>
    <m/>
    <n v="100"/>
    <n v="7500"/>
    <m/>
    <m/>
    <n v="0"/>
    <m/>
    <n v="7500"/>
    <m/>
    <m/>
    <m/>
    <n v="3000"/>
    <m/>
    <m/>
    <m/>
    <m/>
    <n v="7500"/>
    <m/>
    <m/>
    <m/>
    <m/>
    <m/>
    <m/>
    <m/>
    <m/>
    <m/>
    <m/>
  </r>
  <r>
    <n v="148"/>
    <s v="Uganda"/>
    <x v="1"/>
    <d v="2010-12-01T00:00:00"/>
    <d v="2011-01-01T00:00:00"/>
    <x v="1"/>
    <x v="61"/>
    <x v="10"/>
    <s v="DREF operation n° MDRUG018"/>
    <x v="0"/>
    <n v="1200000"/>
    <n v="166628"/>
    <n v="166628"/>
    <n v="166628"/>
    <n v="0.13885666666666666"/>
    <n v="100"/>
    <m/>
    <m/>
    <m/>
    <m/>
    <m/>
    <m/>
    <m/>
    <m/>
    <m/>
    <m/>
    <n v="1065043"/>
    <n v="4900"/>
    <m/>
    <m/>
    <m/>
    <m/>
    <m/>
    <m/>
    <m/>
    <n v="1065043"/>
    <m/>
    <m/>
    <m/>
    <m/>
    <m/>
    <m/>
    <m/>
    <m/>
    <m/>
    <m/>
  </r>
  <r>
    <n v="149"/>
    <s v="Kenya"/>
    <x v="1"/>
    <d v="2010-11-01T00:00:00"/>
    <d v="2011-04-01T00:00:00"/>
    <x v="1"/>
    <x v="4"/>
    <x v="3"/>
    <s v="DREF Operation No. MDRKE013"/>
    <x v="0"/>
    <n v="14072"/>
    <n v="253952"/>
    <n v="253952"/>
    <n v="253952"/>
    <n v="18.046617396247868"/>
    <n v="100"/>
    <n v="4000"/>
    <n v="4000"/>
    <n v="4000"/>
    <m/>
    <n v="10"/>
    <n v="8203"/>
    <n v="73543"/>
    <n v="73543"/>
    <n v="18.385750000000002"/>
    <m/>
    <m/>
    <m/>
    <n v="25"/>
    <m/>
    <m/>
    <m/>
    <n v="12900"/>
    <n v="1108"/>
    <m/>
    <n v="1108"/>
    <n v="36666"/>
    <n v="36666"/>
    <m/>
    <m/>
    <m/>
    <m/>
    <m/>
    <m/>
    <m/>
    <m/>
  </r>
  <r>
    <n v="150"/>
    <s v="Russia"/>
    <x v="2"/>
    <d v="2010-10-01T00:00:00"/>
    <d v="2011-05-01T00:00:00"/>
    <x v="1"/>
    <x v="78"/>
    <x v="1"/>
    <s v="DREF operation n° MDRRU009"/>
    <x v="0"/>
    <n v="3000"/>
    <n v="88725"/>
    <n v="88518"/>
    <n v="88518"/>
    <n v="29.506"/>
    <n v="100"/>
    <m/>
    <m/>
    <m/>
    <m/>
    <m/>
    <m/>
    <n v="6000"/>
    <n v="12752"/>
    <m/>
    <n v="138"/>
    <m/>
    <n v="40"/>
    <m/>
    <m/>
    <m/>
    <m/>
    <m/>
    <m/>
    <m/>
    <n v="138"/>
    <m/>
    <n v="441"/>
    <m/>
    <m/>
    <m/>
    <m/>
    <m/>
    <m/>
    <m/>
    <m/>
  </r>
  <r>
    <n v="151"/>
    <s v="Cameroon"/>
    <x v="1"/>
    <d v="2010-06-01T00:00:00"/>
    <d v="2011-04-01T00:00:00"/>
    <x v="1"/>
    <x v="40"/>
    <x v="10"/>
    <s v="DREF operation n° MDRCM009"/>
    <x v="0"/>
    <n v="800000"/>
    <n v="381154"/>
    <n v="370276"/>
    <n v="370276"/>
    <n v="0.46284500000000001"/>
    <n v="100"/>
    <m/>
    <m/>
    <m/>
    <m/>
    <m/>
    <n v="145534"/>
    <n v="100686"/>
    <n v="49231"/>
    <m/>
    <m/>
    <n v="1026038"/>
    <n v="495"/>
    <m/>
    <m/>
    <m/>
    <m/>
    <m/>
    <n v="128"/>
    <m/>
    <n v="1026166"/>
    <n v="19996"/>
    <n v="29316"/>
    <m/>
    <m/>
    <m/>
    <m/>
    <m/>
    <m/>
    <m/>
    <m/>
  </r>
  <r>
    <n v="152"/>
    <s v="Nicaragua"/>
    <x v="0"/>
    <d v="2010-09-01T00:00:00"/>
    <d v="2011-04-01T00:00:00"/>
    <x v="1"/>
    <x v="1"/>
    <x v="1"/>
    <s v="DREF operation n° MDRNI003"/>
    <x v="0"/>
    <n v="5000"/>
    <n v="242122"/>
    <n v="232396"/>
    <n v="232396"/>
    <n v="46.479199999999999"/>
    <n v="96"/>
    <m/>
    <m/>
    <m/>
    <m/>
    <m/>
    <m/>
    <n v="24060"/>
    <n v="20588"/>
    <m/>
    <n v="2954"/>
    <n v="2954"/>
    <n v="19"/>
    <m/>
    <m/>
    <n v="2000"/>
    <m/>
    <m/>
    <m/>
    <m/>
    <n v="5908"/>
    <n v="1504"/>
    <n v="1443.84"/>
    <m/>
    <m/>
    <m/>
    <m/>
    <m/>
    <m/>
    <m/>
    <m/>
  </r>
  <r>
    <n v="153"/>
    <s v="Colombia "/>
    <x v="0"/>
    <d v="2010-06-01T00:00:00"/>
    <d v="2011-03-01T00:00:00"/>
    <x v="1"/>
    <x v="1"/>
    <x v="1"/>
    <s v="DREF operation n° MDRCO007"/>
    <x v="0"/>
    <n v="2500"/>
    <n v="68288"/>
    <n v="51470"/>
    <n v="51470"/>
    <n v="20.588000000000001"/>
    <n v="75"/>
    <n v="5105"/>
    <m/>
    <n v="5105"/>
    <m/>
    <m/>
    <n v="2500"/>
    <m/>
    <m/>
    <n v="0"/>
    <m/>
    <m/>
    <n v="25"/>
    <m/>
    <m/>
    <n v="1500"/>
    <m/>
    <m/>
    <m/>
    <m/>
    <n v="0"/>
    <n v="2931"/>
    <n v="3214"/>
    <m/>
    <m/>
    <m/>
    <m/>
    <m/>
    <m/>
    <m/>
    <m/>
  </r>
  <r>
    <n v="154"/>
    <s v="South Africa"/>
    <x v="1"/>
    <d v="2010-04-01T00:00:00"/>
    <d v="2011-03-01T00:00:00"/>
    <x v="1"/>
    <x v="79"/>
    <x v="10"/>
    <s v="DREF operation n° MDRZA003"/>
    <x v="0"/>
    <n v="15000"/>
    <n v="41159"/>
    <n v="41159"/>
    <n v="39600"/>
    <n v="2.64"/>
    <n v="100"/>
    <m/>
    <m/>
    <m/>
    <m/>
    <m/>
    <m/>
    <m/>
    <n v="73"/>
    <m/>
    <m/>
    <n v="15000"/>
    <n v="80"/>
    <s v="yes"/>
    <m/>
    <m/>
    <m/>
    <m/>
    <m/>
    <m/>
    <n v="15000"/>
    <m/>
    <m/>
    <m/>
    <m/>
    <m/>
    <m/>
    <m/>
    <m/>
    <m/>
    <m/>
  </r>
  <r>
    <n v="155"/>
    <s v="China"/>
    <x v="4"/>
    <d v="2010-08-01T00:00:00"/>
    <d v="2011-01-01T00:00:00"/>
    <x v="1"/>
    <x v="1"/>
    <x v="1"/>
    <s v="DREF operation n° MDRCN004"/>
    <x v="0"/>
    <n v="20000"/>
    <n v="493628"/>
    <n v="475243"/>
    <n v="475243"/>
    <n v="23.762149999999998"/>
    <n v="100"/>
    <m/>
    <m/>
    <m/>
    <m/>
    <m/>
    <n v="5000"/>
    <m/>
    <m/>
    <m/>
    <m/>
    <m/>
    <n v="25"/>
    <m/>
    <m/>
    <m/>
    <m/>
    <m/>
    <m/>
    <m/>
    <n v="0"/>
    <n v="15000"/>
    <n v="15000"/>
    <m/>
    <m/>
    <m/>
    <m/>
    <m/>
    <m/>
    <m/>
    <m/>
  </r>
  <r>
    <n v="156"/>
    <s v="Cameroon"/>
    <x v="1"/>
    <d v="2010-08-01T00:00:00"/>
    <d v="2011-02-01T00:00:00"/>
    <x v="1"/>
    <x v="1"/>
    <x v="1"/>
    <s v="DREF operation n° DRCM010"/>
    <x v="0"/>
    <n v="3000"/>
    <n v="153062"/>
    <n v="150294"/>
    <n v="150294"/>
    <n v="50.097999999999999"/>
    <n v="98"/>
    <m/>
    <m/>
    <m/>
    <m/>
    <m/>
    <n v="3000"/>
    <m/>
    <m/>
    <m/>
    <m/>
    <n v="3000"/>
    <n v="30"/>
    <m/>
    <m/>
    <n v="1200"/>
    <m/>
    <m/>
    <m/>
    <m/>
    <n v="3000"/>
    <m/>
    <m/>
    <m/>
    <m/>
    <m/>
    <m/>
    <m/>
    <m/>
    <m/>
    <m/>
  </r>
  <r>
    <n v="157"/>
    <s v="Myanmar"/>
    <x v="4"/>
    <d v="2010-10-01T00:00:00"/>
    <d v="2011-02-01T00:00:00"/>
    <x v="1"/>
    <x v="80"/>
    <x v="0"/>
    <s v="DREF operation n° MDRMM003"/>
    <x v="0"/>
    <n v="18750"/>
    <n v="250000"/>
    <n v="250000"/>
    <n v="249186"/>
    <n v="13.28992"/>
    <n v="100"/>
    <n v="2915"/>
    <m/>
    <n v="2915"/>
    <m/>
    <m/>
    <m/>
    <m/>
    <n v="5869"/>
    <n v="2.0133790737564321"/>
    <m/>
    <m/>
    <n v="150"/>
    <m/>
    <m/>
    <n v="10000"/>
    <m/>
    <m/>
    <m/>
    <m/>
    <n v="0"/>
    <m/>
    <m/>
    <m/>
    <m/>
    <m/>
    <m/>
    <m/>
    <m/>
    <m/>
    <m/>
  </r>
  <r>
    <n v="158"/>
    <s v="Central African Republic"/>
    <x v="1"/>
    <d v="2010-08-01T00:00:00"/>
    <d v="2011-02-01T00:00:00"/>
    <x v="1"/>
    <x v="1"/>
    <x v="1"/>
    <s v="DREF operation n° MDRCF007"/>
    <x v="0"/>
    <n v="6144"/>
    <n v="145252"/>
    <n v="137910"/>
    <n v="137910"/>
    <n v="22.4462890625"/>
    <n v="95"/>
    <n v="2598"/>
    <n v="2598"/>
    <n v="2598"/>
    <m/>
    <m/>
    <n v="6144"/>
    <n v="14930"/>
    <n v="6041"/>
    <n v="2.3252501924557354"/>
    <m/>
    <n v="6144"/>
    <n v="55"/>
    <m/>
    <m/>
    <n v="660"/>
    <m/>
    <m/>
    <m/>
    <m/>
    <n v="6144"/>
    <n v="1071"/>
    <n v="1211"/>
    <m/>
    <m/>
    <m/>
    <m/>
    <m/>
    <m/>
    <m/>
    <m/>
  </r>
  <r>
    <n v="159"/>
    <s v="India"/>
    <x v="4"/>
    <d v="2010-08-01T00:00:00"/>
    <d v="2010-12-01T00:00:00"/>
    <x v="1"/>
    <x v="7"/>
    <x v="1"/>
    <s v="DREF operation n° MDRIN005"/>
    <x v="0"/>
    <n v="40000"/>
    <n v="54543"/>
    <n v="54143"/>
    <n v="47145"/>
    <n v="1.178625"/>
    <n v="100"/>
    <n v="3600"/>
    <m/>
    <n v="3600"/>
    <m/>
    <m/>
    <n v="3600"/>
    <n v="4762"/>
    <n v="822"/>
    <n v="0.22833333333333333"/>
    <m/>
    <m/>
    <n v="9"/>
    <m/>
    <m/>
    <m/>
    <m/>
    <m/>
    <m/>
    <m/>
    <n v="0"/>
    <m/>
    <m/>
    <m/>
    <m/>
    <m/>
    <m/>
    <m/>
    <m/>
    <m/>
    <m/>
  </r>
  <r>
    <n v="160"/>
    <s v="Indonesia"/>
    <x v="4"/>
    <d v="2010-08-01T00:00:00"/>
    <d v="2010-10-01T00:00:00"/>
    <x v="1"/>
    <x v="81"/>
    <x v="8"/>
    <s v="DREF operation n°MDRID005"/>
    <x v="0"/>
    <n v="5000"/>
    <n v="143243"/>
    <n v="143243"/>
    <n v="81295"/>
    <n v="16.259"/>
    <n v="100"/>
    <n v="1932"/>
    <n v="842"/>
    <n v="1932"/>
    <m/>
    <m/>
    <m/>
    <m/>
    <m/>
    <n v="0"/>
    <n v="268"/>
    <m/>
    <n v="83"/>
    <m/>
    <m/>
    <m/>
    <m/>
    <m/>
    <n v="1171"/>
    <m/>
    <n v="1439"/>
    <m/>
    <m/>
    <m/>
    <m/>
    <m/>
    <m/>
    <m/>
    <m/>
    <m/>
    <m/>
  </r>
  <r>
    <n v="161"/>
    <s v="Gabon"/>
    <x v="1"/>
    <d v="2010-06-01T00:00:00"/>
    <d v="2011-02-01T00:00:00"/>
    <x v="1"/>
    <x v="82"/>
    <x v="10"/>
    <s v="DREF operation n° MDRGA004"/>
    <x v="0"/>
    <n v="49009"/>
    <n v="153013"/>
    <n v="153013"/>
    <n v="153013"/>
    <n v="3.122140831275888"/>
    <n v="88"/>
    <m/>
    <m/>
    <m/>
    <m/>
    <m/>
    <n v="30000"/>
    <n v="1313"/>
    <n v="9199"/>
    <m/>
    <m/>
    <n v="30000"/>
    <n v="100"/>
    <m/>
    <s v="yes"/>
    <n v="12000"/>
    <m/>
    <m/>
    <m/>
    <m/>
    <n v="30000"/>
    <n v="64893"/>
    <n v="21971"/>
    <m/>
    <m/>
    <m/>
    <m/>
    <m/>
    <m/>
    <m/>
    <m/>
  </r>
  <r>
    <n v="162"/>
    <s v="Tajikistan "/>
    <x v="2"/>
    <d v="2010-04-01T00:00:00"/>
    <d v="2011-01-01T00:00:00"/>
    <x v="1"/>
    <x v="83"/>
    <x v="10"/>
    <s v="DREF operation n° MDRTJ009"/>
    <x v="0"/>
    <n v="2692500"/>
    <n v="260221"/>
    <n v="259214"/>
    <n v="259214"/>
    <n v="9.6272609099350051E-2"/>
    <n v="100"/>
    <m/>
    <m/>
    <m/>
    <m/>
    <m/>
    <m/>
    <n v="2040"/>
    <n v="1383"/>
    <m/>
    <m/>
    <n v="664256"/>
    <n v="420"/>
    <m/>
    <m/>
    <m/>
    <m/>
    <m/>
    <m/>
    <m/>
    <n v="664256"/>
    <n v="3720"/>
    <n v="4119"/>
    <m/>
    <m/>
    <m/>
    <m/>
    <m/>
    <m/>
    <m/>
    <m/>
  </r>
  <r>
    <n v="163"/>
    <s v="Panama"/>
    <x v="0"/>
    <d v="2010-07-01T00:00:00"/>
    <d v="2011-01-01T00:00:00"/>
    <x v="1"/>
    <x v="1"/>
    <x v="1"/>
    <s v="DREF operation n° MDRPA006"/>
    <x v="0"/>
    <n v="1100"/>
    <n v="38171"/>
    <n v="31703"/>
    <n v="31703"/>
    <n v="28.82090909090909"/>
    <n v="83"/>
    <n v="500"/>
    <n v="500"/>
    <n v="500"/>
    <m/>
    <m/>
    <n v="500"/>
    <m/>
    <m/>
    <n v="0"/>
    <m/>
    <m/>
    <n v="100"/>
    <m/>
    <m/>
    <n v="660"/>
    <m/>
    <m/>
    <m/>
    <m/>
    <n v="0"/>
    <m/>
    <m/>
    <m/>
    <m/>
    <m/>
    <m/>
    <m/>
    <m/>
    <m/>
    <m/>
  </r>
  <r>
    <n v="164"/>
    <s v="Romania "/>
    <x v="2"/>
    <d v="2010-07-01T00:00:00"/>
    <d v="2011-02-01T00:00:00"/>
    <x v="1"/>
    <x v="1"/>
    <x v="1"/>
    <s v="DREF operation n° MDRRO002"/>
    <x v="0"/>
    <n v="12000"/>
    <n v="29348"/>
    <n v="27879"/>
    <n v="27879"/>
    <n v="2.3232499999999998"/>
    <n v="94"/>
    <n v="11000"/>
    <m/>
    <n v="11000"/>
    <m/>
    <m/>
    <n v="11000"/>
    <m/>
    <m/>
    <n v="0"/>
    <n v="247"/>
    <m/>
    <n v="10"/>
    <m/>
    <m/>
    <m/>
    <m/>
    <m/>
    <n v="43"/>
    <m/>
    <n v="290"/>
    <n v="225"/>
    <n v="222"/>
    <m/>
    <m/>
    <m/>
    <m/>
    <m/>
    <m/>
    <m/>
    <m/>
  </r>
  <r>
    <n v="165"/>
    <s v="South Africa"/>
    <x v="1"/>
    <d v="2010-09-01T00:00:00"/>
    <d v="2010-10-01T00:00:00"/>
    <x v="1"/>
    <x v="84"/>
    <x v="3"/>
    <s v="DREF operation n° MDRZA004"/>
    <x v="0"/>
    <n v="177"/>
    <n v="213905"/>
    <n v="213905"/>
    <n v="207319"/>
    <n v="1171.2937853107344"/>
    <n v="100"/>
    <s v="N/A"/>
    <s v="N/A"/>
    <s v="N/A"/>
    <s v="no"/>
    <s v="missing data"/>
    <s v="missing data"/>
    <n v="3750"/>
    <n v="12929"/>
    <m/>
    <m/>
    <m/>
    <n v="278"/>
    <n v="300"/>
    <s v="N/A"/>
    <s v="N/A"/>
    <s v="N/A"/>
    <s v="N/A"/>
    <s v="N/A"/>
    <s v="N/A"/>
    <n v="0"/>
    <n v="6000"/>
    <n v="6000"/>
    <m/>
    <m/>
    <m/>
    <m/>
    <m/>
    <m/>
    <s v="N/A"/>
    <s v="N/A"/>
  </r>
  <r>
    <n v="166"/>
    <s v="Mauritania"/>
    <x v="1"/>
    <d v="2010-09-01T00:00:00"/>
    <d v="2011-06-01T00:00:00"/>
    <x v="1"/>
    <x v="1"/>
    <x v="1"/>
    <s v="DREF operation n° MDRMR003"/>
    <x v="0"/>
    <n v="5000"/>
    <n v="157253"/>
    <n v="157253"/>
    <n v="157154"/>
    <n v="31.430800000000001"/>
    <n v="100"/>
    <n v="5000"/>
    <n v="500"/>
    <n v="5000"/>
    <s v="no"/>
    <n v="48"/>
    <n v="5000"/>
    <n v="39702"/>
    <n v="4961"/>
    <n v="0.99219999999999997"/>
    <s v="N/A"/>
    <n v="5000"/>
    <n v="20"/>
    <s v="N/A"/>
    <m/>
    <n v="2000"/>
    <s v="N/A"/>
    <s v="N/A"/>
    <s v="N/A"/>
    <s v="N/A"/>
    <n v="5000"/>
    <n v="0"/>
    <n v="10"/>
    <m/>
    <m/>
    <m/>
    <m/>
    <m/>
    <m/>
    <n v="1"/>
    <s v="N/A"/>
  </r>
  <r>
    <n v="167"/>
    <s v="Kyrgyzstan"/>
    <x v="2"/>
    <d v="2010-06-01T00:00:00"/>
    <d v="2010-10-01T00:00:00"/>
    <x v="1"/>
    <x v="85"/>
    <x v="1"/>
    <s v="DREF operation n° MDRKG005"/>
    <x v="0"/>
    <n v="2835"/>
    <n v="100044"/>
    <n v="100044"/>
    <n v="90812"/>
    <n v="32.032451499118167"/>
    <n v="100"/>
    <s v="N/A"/>
    <s v="N/A"/>
    <s v="N/A"/>
    <s v="no"/>
    <s v="N/A"/>
    <n v="2835"/>
    <s v="-"/>
    <s v="-"/>
    <m/>
    <m/>
    <m/>
    <n v="40"/>
    <m/>
    <m/>
    <m/>
    <s v="N/A"/>
    <s v="N/A"/>
    <s v="N/A"/>
    <s v="N/A"/>
    <n v="0"/>
    <s v="-"/>
    <s v="-"/>
    <m/>
    <m/>
    <m/>
    <m/>
    <m/>
    <m/>
    <s v="N/A"/>
    <s v="N/A"/>
  </r>
  <r>
    <n v="168"/>
    <s v="Nicaragua"/>
    <x v="0"/>
    <d v="2010-06-01T00:00:00"/>
    <d v="2010-12-01T00:00:00"/>
    <x v="1"/>
    <x v="1"/>
    <x v="1"/>
    <s v="DREF operation n° MDRNI002"/>
    <x v="0"/>
    <n v="750"/>
    <n v="36248"/>
    <n v="27370"/>
    <n v="27370"/>
    <n v="36.493333333333332"/>
    <n v="76"/>
    <s v="N/A"/>
    <s v="N/A"/>
    <n v="750"/>
    <s v="no"/>
    <m/>
    <n v="750"/>
    <s v="-"/>
    <s v="-"/>
    <m/>
    <s v="N/A"/>
    <n v="750"/>
    <s v="missing data"/>
    <s v="N/A"/>
    <s v="N/A"/>
    <n v="600"/>
    <s v="N/A"/>
    <s v="N/A"/>
    <s v="N/A"/>
    <s v="N/A"/>
    <n v="750"/>
    <s v="-"/>
    <s v="-"/>
    <m/>
    <m/>
    <m/>
    <m/>
    <m/>
    <m/>
    <s v="N/A"/>
    <s v="N/A"/>
  </r>
  <r>
    <n v="169"/>
    <s v="Ghana"/>
    <x v="1"/>
    <d v="2010-07-01T00:00:00"/>
    <d v="2010-12-01T00:00:00"/>
    <x v="1"/>
    <x v="1"/>
    <x v="1"/>
    <s v="DREF operation n° MDRGH002"/>
    <x v="0"/>
    <n v="5000"/>
    <n v="134948"/>
    <n v="134948"/>
    <n v="126117"/>
    <n v="25.223400000000002"/>
    <n v="100"/>
    <n v="5000"/>
    <s v="N/A"/>
    <n v="5000"/>
    <s v="no"/>
    <n v="50"/>
    <n v="5000"/>
    <n v="38"/>
    <n v="38"/>
    <n v="7.6E-3"/>
    <m/>
    <m/>
    <m/>
    <m/>
    <s v="N/A"/>
    <n v="2000"/>
    <s v="N/A"/>
    <s v="N/A"/>
    <s v="N/A"/>
    <s v="N/A"/>
    <n v="0"/>
    <n v="9009"/>
    <n v="4525"/>
    <m/>
    <m/>
    <m/>
    <m/>
    <m/>
    <m/>
    <s v="yes not specified"/>
    <s v="N/A"/>
  </r>
  <r>
    <n v="170"/>
    <s v="Namibia"/>
    <x v="1"/>
    <d v="2010-04-01T00:00:00"/>
    <d v="2010-07-01T00:00:00"/>
    <x v="1"/>
    <x v="1"/>
    <x v="1"/>
    <s v="DREF operation n° MDRNA005"/>
    <x v="0"/>
    <n v="23782"/>
    <n v="156983"/>
    <n v="156697"/>
    <n v="156461"/>
    <n v="6.5789672861828272"/>
    <n v="100"/>
    <n v="15000"/>
    <n v="5360"/>
    <n v="15000"/>
    <s v="yes"/>
    <n v="100"/>
    <n v="15000"/>
    <n v="14000"/>
    <n v="10760"/>
    <n v="0.71733333333333338"/>
    <n v="400"/>
    <n v="15000"/>
    <n v="104"/>
    <n v="95"/>
    <s v="N/A"/>
    <n v="7254"/>
    <s v="N/A"/>
    <n v="3900"/>
    <s v="N/A"/>
    <s v="N/A"/>
    <n v="15400"/>
    <s v="-"/>
    <s v="-"/>
    <m/>
    <m/>
    <m/>
    <m/>
    <m/>
    <m/>
    <s v="N/A"/>
    <s v="N/A"/>
  </r>
  <r>
    <n v="171"/>
    <s v="Moldova"/>
    <x v="2"/>
    <d v="2010-07-01T00:00:00"/>
    <d v="2010-12-01T00:00:00"/>
    <x v="1"/>
    <x v="1"/>
    <x v="1"/>
    <s v="DREF operation n° MDRMD003"/>
    <x v="0"/>
    <n v="8000"/>
    <n v="188100"/>
    <n v="188100"/>
    <n v="183492"/>
    <n v="22.936499999999999"/>
    <n v="100"/>
    <n v="584"/>
    <n v="5000"/>
    <n v="5000"/>
    <s v="no"/>
    <n v="6"/>
    <n v="2500"/>
    <n v="12000"/>
    <n v="12000"/>
    <n v="2.4"/>
    <s v="N/A"/>
    <n v="5000"/>
    <n v="27"/>
    <s v="N/A"/>
    <s v="N/A"/>
    <s v="N/A"/>
    <s v="N/A"/>
    <s v="N/A"/>
    <s v="N/A"/>
    <s v="N/A"/>
    <n v="5000"/>
    <s v="-"/>
    <s v="-"/>
    <m/>
    <m/>
    <m/>
    <m/>
    <m/>
    <m/>
    <s v="yes not specified"/>
    <s v="N/A"/>
  </r>
  <r>
    <n v="172"/>
    <s v="Mozambique"/>
    <x v="1"/>
    <d v="2010-03-01T00:00:00"/>
    <d v="2010-06-01T00:00:00"/>
    <x v="1"/>
    <x v="1"/>
    <x v="1"/>
    <s v="DREF operation n° MDRMZ006"/>
    <x v="0"/>
    <n v="10000"/>
    <n v="282067"/>
    <n v="248352"/>
    <n v="248352"/>
    <n v="24.8352"/>
    <n v="88"/>
    <n v="11860"/>
    <n v="25340"/>
    <n v="25340"/>
    <s v="no"/>
    <n v="322"/>
    <n v="9000"/>
    <n v="32950"/>
    <n v="28996"/>
    <n v="1.144277821625888"/>
    <s v="N/A"/>
    <n v="11400"/>
    <n v="340"/>
    <n v="50"/>
    <s v="N/A"/>
    <n v="150"/>
    <s v="N/A"/>
    <s v="N/A"/>
    <n v="763"/>
    <s v="N/A"/>
    <n v="12163"/>
    <n v="1500"/>
    <n v="1320"/>
    <m/>
    <m/>
    <m/>
    <m/>
    <m/>
    <m/>
    <s v="N/A"/>
    <s v="N/A"/>
  </r>
  <r>
    <n v="173"/>
    <s v="Ukraine"/>
    <x v="2"/>
    <d v="2010-01-01T00:00:00"/>
    <d v="2010-10-01T00:00:00"/>
    <x v="1"/>
    <x v="1"/>
    <x v="1"/>
    <s v="DREF OPERATION NO. MDRUA005"/>
    <x v="0"/>
    <n v="3500"/>
    <n v="244126"/>
    <n v="237790"/>
    <n v="237790"/>
    <n v="67.94"/>
    <n v="97"/>
    <n v="6000"/>
    <m/>
    <n v="6000"/>
    <s v="no"/>
    <s v="missing data"/>
    <n v="6000"/>
    <n v="20400"/>
    <n v="19157"/>
    <n v="3.1928333333333332"/>
    <s v="N/A"/>
    <s v="N/A"/>
    <s v="N/A"/>
    <s v="N/A"/>
    <s v="N/A"/>
    <s v="N/A"/>
    <s v="N/A"/>
    <s v="N/A"/>
    <s v="N/A"/>
    <s v="N/A"/>
    <n v="0"/>
    <s v="-"/>
    <s v="-"/>
    <m/>
    <m/>
    <m/>
    <m/>
    <m/>
    <m/>
    <s v="yes not specified"/>
    <s v="N/A"/>
  </r>
  <r>
    <n v="174"/>
    <s v="Ethiopia"/>
    <x v="1"/>
    <d v="2010-05-01T00:00:00"/>
    <d v="2010-11-01T00:00:00"/>
    <x v="1"/>
    <x v="86"/>
    <x v="3"/>
    <s v="DREF operation n° MDRET008"/>
    <x v="0"/>
    <n v="3000"/>
    <n v="33015"/>
    <n v="31950"/>
    <n v="31950"/>
    <n v="10.65"/>
    <n v="97"/>
    <s v="N/A"/>
    <s v="N/A"/>
    <s v="N/A"/>
    <s v="no"/>
    <s v="N/A"/>
    <s v="N/A"/>
    <s v="-"/>
    <s v="-"/>
    <m/>
    <m/>
    <m/>
    <n v="894"/>
    <n v="900"/>
    <m/>
    <m/>
    <m/>
    <m/>
    <m/>
    <m/>
    <n v="0"/>
    <n v="5000"/>
    <n v="5000"/>
    <m/>
    <m/>
    <m/>
    <m/>
    <m/>
    <m/>
    <s v="N/A"/>
    <s v="N/A"/>
  </r>
  <r>
    <n v="175"/>
    <s v="Ethiopia"/>
    <x v="1"/>
    <d v="2010-02-01T00:00:00"/>
    <d v="2011-08-01T00:00:00"/>
    <x v="1"/>
    <x v="87"/>
    <x v="3"/>
    <s v="Preliminary final report Emergency appeal n° MDRET007"/>
    <x v="1"/>
    <n v="202651"/>
    <n v="30579088"/>
    <n v="5277303"/>
    <n v="3477285"/>
    <n v="17.158982684516729"/>
    <n v="17"/>
    <n v="118500"/>
    <n v="16000"/>
    <n v="118500"/>
    <s v="yes"/>
    <n v="396"/>
    <n v="118500"/>
    <n v="927195"/>
    <n v="157623.15000000002"/>
    <n v="1.3301531645569622"/>
    <m/>
    <m/>
    <m/>
    <m/>
    <m/>
    <m/>
    <m/>
    <m/>
    <m/>
    <m/>
    <n v="0"/>
    <m/>
    <m/>
    <m/>
    <m/>
    <m/>
    <m/>
    <m/>
    <m/>
    <m/>
    <m/>
  </r>
  <r>
    <n v="176"/>
    <s v="Sri Lanka"/>
    <x v="4"/>
    <d v="2010-04-01T00:00:00"/>
    <d v="2012-07-01T00:00:00"/>
    <x v="1"/>
    <x v="88"/>
    <x v="3"/>
    <s v="Emergency appeal n MDRLK002"/>
    <x v="1"/>
    <n v="25000"/>
    <n v="3604299"/>
    <m/>
    <m/>
    <n v="0"/>
    <m/>
    <m/>
    <m/>
    <n v="40000"/>
    <m/>
    <n v="100"/>
    <n v="40000"/>
    <m/>
    <m/>
    <n v="0"/>
    <m/>
    <m/>
    <m/>
    <s v="yes"/>
    <m/>
    <m/>
    <m/>
    <m/>
    <m/>
    <m/>
    <n v="0"/>
    <m/>
    <m/>
    <m/>
    <m/>
    <m/>
    <m/>
    <m/>
    <m/>
    <m/>
    <m/>
  </r>
  <r>
    <n v="177"/>
    <s v="Cambodia"/>
    <x v="4"/>
    <d v="2010-10-01T00:00:00"/>
    <d v="2010-11-01T00:00:00"/>
    <x v="1"/>
    <x v="1"/>
    <x v="1"/>
    <s v="DREF operation n° MDRKH003"/>
    <x v="0"/>
    <n v="49520"/>
    <n v="308682"/>
    <n v="308682"/>
    <n v="308682"/>
    <n v="6.2334814216478192"/>
    <s v="-"/>
    <n v="49520"/>
    <m/>
    <n v="49520"/>
    <s v="no"/>
    <m/>
    <n v="49520"/>
    <m/>
    <m/>
    <n v="0"/>
    <m/>
    <m/>
    <m/>
    <m/>
    <m/>
    <m/>
    <m/>
    <m/>
    <m/>
    <m/>
    <n v="0"/>
    <m/>
    <m/>
    <m/>
    <m/>
    <m/>
    <m/>
    <m/>
    <m/>
    <m/>
    <m/>
  </r>
  <r>
    <n v="178"/>
    <s v="Pakistan"/>
    <x v="4"/>
    <d v="2010-03-01T00:00:00"/>
    <d v="2010-07-01T00:00:00"/>
    <x v="1"/>
    <x v="89"/>
    <x v="3"/>
    <s v="Emergency appeal n° MDRPK003"/>
    <x v="1"/>
    <n v="42000"/>
    <n v="3635713"/>
    <n v="3567518"/>
    <n v="3567518"/>
    <n v="84.940904761904761"/>
    <n v="98.1"/>
    <n v="200"/>
    <n v="725"/>
    <n v="21000"/>
    <s v="yes"/>
    <s v="missing data"/>
    <n v="21000"/>
    <n v="33041"/>
    <n v="66959"/>
    <n v="3.1885238095238093"/>
    <n v="4261"/>
    <s v="missing data"/>
    <n v="3500"/>
    <n v="75"/>
    <s v="N/A"/>
    <n v="6000"/>
    <s v="N/A"/>
    <s v="N/A"/>
    <n v="20000"/>
    <s v="yes"/>
    <n v="24261"/>
    <n v="0"/>
    <n v="126739"/>
    <m/>
    <m/>
    <m/>
    <m/>
    <m/>
    <m/>
    <s v="N/A"/>
    <s v="N/A"/>
  </r>
  <r>
    <n v="179"/>
    <s v="Gabon"/>
    <x v="1"/>
    <d v="2010-04-01T00:00:00"/>
    <d v="2010-08-01T00:00:00"/>
    <x v="1"/>
    <x v="90"/>
    <x v="0"/>
    <s v="DREF operation n° MDRGA003"/>
    <x v="0"/>
    <n v="1150"/>
    <n v="78480"/>
    <n v="78480"/>
    <n v="77799"/>
    <n v="67.651304347826084"/>
    <n v="99.1"/>
    <s v="N/A"/>
    <s v="N/A"/>
    <s v="N/A"/>
    <s v="N/A"/>
    <s v="N/A"/>
    <s v="N/A"/>
    <n v="250"/>
    <n v="42"/>
    <m/>
    <s v="N/A"/>
    <s v="N/A"/>
    <s v="N/A"/>
    <s v="N/A"/>
    <s v="N/A"/>
    <n v="460"/>
    <s v="N/A"/>
    <s v="N/A"/>
    <s v="N/A"/>
    <s v="N/A"/>
    <n v="0"/>
    <n v="1563"/>
    <n v="1014"/>
    <m/>
    <m/>
    <m/>
    <m/>
    <m/>
    <m/>
    <s v="N/A"/>
    <s v="N/A"/>
  </r>
  <r>
    <n v="180"/>
    <s v="Burkina Faso"/>
    <x v="1"/>
    <d v="2010-04-01T00:00:00"/>
    <d v="2010-12-01T00:00:00"/>
    <x v="1"/>
    <x v="91"/>
    <x v="10"/>
    <s v="DREF operation n° MDRBF009"/>
    <x v="0"/>
    <n v="500000"/>
    <n v="172928"/>
    <n v="172757"/>
    <n v="172757"/>
    <n v="0.34551399999999999"/>
    <n v="100"/>
    <s v="N/A"/>
    <s v="N/A"/>
    <s v="N/A"/>
    <s v="no"/>
    <s v="N/A"/>
    <s v="N/A"/>
    <s v="-"/>
    <s v="-"/>
    <m/>
    <s v="N/A"/>
    <n v="840"/>
    <s v="missing data"/>
    <s v="N/A"/>
    <s v="N/A"/>
    <s v="N/A"/>
    <s v="N/A"/>
    <s v="N/A"/>
    <s v="N/A"/>
    <s v="N/A"/>
    <n v="840"/>
    <n v="11066"/>
    <n v="8117"/>
    <m/>
    <m/>
    <m/>
    <m/>
    <m/>
    <m/>
    <s v="N/A"/>
    <s v="N/A"/>
  </r>
  <r>
    <n v="181"/>
    <s v="Indonesia"/>
    <x v="4"/>
    <d v="2010-05-01T00:00:00"/>
    <d v="2011-10-01T00:00:00"/>
    <x v="1"/>
    <x v="92"/>
    <x v="8"/>
    <s v="Emergency appeal n° MDRID001"/>
    <x v="1"/>
    <n v="325000"/>
    <n v="32667430"/>
    <n v="30526980"/>
    <n v="30526980"/>
    <n v="93.929169230769233"/>
    <n v="105"/>
    <n v="600000"/>
    <n v="601000"/>
    <n v="601000"/>
    <s v="no"/>
    <s v="N/A"/>
    <n v="511580"/>
    <n v="117050"/>
    <n v="117050"/>
    <n v="0.19475873544093178"/>
    <s v="missing data"/>
    <s v="missing data"/>
    <s v="missing data"/>
    <s v="yes"/>
    <s v="N/A"/>
    <s v="N/A"/>
    <s v="N/A"/>
    <s v="N/A"/>
    <n v="343"/>
    <s v="N/A"/>
    <n v="343"/>
    <n v="732467"/>
    <n v="731561"/>
    <m/>
    <m/>
    <m/>
    <m/>
    <m/>
    <m/>
    <s v="N/A"/>
    <s v="N/A"/>
  </r>
  <r>
    <n v="182"/>
    <s v="Cameroon"/>
    <x v="1"/>
    <d v="2010-02-01T00:00:00"/>
    <d v="2010-06-01T00:00:00"/>
    <x v="1"/>
    <x v="93"/>
    <x v="10"/>
    <s v="DREF operation n° MDRCM008"/>
    <x v="0"/>
    <n v="16561"/>
    <n v="51028"/>
    <n v="50432"/>
    <n v="50432"/>
    <n v="3.0452267375158506"/>
    <n v="99"/>
    <m/>
    <m/>
    <m/>
    <m/>
    <m/>
    <m/>
    <n v="233"/>
    <n v="475"/>
    <m/>
    <m/>
    <n v="12576"/>
    <n v="127"/>
    <m/>
    <m/>
    <m/>
    <m/>
    <m/>
    <m/>
    <m/>
    <n v="12576"/>
    <n v="233"/>
    <n v="230.67"/>
    <m/>
    <m/>
    <m/>
    <m/>
    <m/>
    <m/>
    <m/>
    <m/>
  </r>
  <r>
    <n v="183"/>
    <s v="Honduras"/>
    <x v="0"/>
    <d v="2010-01-01T00:00:00"/>
    <d v="2010-11-01T00:00:00"/>
    <x v="1"/>
    <x v="45"/>
    <x v="10"/>
    <s v="DREF Operation n° MDRHN004"/>
    <x v="0"/>
    <n v="35065"/>
    <n v="34505"/>
    <n v="32841"/>
    <n v="32841"/>
    <n v="0.93657493226864397"/>
    <n v="95"/>
    <m/>
    <m/>
    <m/>
    <m/>
    <m/>
    <n v="35065"/>
    <m/>
    <m/>
    <m/>
    <m/>
    <m/>
    <m/>
    <m/>
    <m/>
    <m/>
    <m/>
    <m/>
    <m/>
    <m/>
    <n v="0"/>
    <m/>
    <m/>
    <m/>
    <m/>
    <m/>
    <m/>
    <m/>
    <m/>
    <m/>
    <m/>
  </r>
  <r>
    <n v="184"/>
    <s v="Equatorial Guinea"/>
    <x v="1"/>
    <d v="2010-04-01T00:00:00"/>
    <d v="2010-11-01T00:00:00"/>
    <x v="1"/>
    <x v="94"/>
    <x v="6"/>
    <s v="DREF operation n° MDRGQ001"/>
    <x v="0"/>
    <n v="250"/>
    <n v="36139"/>
    <n v="34805"/>
    <n v="34805"/>
    <n v="139.22"/>
    <n v="96"/>
    <m/>
    <m/>
    <m/>
    <m/>
    <m/>
    <m/>
    <n v="1500"/>
    <n v="1440"/>
    <m/>
    <m/>
    <m/>
    <m/>
    <m/>
    <m/>
    <n v="100"/>
    <m/>
    <m/>
    <m/>
    <m/>
    <n v="0"/>
    <n v="1250"/>
    <n v="1200"/>
    <m/>
    <m/>
    <m/>
    <m/>
    <m/>
    <m/>
    <m/>
    <m/>
  </r>
  <r>
    <n v="185"/>
    <s v="Kyrgyzstan"/>
    <x v="2"/>
    <d v="2010-06-01T00:00:00"/>
    <d v="2010-11-01T00:00:00"/>
    <x v="1"/>
    <x v="95"/>
    <x v="10"/>
    <s v="DREF operation n°MDRKG006"/>
    <x v="0"/>
    <n v="227000"/>
    <n v="81579"/>
    <n v="81579"/>
    <n v="78023"/>
    <n v="0.34371365638766521"/>
    <n v="100"/>
    <m/>
    <m/>
    <m/>
    <m/>
    <m/>
    <m/>
    <m/>
    <m/>
    <m/>
    <m/>
    <n v="226041"/>
    <n v="600"/>
    <m/>
    <m/>
    <m/>
    <m/>
    <m/>
    <m/>
    <m/>
    <n v="226041"/>
    <m/>
    <m/>
    <m/>
    <m/>
    <m/>
    <m/>
    <m/>
    <m/>
    <m/>
    <m/>
  </r>
  <r>
    <n v="186"/>
    <s v="Pakistan"/>
    <x v="4"/>
    <d v="2010-06-01T00:00:00"/>
    <d v="2010-10-01T00:00:00"/>
    <x v="1"/>
    <x v="96"/>
    <x v="1"/>
    <s v="DREF operation n° MDRPK004"/>
    <x v="0"/>
    <n v="14700"/>
    <n v="187128"/>
    <n v="187128"/>
    <n v="76385"/>
    <n v="5.1962585034013609"/>
    <n v="100"/>
    <n v="1260"/>
    <n v="1260"/>
    <n v="1260"/>
    <m/>
    <m/>
    <n v="6707"/>
    <n v="14619"/>
    <n v="14619"/>
    <n v="11.602380952380953"/>
    <n v="3689"/>
    <n v="6707"/>
    <m/>
    <m/>
    <m/>
    <m/>
    <m/>
    <m/>
    <n v="7355"/>
    <m/>
    <n v="17751"/>
    <n v="25000"/>
    <n v="25000"/>
    <m/>
    <m/>
    <m/>
    <m/>
    <m/>
    <m/>
    <m/>
    <m/>
  </r>
  <r>
    <n v="187"/>
    <s v="Tajikistan"/>
    <x v="2"/>
    <d v="2010-05-01T00:00:00"/>
    <d v="2010-10-01T00:00:00"/>
    <x v="1"/>
    <x v="97"/>
    <x v="1"/>
    <s v="DREF operation n° MDRTJ010"/>
    <x v="0"/>
    <n v="1200"/>
    <n v="184879"/>
    <n v="184879"/>
    <n v="184879"/>
    <n v="154.06583333333333"/>
    <n v="100"/>
    <n v="1200"/>
    <n v="1200"/>
    <n v="1200"/>
    <m/>
    <m/>
    <n v="1200"/>
    <n v="6120"/>
    <n v="29"/>
    <n v="2.4166666666666666E-2"/>
    <m/>
    <n v="1200"/>
    <m/>
    <m/>
    <m/>
    <m/>
    <m/>
    <m/>
    <m/>
    <m/>
    <n v="1200"/>
    <m/>
    <m/>
    <m/>
    <m/>
    <m/>
    <m/>
    <m/>
    <m/>
    <m/>
    <m/>
  </r>
  <r>
    <n v="188"/>
    <s v="Serbia"/>
    <x v="2"/>
    <d v="2010-03-01T00:00:00"/>
    <d v="2010-09-01T00:00:00"/>
    <x v="1"/>
    <x v="1"/>
    <x v="1"/>
    <s v="DREF operation n° MDRRS003"/>
    <x v="0"/>
    <n v="3150"/>
    <n v="286219"/>
    <n v="286219"/>
    <n v="188419"/>
    <n v="59.815555555555555"/>
    <n v="100"/>
    <m/>
    <m/>
    <m/>
    <m/>
    <m/>
    <n v="3150"/>
    <n v="69900"/>
    <n v="499"/>
    <m/>
    <m/>
    <m/>
    <n v="360"/>
    <m/>
    <m/>
    <m/>
    <m/>
    <m/>
    <m/>
    <m/>
    <n v="0"/>
    <m/>
    <m/>
    <m/>
    <m/>
    <m/>
    <m/>
    <m/>
    <m/>
    <m/>
    <m/>
  </r>
  <r>
    <n v="189"/>
    <s v="Uganda"/>
    <x v="1"/>
    <d v="2010-05-01T00:00:00"/>
    <d v="2010-07-01T00:00:00"/>
    <x v="1"/>
    <x v="29"/>
    <x v="10"/>
    <s v="DREF operation n° MDRUG016"/>
    <x v="0"/>
    <n v="145000"/>
    <n v="178676"/>
    <n v="171839"/>
    <n v="171839"/>
    <n v="1.1850965517241379"/>
    <n v="96"/>
    <n v="145000"/>
    <n v="2715"/>
    <n v="145000"/>
    <s v="yes"/>
    <n v="40"/>
    <n v="145000"/>
    <n v="45819"/>
    <n v="43986.239999999998"/>
    <n v="0.30335337931034484"/>
    <m/>
    <m/>
    <n v="143"/>
    <m/>
    <s v="yes"/>
    <m/>
    <m/>
    <m/>
    <n v="427"/>
    <s v="N/A"/>
    <n v="427"/>
    <n v="16043"/>
    <n v="13417"/>
    <m/>
    <m/>
    <m/>
    <m/>
    <m/>
    <m/>
    <m/>
    <m/>
  </r>
  <r>
    <n v="190"/>
    <s v="Morocco"/>
    <x v="3"/>
    <d v="2010-03-01T00:00:00"/>
    <d v="2010-06-01T00:00:00"/>
    <x v="1"/>
    <x v="7"/>
    <x v="1"/>
    <s v="DREF operation n° MDRMA003"/>
    <x v="0"/>
    <n v="10000"/>
    <n v="200000"/>
    <n v="200000"/>
    <n v="178459"/>
    <n v="17.8459"/>
    <n v="100"/>
    <s v="N/A"/>
    <n v="800"/>
    <n v="800"/>
    <s v="no"/>
    <s v="missing data"/>
    <n v="7500"/>
    <s v="-"/>
    <s v="-"/>
    <m/>
    <n v="300"/>
    <n v="7500"/>
    <s v="missing data"/>
    <m/>
    <m/>
    <m/>
    <m/>
    <m/>
    <m/>
    <m/>
    <n v="7800"/>
    <n v="5000"/>
    <n v="4154"/>
    <m/>
    <m/>
    <m/>
    <m/>
    <m/>
    <m/>
    <m/>
    <m/>
  </r>
  <r>
    <n v="191"/>
    <s v="Egypt"/>
    <x v="3"/>
    <d v="2010-01-01T00:00:00"/>
    <d v="2010-07-01T00:00:00"/>
    <x v="1"/>
    <x v="7"/>
    <x v="1"/>
    <s v="DREF operation n° MDREG009"/>
    <x v="0"/>
    <n v="3500"/>
    <n v="257914"/>
    <n v="257914"/>
    <n v="245024"/>
    <n v="70.006857142857143"/>
    <n v="100"/>
    <s v="N/A"/>
    <s v="N/A"/>
    <s v="N/A"/>
    <s v="no"/>
    <n v="100"/>
    <n v="3500"/>
    <s v="-"/>
    <s v="-"/>
    <m/>
    <n v="3500"/>
    <m/>
    <n v="100"/>
    <m/>
    <m/>
    <m/>
    <m/>
    <m/>
    <m/>
    <m/>
    <n v="3500"/>
    <s v="-"/>
    <s v="-"/>
    <m/>
    <m/>
    <m/>
    <m/>
    <m/>
    <m/>
    <m/>
    <m/>
  </r>
  <r>
    <n v="192"/>
    <s v="Cook Islands"/>
    <x v="4"/>
    <d v="2010-02-01T00:00:00"/>
    <d v="2010-05-01T00:00:00"/>
    <x v="1"/>
    <x v="98"/>
    <x v="0"/>
    <s v="DREF operation n° MDRCK002"/>
    <x v="0"/>
    <n v="1671"/>
    <n v="150000"/>
    <n v="150000"/>
    <n v="149974"/>
    <n v="89.751047277079593"/>
    <n v="100"/>
    <n v="1671"/>
    <s v="N/A"/>
    <n v="1671"/>
    <s v="no"/>
    <n v="18"/>
    <n v="1671"/>
    <n v="10000"/>
    <n v="6599"/>
    <n v="3.9491322561340514"/>
    <n v="265"/>
    <m/>
    <n v="18"/>
    <m/>
    <m/>
    <n v="500"/>
    <m/>
    <m/>
    <m/>
    <m/>
    <n v="265"/>
    <s v="-"/>
    <s v="-"/>
    <m/>
    <m/>
    <m/>
    <m/>
    <m/>
    <m/>
    <m/>
    <m/>
  </r>
  <r>
    <n v="193"/>
    <s v="Pakistan"/>
    <x v="4"/>
    <d v="2010-06-01T00:00:00"/>
    <d v="2010-06-01T00:00:00"/>
    <x v="1"/>
    <x v="99"/>
    <x v="1"/>
    <s v="DREF operation n° MDRPK005"/>
    <x v="0"/>
    <n v="7000"/>
    <n v="50001"/>
    <n v="50000"/>
    <n v="47525"/>
    <n v="6.7892857142857146"/>
    <n v="100"/>
    <s v="N/A"/>
    <s v="N/A"/>
    <s v="N/A"/>
    <s v="no"/>
    <s v="missing data"/>
    <n v="1489"/>
    <s v="-"/>
    <s v="-"/>
    <m/>
    <m/>
    <n v="1489"/>
    <n v="93"/>
    <m/>
    <m/>
    <m/>
    <m/>
    <n v="45"/>
    <m/>
    <n v="384"/>
    <n v="1489"/>
    <s v="-"/>
    <s v="-"/>
    <m/>
    <m/>
    <m/>
    <m/>
    <m/>
    <m/>
    <m/>
    <m/>
  </r>
  <r>
    <n v="194"/>
    <s v="Mongolia "/>
    <x v="4"/>
    <d v="2010-01-01T00:00:00"/>
    <d v="2010-09-01T00:00:00"/>
    <x v="1"/>
    <x v="100"/>
    <x v="6"/>
    <s v="DREF operation n° MDRMN003"/>
    <x v="0"/>
    <n v="6000"/>
    <n v="400000"/>
    <n v="400003"/>
    <n v="362592"/>
    <n v="60.432000000000002"/>
    <n v="100"/>
    <s v="N/A"/>
    <s v="N/A"/>
    <s v="N/A"/>
    <s v="no"/>
    <s v="N/A"/>
    <s v="N/A"/>
    <s v="-"/>
    <s v="-"/>
    <m/>
    <s v="yes"/>
    <s v="missing data"/>
    <s v="missing data"/>
    <m/>
    <m/>
    <m/>
    <m/>
    <m/>
    <m/>
    <m/>
    <n v="0"/>
    <n v="17250"/>
    <n v="18883"/>
    <m/>
    <m/>
    <m/>
    <m/>
    <m/>
    <m/>
    <m/>
    <m/>
  </r>
  <r>
    <n v="195"/>
    <s v="Kazakhstan"/>
    <x v="2"/>
    <d v="2010-03-01T00:00:00"/>
    <d v="2010-08-01T00:00:00"/>
    <x v="1"/>
    <x v="1"/>
    <x v="1"/>
    <s v="DREF operation n° MDRKZ003"/>
    <x v="0"/>
    <n v="8640"/>
    <n v="134552"/>
    <n v="134552"/>
    <n v="134552"/>
    <n v="15.573148148148148"/>
    <n v="100"/>
    <s v="N/A"/>
    <s v="N/A"/>
    <s v="N/A"/>
    <s v="no"/>
    <s v="N/A"/>
    <n v="4720"/>
    <s v="-"/>
    <s v="-"/>
    <m/>
    <m/>
    <m/>
    <n v="40"/>
    <m/>
    <m/>
    <m/>
    <m/>
    <m/>
    <m/>
    <m/>
    <n v="0"/>
    <n v="3300"/>
    <n v="2891"/>
    <m/>
    <m/>
    <m/>
    <m/>
    <m/>
    <m/>
    <m/>
    <m/>
  </r>
  <r>
    <n v="196"/>
    <s v="Sudan "/>
    <x v="1"/>
    <d v="2010-03-01T00:00:00"/>
    <d v="2010-07-01T00:00:00"/>
    <x v="1"/>
    <x v="101"/>
    <x v="3"/>
    <s v="DREF operation n° MDRSD008"/>
    <x v="0"/>
    <n v="50000"/>
    <n v="500000"/>
    <n v="500000"/>
    <n v="499752"/>
    <n v="9.9950399999999995"/>
    <n v="100"/>
    <s v="N/A"/>
    <s v="N/A"/>
    <s v="N/A"/>
    <s v="no"/>
    <s v="N/A"/>
    <s v="N/A"/>
    <s v="-"/>
    <s v="-"/>
    <m/>
    <m/>
    <m/>
    <n v="46917"/>
    <m/>
    <m/>
    <m/>
    <m/>
    <m/>
    <n v="900"/>
    <m/>
    <n v="900"/>
    <n v="252996"/>
    <n v="174502"/>
    <m/>
    <m/>
    <m/>
    <m/>
    <m/>
    <m/>
    <m/>
    <m/>
  </r>
  <r>
    <n v="197"/>
    <s v="Tajikistan"/>
    <x v="2"/>
    <d v="2010-01-01T00:00:00"/>
    <d v="2010-05-01T00:00:00"/>
    <x v="1"/>
    <x v="23"/>
    <x v="8"/>
    <s v="DREF operation n° MDRTJ007"/>
    <x v="0"/>
    <n v="980"/>
    <n v="132022"/>
    <n v="132022"/>
    <n v="131986"/>
    <n v="134.67959183673469"/>
    <n v="100"/>
    <s v="N/A"/>
    <s v="N/A"/>
    <s v="N/A"/>
    <s v="no"/>
    <s v="N/A"/>
    <s v="N/A"/>
    <s v="-"/>
    <s v="-"/>
    <m/>
    <n v="980"/>
    <m/>
    <m/>
    <m/>
    <m/>
    <m/>
    <m/>
    <m/>
    <m/>
    <m/>
    <n v="980"/>
    <s v="-"/>
    <s v="-"/>
    <m/>
    <m/>
    <m/>
    <m/>
    <m/>
    <m/>
    <m/>
    <m/>
  </r>
  <r>
    <n v="198"/>
    <s v="Albania"/>
    <x v="2"/>
    <d v="2010-01-01T00:00:00"/>
    <d v="2010-05-01T00:00:00"/>
    <x v="1"/>
    <x v="1"/>
    <x v="1"/>
    <s v="DREF operation n° MDRAL002"/>
    <x v="0"/>
    <n v="11000"/>
    <n v="302500"/>
    <n v="302500"/>
    <n v="295431"/>
    <n v="26.857363636363637"/>
    <n v="100"/>
    <s v="N/A"/>
    <s v="N/A"/>
    <s v="N/A"/>
    <s v="no"/>
    <n v="30"/>
    <n v="11000"/>
    <s v="-"/>
    <s v="-"/>
    <m/>
    <m/>
    <n v="11000"/>
    <n v="30"/>
    <m/>
    <m/>
    <m/>
    <m/>
    <m/>
    <m/>
    <m/>
    <n v="11000"/>
    <s v="-"/>
    <s v="-"/>
    <m/>
    <m/>
    <m/>
    <m/>
    <m/>
    <m/>
    <m/>
    <m/>
  </r>
  <r>
    <n v="199"/>
    <s v="Madagascar"/>
    <x v="1"/>
    <d v="2010-02-01T00:00:00"/>
    <d v="2010-11-01T00:00:00"/>
    <x v="1"/>
    <x v="102"/>
    <x v="10"/>
    <s v="DREF operation n° MDRMG005"/>
    <x v="0"/>
    <n v="44000"/>
    <n v="34879"/>
    <n v="33245"/>
    <n v="33245"/>
    <n v="0.75556818181818186"/>
    <n v="95"/>
    <m/>
    <m/>
    <m/>
    <m/>
    <m/>
    <m/>
    <m/>
    <n v="1441"/>
    <m/>
    <m/>
    <n v="60183"/>
    <n v="80"/>
    <m/>
    <m/>
    <m/>
    <m/>
    <m/>
    <m/>
    <m/>
    <n v="60183"/>
    <m/>
    <m/>
    <m/>
    <m/>
    <m/>
    <m/>
    <m/>
    <m/>
    <m/>
    <m/>
  </r>
  <r>
    <n v="200"/>
    <s v="Madagascar"/>
    <x v="1"/>
    <d v="2010-03-01T00:00:00"/>
    <d v="2010-11-01T00:00:00"/>
    <x v="1"/>
    <x v="103"/>
    <x v="0"/>
    <s v="DREF operation n° MDRMG006"/>
    <x v="0"/>
    <n v="25000"/>
    <n v="280171"/>
    <n v="265832"/>
    <n v="265832"/>
    <n v="10.633279999999999"/>
    <n v="95"/>
    <n v="18400"/>
    <m/>
    <n v="18400"/>
    <m/>
    <n v="197"/>
    <n v="22977"/>
    <n v="155873"/>
    <n v="132702"/>
    <n v="7.212065217391304"/>
    <m/>
    <m/>
    <m/>
    <m/>
    <m/>
    <m/>
    <m/>
    <m/>
    <m/>
    <m/>
    <n v="0"/>
    <m/>
    <m/>
    <m/>
    <m/>
    <m/>
    <m/>
    <m/>
    <m/>
    <m/>
    <m/>
  </r>
  <r>
    <n v="201"/>
    <s v="Mozambique"/>
    <x v="1"/>
    <d v="2010-04-01T00:00:00"/>
    <d v="2010-07-01T00:00:00"/>
    <x v="1"/>
    <x v="44"/>
    <x v="10"/>
    <s v="DREF operation n° MDRMZ007"/>
    <x v="0"/>
    <n v="15000"/>
    <n v="124385"/>
    <n v="121525"/>
    <n v="117744"/>
    <n v="7.8495999999999997"/>
    <n v="98"/>
    <n v="225722"/>
    <n v="5057"/>
    <n v="225722"/>
    <m/>
    <m/>
    <n v="134725"/>
    <n v="28000"/>
    <n v="27440"/>
    <n v="0.12156546548409106"/>
    <m/>
    <n v="134725"/>
    <n v="2164"/>
    <s v="yes"/>
    <m/>
    <m/>
    <m/>
    <m/>
    <n v="2059"/>
    <m/>
    <n v="136784"/>
    <n v="16000"/>
    <n v="15680"/>
    <m/>
    <m/>
    <m/>
    <m/>
    <m/>
    <m/>
    <m/>
    <m/>
  </r>
  <r>
    <n v="202"/>
    <s v="Zambia"/>
    <x v="1"/>
    <d v="2010-02-01T00:00:00"/>
    <d v="2010-10-01T00:00:00"/>
    <x v="1"/>
    <x v="1"/>
    <x v="1"/>
    <s v="DREF operation n° MDRMZ007"/>
    <x v="0"/>
    <n v="15000"/>
    <n v="155620"/>
    <n v="155311"/>
    <n v="128014"/>
    <n v="8.5342666666666673"/>
    <n v="100"/>
    <n v="1200"/>
    <n v="1200"/>
    <n v="1200"/>
    <m/>
    <m/>
    <n v="1200"/>
    <n v="27400"/>
    <n v="27400"/>
    <n v="22.833333333333332"/>
    <m/>
    <n v="22500"/>
    <n v="50"/>
    <n v="40"/>
    <m/>
    <n v="400"/>
    <m/>
    <m/>
    <m/>
    <m/>
    <n v="22500"/>
    <n v="22500"/>
    <n v="20619"/>
    <m/>
    <m/>
    <m/>
    <m/>
    <m/>
    <m/>
    <m/>
    <m/>
  </r>
  <r>
    <n v="203"/>
    <s v="Rwanda"/>
    <x v="1"/>
    <d v="2010-04-01T00:00:00"/>
    <d v="2010-11-01T00:00:00"/>
    <x v="1"/>
    <x v="104"/>
    <x v="1"/>
    <s v="DREF operation n° MDRRW006"/>
    <x v="0"/>
    <n v="5920"/>
    <n v="177163"/>
    <n v="174150"/>
    <n v="174150"/>
    <n v="29.41722972972973"/>
    <n v="98"/>
    <n v="1010"/>
    <n v="1010"/>
    <n v="1010"/>
    <s v="yes"/>
    <n v="34"/>
    <n v="5920"/>
    <n v="23659"/>
    <n v="23185.82"/>
    <n v="22.956257425742574"/>
    <m/>
    <m/>
    <m/>
    <m/>
    <m/>
    <n v="2040"/>
    <m/>
    <m/>
    <m/>
    <m/>
    <n v="0"/>
    <m/>
    <m/>
    <m/>
    <m/>
    <m/>
    <m/>
    <m/>
    <m/>
    <m/>
    <m/>
  </r>
  <r>
    <n v="204"/>
    <s v="Uganda"/>
    <x v="1"/>
    <d v="2010-03-01T00:00:00"/>
    <d v="2010-04-01T00:00:00"/>
    <x v="1"/>
    <x v="105"/>
    <x v="1"/>
    <s v="DREF operation n° MDRGU015"/>
    <x v="0"/>
    <n v="13000"/>
    <n v="256963"/>
    <n v="253677"/>
    <n v="253677"/>
    <n v="19.513615384615385"/>
    <n v="99"/>
    <s v="missing data"/>
    <s v="N/A"/>
    <s v="N/A"/>
    <s v="no"/>
    <s v="N/A"/>
    <n v="312"/>
    <n v="31400"/>
    <n v="6"/>
    <m/>
    <m/>
    <n v="312"/>
    <m/>
    <m/>
    <m/>
    <m/>
    <m/>
    <m/>
    <m/>
    <m/>
    <n v="312"/>
    <n v="3920"/>
    <n v="3880.8"/>
    <m/>
    <m/>
    <m/>
    <m/>
    <m/>
    <m/>
    <m/>
    <m/>
  </r>
  <r>
    <n v="205"/>
    <s v="Montenegro"/>
    <x v="2"/>
    <d v="2010-01-01T00:00:00"/>
    <d v="2010-04-01T00:00:00"/>
    <x v="1"/>
    <x v="1"/>
    <x v="1"/>
    <s v="DREF operation n° MDRME002"/>
    <x v="0"/>
    <n v="1100"/>
    <n v="83930"/>
    <n v="83930"/>
    <n v="79129"/>
    <n v="71.935454545454547"/>
    <n v="100"/>
    <n v="1100"/>
    <s v="N/A"/>
    <n v="1100"/>
    <s v="no"/>
    <s v="N/A"/>
    <s v="N/A"/>
    <s v="-"/>
    <s v="-"/>
    <m/>
    <m/>
    <m/>
    <m/>
    <m/>
    <m/>
    <m/>
    <m/>
    <m/>
    <m/>
    <m/>
    <n v="0"/>
    <s v="-"/>
    <s v="-"/>
    <m/>
    <m/>
    <m/>
    <m/>
    <m/>
    <m/>
    <m/>
    <m/>
  </r>
  <r>
    <n v="206"/>
    <s v="Caribbean"/>
    <x v="0"/>
    <d v="2010-01-01T00:00:00"/>
    <d v="2010-05-01T00:00:00"/>
    <x v="1"/>
    <x v="50"/>
    <x v="6"/>
    <s v="DREF operation n° MDR49005"/>
    <x v="0"/>
    <s v="missing data"/>
    <n v="23986"/>
    <n v="23432"/>
    <n v="23432"/>
    <m/>
    <n v="98"/>
    <m/>
    <m/>
    <m/>
    <s v="no"/>
    <m/>
    <m/>
    <s v="-"/>
    <s v="-"/>
    <m/>
    <m/>
    <m/>
    <m/>
    <m/>
    <m/>
    <m/>
    <m/>
    <m/>
    <m/>
    <m/>
    <n v="0"/>
    <s v="-"/>
    <s v="-"/>
    <m/>
    <m/>
    <m/>
    <m/>
    <m/>
    <m/>
    <n v="1"/>
    <s v="1 in food and nutrition"/>
  </r>
  <r>
    <n v="207"/>
    <s v="Kenya"/>
    <x v="1"/>
    <d v="2010-05-01T00:00:00"/>
    <d v="2010-10-01T00:00:00"/>
    <x v="1"/>
    <x v="1"/>
    <x v="1"/>
    <s v="Final report Emergency Appeal MDRKE012"/>
    <x v="1"/>
    <n v="141164"/>
    <n v="8757898"/>
    <n v="2375971"/>
    <n v="2402905"/>
    <n v="17.022080700461874"/>
    <n v="27"/>
    <n v="141164"/>
    <m/>
    <n v="141164"/>
    <s v="yes"/>
    <n v="47"/>
    <n v="1506"/>
    <n v="1276540"/>
    <n v="344665.8"/>
    <n v="2.4415984245274998"/>
    <m/>
    <m/>
    <n v="250"/>
    <m/>
    <m/>
    <n v="13157"/>
    <m/>
    <m/>
    <n v="76"/>
    <m/>
    <n v="76"/>
    <n v="472185"/>
    <n v="127489.95"/>
    <m/>
    <m/>
    <m/>
    <m/>
    <m/>
    <m/>
    <m/>
    <m/>
  </r>
  <r>
    <n v="208"/>
    <s v="Uzbekistan"/>
    <x v="2"/>
    <d v="2010-06-01T00:00:00"/>
    <d v="2010-12-01T00:00:00"/>
    <x v="1"/>
    <x v="4"/>
    <x v="3"/>
    <s v="Final report Emergency appeal n° MDRUZ002"/>
    <x v="1"/>
    <n v="100000"/>
    <n v="1166159"/>
    <n v="300000"/>
    <n v="300000"/>
    <n v="3"/>
    <n v="96"/>
    <m/>
    <m/>
    <m/>
    <m/>
    <m/>
    <m/>
    <m/>
    <m/>
    <m/>
    <m/>
    <m/>
    <m/>
    <m/>
    <m/>
    <m/>
    <m/>
    <m/>
    <m/>
    <m/>
    <n v="0"/>
    <n v="78000"/>
    <m/>
    <m/>
    <m/>
    <m/>
    <m/>
    <m/>
    <m/>
    <m/>
    <m/>
  </r>
  <r>
    <n v="209"/>
    <s v="Kyrgyzstan"/>
    <x v="2"/>
    <d v="2010-06-01T00:00:00"/>
    <d v="2011-05-01T00:00:00"/>
    <x v="1"/>
    <x v="22"/>
    <x v="3"/>
    <s v="Final report Emergency appeal n° MDRKG007"/>
    <x v="1"/>
    <n v="5265"/>
    <n v="965069"/>
    <n v="453070"/>
    <n v="451575"/>
    <n v="85.769230769230774"/>
    <n v="47"/>
    <n v="5265"/>
    <m/>
    <n v="5265"/>
    <s v="no"/>
    <m/>
    <n v="5265"/>
    <n v="26640"/>
    <n v="36434"/>
    <n v="6.9200379867046538"/>
    <n v="4286"/>
    <m/>
    <n v="60"/>
    <m/>
    <m/>
    <m/>
    <m/>
    <m/>
    <m/>
    <m/>
    <n v="4286"/>
    <n v="7600"/>
    <n v="2485"/>
    <m/>
    <m/>
    <m/>
    <m/>
    <m/>
    <m/>
    <m/>
    <m/>
  </r>
  <r>
    <n v="210"/>
    <s v="Mongolia"/>
    <x v="4"/>
    <d v="2010-03-01T00:00:00"/>
    <d v="2010-10-01T00:00:00"/>
    <x v="1"/>
    <x v="18"/>
    <x v="6"/>
    <s v="Final Report Emergency appeal n° MDRMN004"/>
    <x v="1"/>
    <n v="13600"/>
    <n v="1312670"/>
    <n v="1310155"/>
    <n v="1310155"/>
    <n v="96.334926470588229"/>
    <n v="100"/>
    <m/>
    <m/>
    <m/>
    <m/>
    <m/>
    <m/>
    <s v="-"/>
    <s v="-"/>
    <m/>
    <m/>
    <m/>
    <m/>
    <m/>
    <m/>
    <m/>
    <m/>
    <m/>
    <m/>
    <m/>
    <n v="0"/>
    <n v="31300"/>
    <n v="31235"/>
    <m/>
    <m/>
    <m/>
    <m/>
    <m/>
    <m/>
    <m/>
    <m/>
  </r>
  <r>
    <n v="211"/>
    <s v="Montenegro"/>
    <x v="2"/>
    <d v="2010-11-01T00:00:00"/>
    <d v="2011-02-01T00:00:00"/>
    <x v="1"/>
    <x v="1"/>
    <x v="1"/>
    <s v="DREF operation MDRME003"/>
    <x v="0"/>
    <n v="1350"/>
    <n v="50255"/>
    <n v="50255"/>
    <n v="50255"/>
    <n v="37.225925925925928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12"/>
    <s v="Peru "/>
    <x v="0"/>
    <d v="2010-02-01T00:00:00"/>
    <d v="2010-12-01T00:00:00"/>
    <x v="1"/>
    <x v="1"/>
    <x v="1"/>
    <s v="DREF operation n° MDRPE004"/>
    <x v="0"/>
    <n v="19399"/>
    <n v="291903"/>
    <n v="229865"/>
    <n v="229865"/>
    <n v="11.849322130006701"/>
    <n v="79"/>
    <n v="11120"/>
    <m/>
    <n v="11120"/>
    <m/>
    <m/>
    <n v="6040"/>
    <n v="20029"/>
    <n v="18893"/>
    <n v="1.6990107913669066"/>
    <n v="6040"/>
    <n v="6040"/>
    <n v="39"/>
    <m/>
    <m/>
    <m/>
    <m/>
    <m/>
    <m/>
    <m/>
    <n v="12080"/>
    <m/>
    <m/>
    <m/>
    <m/>
    <m/>
    <m/>
    <m/>
    <m/>
    <s v="yes, not specified"/>
    <m/>
  </r>
  <r>
    <n v="213"/>
    <s v="Chad"/>
    <x v="1"/>
    <d v="2010-04-01T00:00:00"/>
    <d v="2010-12-01T00:00:00"/>
    <x v="1"/>
    <x v="106"/>
    <x v="3"/>
    <s v="Emergency appeal n°MDRTD004"/>
    <x v="1"/>
    <n v="400425"/>
    <n v="1252369"/>
    <n v="1048247"/>
    <n v="872070"/>
    <n v="2.1778610226634201"/>
    <n v="84"/>
    <m/>
    <m/>
    <m/>
    <m/>
    <m/>
    <m/>
    <m/>
    <n v="4556"/>
    <m/>
    <m/>
    <m/>
    <m/>
    <m/>
    <m/>
    <m/>
    <m/>
    <m/>
    <m/>
    <m/>
    <n v="0"/>
    <m/>
    <m/>
    <m/>
    <m/>
    <m/>
    <m/>
    <m/>
    <m/>
    <m/>
    <m/>
  </r>
  <r>
    <n v="214"/>
    <s v="Thailand"/>
    <x v="4"/>
    <d v="2010-10-01T00:00:00"/>
    <d v="2010-12-01T00:00:00"/>
    <x v="1"/>
    <x v="63"/>
    <x v="1"/>
    <s v="DREF operation n° MDRTH001"/>
    <x v="0"/>
    <n v="11832"/>
    <n v="356617"/>
    <n v="356617"/>
    <n v="356617"/>
    <n v="30.140043948613929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15"/>
    <s v="Uganda"/>
    <x v="1"/>
    <d v="2010-07-01T00:00:00"/>
    <d v="2010-09-01T00:00:00"/>
    <x v="1"/>
    <x v="107"/>
    <x v="12"/>
    <s v="DREF operation n° MDRUG017"/>
    <x v="0"/>
    <n v="400000"/>
    <n v="112097"/>
    <n v="112097"/>
    <n v="112097"/>
    <n v="0.28024250000000001"/>
    <n v="100"/>
    <m/>
    <m/>
    <m/>
    <m/>
    <m/>
    <m/>
    <m/>
    <m/>
    <m/>
    <m/>
    <n v="55"/>
    <m/>
    <m/>
    <m/>
    <m/>
    <m/>
    <m/>
    <m/>
    <m/>
    <n v="55"/>
    <n v="31604"/>
    <m/>
    <m/>
    <m/>
    <m/>
    <m/>
    <m/>
    <m/>
    <m/>
    <m/>
  </r>
  <r>
    <n v="216"/>
    <s v="West Africa  (Liberia, Burkina Faso, Ghana, Guinea-Conakry and Mali)"/>
    <x v="1"/>
    <d v="2010-12-01T00:00:00"/>
    <d v="2011-12-01T00:00:00"/>
    <x v="1"/>
    <x v="4"/>
    <x v="3"/>
    <s v="Emergency appeal n° MDR61007 "/>
    <x v="1"/>
    <n v="57500"/>
    <n v="4872842"/>
    <n v="2902469"/>
    <n v="2902469"/>
    <n v="50.477721739130438"/>
    <n v="59"/>
    <n v="50000"/>
    <n v="50000"/>
    <n v="50000"/>
    <s v="yes"/>
    <n v="150"/>
    <n v="50000"/>
    <n v="649981"/>
    <n v="383488.79"/>
    <n v="7.6697757999999991"/>
    <n v="10000"/>
    <n v="250"/>
    <n v="57500"/>
    <n v="150"/>
    <n v="30"/>
    <n v="23000"/>
    <m/>
    <m/>
    <m/>
    <m/>
    <n v="10250"/>
    <n v="15251"/>
    <m/>
    <m/>
    <m/>
    <m/>
    <m/>
    <m/>
    <m/>
    <m/>
    <m/>
  </r>
  <r>
    <n v="217"/>
    <s v="Chile"/>
    <x v="0"/>
    <d v="2010-02-01T00:00:00"/>
    <d v="2013-03-01T00:00:00"/>
    <x v="1"/>
    <x v="23"/>
    <x v="8"/>
    <s v="Emergency appeal n° MDRCL006 "/>
    <x v="1"/>
    <n v="50000"/>
    <n v="16075870"/>
    <n v="14389505"/>
    <n v="7803419"/>
    <n v="156.06837999999999"/>
    <n v="90"/>
    <m/>
    <n v="2000"/>
    <n v="2000"/>
    <s v="yes"/>
    <n v="7"/>
    <n v="50000"/>
    <n v="740954"/>
    <n v="131603"/>
    <n v="65.801500000000004"/>
    <m/>
    <m/>
    <m/>
    <m/>
    <m/>
    <m/>
    <m/>
    <m/>
    <m/>
    <m/>
    <n v="0"/>
    <n v="150046"/>
    <n v="85"/>
    <m/>
    <m/>
    <m/>
    <m/>
    <n v="1"/>
    <n v="2"/>
    <m/>
    <m/>
  </r>
  <r>
    <n v="218"/>
    <s v="Haiti"/>
    <x v="0"/>
    <d v="2010-01-01T00:00:00"/>
    <d v="2014-12-01T00:00:00"/>
    <x v="1"/>
    <x v="23"/>
    <x v="8"/>
    <s v="Emergency appeal n° MDRHT008 Operations update n° 30"/>
    <x v="1"/>
    <n v="400000"/>
    <n v="247279612"/>
    <n v="224347532"/>
    <n v="156006676"/>
    <n v="390.01668999999998"/>
    <n v="91"/>
    <n v="22500"/>
    <n v="37295"/>
    <n v="137082"/>
    <s v="yes"/>
    <n v="561"/>
    <n v="136202"/>
    <n v="20956936"/>
    <n v="19607395"/>
    <n v="143.03405990574984"/>
    <m/>
    <n v="136202"/>
    <n v="55"/>
    <n v="211"/>
    <n v="29"/>
    <n v="5159"/>
    <m/>
    <n v="15319"/>
    <m/>
    <m/>
    <n v="136202"/>
    <n v="1079729"/>
    <n v="720865"/>
    <m/>
    <n v="2"/>
    <n v="3"/>
    <m/>
    <n v="2"/>
    <n v="4"/>
    <m/>
    <m/>
  </r>
  <r>
    <n v="219"/>
    <s v="Pakistan"/>
    <x v="4"/>
    <d v="2010-08-01T00:00:00"/>
    <d v="2011-07-01T00:00:00"/>
    <x v="1"/>
    <x v="108"/>
    <x v="1"/>
    <s v="Emergency Appeal MDRPK006"/>
    <x v="1"/>
    <n v="1600000"/>
    <n v="129768678"/>
    <n v="77200222"/>
    <n v="56188166"/>
    <n v="35.117603750000001"/>
    <n v="71"/>
    <n v="156500"/>
    <n v="20025"/>
    <n v="156500"/>
    <s v="yes"/>
    <n v="18"/>
    <n v="12994"/>
    <n v="7326300"/>
    <n v="2008803"/>
    <n v="12.835801916932907"/>
    <m/>
    <n v="935823"/>
    <n v="312"/>
    <m/>
    <m/>
    <m/>
    <m/>
    <m/>
    <n v="60016"/>
    <m/>
    <n v="995839"/>
    <n v="2537500"/>
    <n v="708664"/>
    <m/>
    <n v="2"/>
    <n v="1"/>
    <n v="1"/>
    <m/>
    <n v="2"/>
    <s v="yes, not specified"/>
    <m/>
  </r>
  <r>
    <n v="220"/>
    <s v="Syria"/>
    <x v="3"/>
    <d v="2010-01-01T00:00:00"/>
    <d v="2010-12-01T00:00:00"/>
    <x v="1"/>
    <x v="109"/>
    <x v="3"/>
    <s v="Emergency appeal n° MDRSY002"/>
    <x v="1"/>
    <n v="68000"/>
    <n v="3216107"/>
    <m/>
    <m/>
    <n v="0"/>
    <m/>
    <m/>
    <m/>
    <m/>
    <m/>
    <m/>
    <n v="13000"/>
    <m/>
    <m/>
    <m/>
    <m/>
    <n v="20"/>
    <n v="45000"/>
    <m/>
    <m/>
    <m/>
    <m/>
    <m/>
    <m/>
    <m/>
    <n v="20"/>
    <n v="1145000"/>
    <m/>
    <m/>
    <m/>
    <m/>
    <m/>
    <m/>
    <m/>
    <m/>
    <m/>
  </r>
  <r>
    <n v="221"/>
    <s v="Venezuela"/>
    <x v="0"/>
    <d v="2010-12-01T00:00:00"/>
    <d v="2011-08-01T00:00:00"/>
    <x v="1"/>
    <x v="1"/>
    <x v="1"/>
    <s v="Emergency appeal n° MDRVE001"/>
    <x v="1"/>
    <n v="12500"/>
    <n v="575146"/>
    <n v="429887"/>
    <n v="429887"/>
    <n v="34.39096"/>
    <m/>
    <m/>
    <m/>
    <m/>
    <m/>
    <m/>
    <n v="5255"/>
    <n v="276750"/>
    <n v="196822"/>
    <m/>
    <n v="750"/>
    <m/>
    <n v="87"/>
    <m/>
    <m/>
    <m/>
    <m/>
    <m/>
    <m/>
    <m/>
    <n v="750"/>
    <m/>
    <m/>
    <m/>
    <m/>
    <m/>
    <m/>
    <m/>
    <m/>
    <m/>
    <m/>
  </r>
  <r>
    <n v="222"/>
    <s v="Central America (Nicaragua, Honduras, Belize, Guatemala and Mexico)"/>
    <x v="0"/>
    <d v="2010-09-01T00:00:00"/>
    <d v="2010-12-01T00:00:00"/>
    <x v="1"/>
    <x v="110"/>
    <x v="0"/>
    <s v="DREF operation n° MDR43006"/>
    <x v="0"/>
    <n v="7600"/>
    <n v="20000"/>
    <n v="18317"/>
    <n v="18317"/>
    <n v="2.4101315789473685"/>
    <n v="92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23"/>
    <s v="Antigua and barbuda"/>
    <x v="0"/>
    <d v="2010-09-01T00:00:00"/>
    <d v="2010-12-01T00:00:00"/>
    <x v="1"/>
    <x v="111"/>
    <x v="0"/>
    <s v="DREF operation n° MDRAG002"/>
    <x v="0"/>
    <n v="525"/>
    <n v="51127"/>
    <n v="49006"/>
    <n v="49006"/>
    <n v="93.34476190476191"/>
    <n v="96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24"/>
    <s v="Albania"/>
    <x v="2"/>
    <d v="2010-12-01T00:00:00"/>
    <d v="2011-03-01T00:00:00"/>
    <x v="1"/>
    <x v="112"/>
    <x v="1"/>
    <s v="DREF operation n° MDRAL003"/>
    <x v="0"/>
    <n v="12000"/>
    <m/>
    <m/>
    <n v="204030.57"/>
    <n v="17.002547500000002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25"/>
    <s v="Azerbeijan"/>
    <x v="2"/>
    <d v="2010-05-01T00:00:00"/>
    <d v="2010-09-01T00:00:00"/>
    <x v="1"/>
    <x v="1"/>
    <x v="1"/>
    <s v="DREF operation n° MDRAZ002"/>
    <x v="0"/>
    <n v="2195"/>
    <m/>
    <m/>
    <n v="171321"/>
    <n v="78.050569476082003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26"/>
    <s v="Bangladesh"/>
    <x v="4"/>
    <d v="2010-01-01T00:00:00"/>
    <d v="2010-03-01T00:00:00"/>
    <x v="1"/>
    <x v="100"/>
    <x v="6"/>
    <s v="DREF operation n° MDRBD005"/>
    <x v="0"/>
    <n v="50000"/>
    <m/>
    <m/>
    <n v="200989.66"/>
    <n v="4.0197932000000005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27"/>
    <s v="Bangladesh"/>
    <x v="4"/>
    <d v="2010-04-01T00:00:00"/>
    <d v="2010-08-01T00:00:00"/>
    <x v="1"/>
    <x v="113"/>
    <x v="0"/>
    <s v="DREF operation n° MDRBD006"/>
    <x v="0"/>
    <n v="22500"/>
    <m/>
    <m/>
    <n v="251252.61"/>
    <n v="11.166782666666666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28"/>
    <s v="Bangladesh"/>
    <x v="4"/>
    <d v="2010-06-01T00:00:00"/>
    <d v="2010-09-01T00:00:00"/>
    <x v="1"/>
    <x v="114"/>
    <x v="1"/>
    <s v="DREF operation n°MDRBD007"/>
    <x v="0"/>
    <n v="6500"/>
    <m/>
    <m/>
    <n v="109677.84"/>
    <n v="16.873513846153845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29"/>
    <s v="Burundi"/>
    <x v="1"/>
    <d v="2010-04-01T00:00:00"/>
    <d v="2010-08-01T00:00:00"/>
    <x v="1"/>
    <x v="86"/>
    <x v="3"/>
    <s v="DREF operation n° MDRBI005"/>
    <x v="0"/>
    <n v="60000"/>
    <m/>
    <m/>
    <n v="21291.05"/>
    <n v="0.35485083333333334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30"/>
    <s v="Brazil"/>
    <x v="0"/>
    <d v="2010-04-01T00:00:00"/>
    <d v="2010-07-01T00:00:00"/>
    <x v="1"/>
    <x v="1"/>
    <x v="1"/>
    <s v="DREF operation n° MDRBR005"/>
    <x v="0"/>
    <n v="15000"/>
    <m/>
    <m/>
    <n v="151580.1"/>
    <n v="10.10534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31"/>
    <s v="Costa Rica"/>
    <x v="0"/>
    <d v="2010-11-01T00:00:00"/>
    <d v="2010-02-01T00:00:00"/>
    <x v="1"/>
    <x v="1"/>
    <x v="1"/>
    <s v="DREF operation n° MDRCR006"/>
    <x v="0"/>
    <n v="3020"/>
    <m/>
    <m/>
    <n v="20143.73"/>
    <n v="6.6701092715231782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32"/>
    <s v="Ethiopia"/>
    <x v="1"/>
    <d v="2010-09-01T00:00:00"/>
    <d v="2010-11-01T00:00:00"/>
    <x v="1"/>
    <x v="1"/>
    <x v="1"/>
    <s v="DREF operation n° MDRET009"/>
    <x v="0"/>
    <n v="25000"/>
    <m/>
    <m/>
    <n v="130813.95"/>
    <n v="5.232558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33"/>
    <s v="Honduras"/>
    <x v="0"/>
    <d v="2010-06-01T00:00:00"/>
    <d v="2010-08-01T00:00:00"/>
    <x v="1"/>
    <x v="113"/>
    <x v="0"/>
    <s v="DREF operation n° MDRHN003"/>
    <x v="0"/>
    <n v="2460"/>
    <m/>
    <m/>
    <n v="76915.7"/>
    <n v="31.266544715447154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34"/>
    <s v="India "/>
    <x v="4"/>
    <d v="2010-09-01T00:00:00"/>
    <d v="2011-03-01T00:00:00"/>
    <x v="1"/>
    <x v="1"/>
    <x v="1"/>
    <s v="DREF operation n° MDRIN006"/>
    <x v="0"/>
    <n v="25000"/>
    <m/>
    <m/>
    <n v="145824.09"/>
    <n v="5.8329636000000002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35"/>
    <s v="Lebanon"/>
    <x v="3"/>
    <d v="2010-02-01T00:00:00"/>
    <d v="2010-05-01T00:00:00"/>
    <x v="1"/>
    <x v="115"/>
    <x v="2"/>
    <s v="DREF operation n° MDRLB002"/>
    <x v="0"/>
    <n v="23701"/>
    <m/>
    <m/>
    <n v="23700.07"/>
    <n v="0.99996076114931853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36"/>
    <s v="Marocco "/>
    <x v="3"/>
    <d v="2010-01-01T00:00:00"/>
    <d v="2010-03-01T00:00:00"/>
    <x v="1"/>
    <x v="7"/>
    <x v="1"/>
    <s v="DREF operation n° MDRMA002"/>
    <x v="0"/>
    <n v="1875"/>
    <m/>
    <m/>
    <n v="75552.92"/>
    <n v="40.294890666666667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37"/>
    <s v="Russia"/>
    <x v="2"/>
    <d v="2010-08-01T00:00:00"/>
    <d v="2010-12-01T00:00:00"/>
    <x v="1"/>
    <x v="116"/>
    <x v="6"/>
    <s v="DREF operation n° MDRRU008"/>
    <x v="0"/>
    <n v="5067"/>
    <m/>
    <m/>
    <n v="111771.35"/>
    <n v="22.05868363923426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238"/>
    <s v="Russia"/>
    <x v="2"/>
    <d v="2010-05-01T00:00:00"/>
    <d v="2010-11-01T00:00:00"/>
    <x v="1"/>
    <x v="117"/>
    <x v="12"/>
    <m/>
    <x v="0"/>
    <n v="250"/>
    <m/>
    <m/>
    <n v="27878.9"/>
    <n v="111.51560000000001"/>
    <m/>
    <m/>
    <m/>
    <m/>
    <m/>
    <m/>
    <m/>
    <m/>
    <m/>
    <m/>
    <n v="250"/>
    <m/>
    <m/>
    <m/>
    <m/>
    <m/>
    <m/>
    <m/>
    <m/>
    <m/>
    <n v="250"/>
    <m/>
    <m/>
    <m/>
    <m/>
    <m/>
    <m/>
    <m/>
    <m/>
    <m/>
    <m/>
  </r>
  <r>
    <n v="239"/>
    <s v="Malawi"/>
    <x v="1"/>
    <d v="2010-12-01T00:00:00"/>
    <d v="2010-09-01T00:00:00"/>
    <x v="1"/>
    <x v="118"/>
    <x v="10"/>
    <s v="DREF operation n° MDRMW006"/>
    <x v="0"/>
    <n v="80000"/>
    <n v="125701"/>
    <n v="125701"/>
    <n v="106244"/>
    <n v="1.32805"/>
    <n v="100"/>
    <m/>
    <m/>
    <m/>
    <m/>
    <m/>
    <m/>
    <m/>
    <m/>
    <m/>
    <m/>
    <n v="70000"/>
    <n v="800"/>
    <s v="Yes "/>
    <s v="yes"/>
    <m/>
    <m/>
    <m/>
    <m/>
    <m/>
    <n v="70000"/>
    <n v="9738"/>
    <n v="9738"/>
    <m/>
    <m/>
    <m/>
    <m/>
    <m/>
    <m/>
    <m/>
    <m/>
  </r>
  <r>
    <n v="240"/>
    <s v="Gabon"/>
    <x v="1"/>
    <d v="2009-04-20T00:00:00"/>
    <m/>
    <x v="2"/>
    <x v="119"/>
    <x v="0"/>
    <s v="DREF operation n° MDRGA002"/>
    <x v="0"/>
    <n v="800"/>
    <n v="58070"/>
    <n v="57708"/>
    <n v="57708"/>
    <n v="72.135000000000005"/>
    <n v="99"/>
    <s v="N/A"/>
    <s v="N/A"/>
    <n v="1600"/>
    <s v="no"/>
    <s v="N/A"/>
    <s v="N/A"/>
    <s v="N/A"/>
    <s v="N/A"/>
    <m/>
    <s v="N/A"/>
    <s v="N/A"/>
    <s v="N/A"/>
    <s v="N/A"/>
    <s v="N/A"/>
    <n v="320"/>
    <s v="N/A"/>
    <s v="N/A"/>
    <s v="N/A"/>
    <s v="N/A"/>
    <n v="0"/>
    <s v="N/A"/>
    <s v="N/A"/>
    <m/>
    <s v="N/A"/>
    <s v="N/A"/>
    <s v="N/A"/>
    <s v="N/A"/>
    <s v="N/A"/>
    <s v="N/A"/>
    <s v="yes"/>
  </r>
  <r>
    <n v="241"/>
    <s v="Haiti"/>
    <x v="0"/>
    <d v="2009-09-01T00:00:00"/>
    <d v="2010-05-01T00:00:00"/>
    <x v="2"/>
    <x v="1"/>
    <x v="1"/>
    <s v="DREF operation n° MDRHT006"/>
    <x v="0"/>
    <n v="815"/>
    <n v="50118"/>
    <n v="39868"/>
    <n v="39868"/>
    <n v="48.917791411042941"/>
    <n v="80"/>
    <n v="815"/>
    <s v="N/A"/>
    <n v="815"/>
    <s v="no"/>
    <s v="N/A"/>
    <s v="N/A"/>
    <n v="11777"/>
    <n v="9791"/>
    <n v="12.013496932515338"/>
    <m/>
    <m/>
    <m/>
    <m/>
    <m/>
    <m/>
    <m/>
    <m/>
    <m/>
    <m/>
    <n v="0"/>
    <s v="-"/>
    <s v="-"/>
    <m/>
    <m/>
    <m/>
    <m/>
    <m/>
    <m/>
    <s v="yes not specified"/>
    <m/>
  </r>
  <r>
    <n v="242"/>
    <s v="Russia"/>
    <x v="2"/>
    <d v="2009-12-01T00:00:00"/>
    <d v="2010-07-01T00:00:00"/>
    <x v="2"/>
    <x v="120"/>
    <x v="12"/>
    <s v="DREF operation n° MDRRU005"/>
    <x v="0"/>
    <n v="1000"/>
    <n v="29592"/>
    <n v="29592"/>
    <n v="24835"/>
    <n v="24.835000000000001"/>
    <n v="100"/>
    <s v="N/A"/>
    <s v="N/A"/>
    <s v="N/A"/>
    <s v="no"/>
    <s v="N/A"/>
    <s v="N/A"/>
    <s v="-"/>
    <s v="-"/>
    <m/>
    <n v="1000"/>
    <m/>
    <s v="missing data"/>
    <m/>
    <m/>
    <m/>
    <m/>
    <m/>
    <m/>
    <m/>
    <n v="1000"/>
    <s v="-"/>
    <s v="-"/>
    <m/>
    <m/>
    <m/>
    <m/>
    <m/>
    <m/>
    <m/>
    <m/>
  </r>
  <r>
    <n v="243"/>
    <s v="Central African Republic"/>
    <x v="1"/>
    <d v="2009-05-04T00:00:00"/>
    <d v="2009-10-01T00:00:00"/>
    <x v="2"/>
    <x v="121"/>
    <x v="0"/>
    <s v="DREF operation n° MDRCF005"/>
    <x v="0"/>
    <n v="1230"/>
    <n v="81924"/>
    <n v="81122"/>
    <n v="81122"/>
    <n v="65.952845528455285"/>
    <n v="100"/>
    <n v="1230"/>
    <s v="Missing data"/>
    <n v="1230"/>
    <s v="no"/>
    <n v="180"/>
    <n v="1230"/>
    <s v="N/A"/>
    <n v="1936"/>
    <n v="1.5739837398373984"/>
    <s v="N/A"/>
    <s v="N/A"/>
    <s v="N/A"/>
    <s v="N/A"/>
    <s v="N/A"/>
    <n v="492"/>
    <s v="N/A"/>
    <s v="N/A"/>
    <s v="N/A"/>
    <s v="N/A"/>
    <n v="0"/>
    <s v="N/A"/>
    <s v="N/A"/>
    <m/>
    <s v="N/A"/>
    <s v="N/A"/>
    <s v="N/A"/>
    <s v="N/A"/>
    <s v="N/A"/>
    <s v="N/A"/>
    <s v="N/A"/>
  </r>
  <r>
    <n v="244"/>
    <s v="Panama"/>
    <x v="0"/>
    <d v="2009-11-01T00:00:00"/>
    <d v="2010-02-01T00:00:00"/>
    <x v="2"/>
    <x v="1"/>
    <x v="1"/>
    <s v="DREF operation n° MDRPA005"/>
    <x v="0"/>
    <n v="1250"/>
    <n v="55038"/>
    <n v="47471"/>
    <n v="47471"/>
    <n v="37.976799999999997"/>
    <n v="86"/>
    <n v="1250"/>
    <s v="N/A"/>
    <n v="1250"/>
    <s v="no"/>
    <s v="N/A"/>
    <s v="N/A"/>
    <s v="-"/>
    <s v="-"/>
    <m/>
    <m/>
    <m/>
    <m/>
    <m/>
    <m/>
    <n v="1500"/>
    <m/>
    <m/>
    <m/>
    <m/>
    <n v="0"/>
    <s v="-"/>
    <s v="-"/>
    <m/>
    <m/>
    <m/>
    <m/>
    <m/>
    <m/>
    <m/>
    <m/>
  </r>
  <r>
    <n v="245"/>
    <s v="Central African Republic"/>
    <x v="1"/>
    <d v="2009-02-02T00:00:00"/>
    <m/>
    <x v="2"/>
    <x v="122"/>
    <x v="0"/>
    <s v="DREF operation n° MDRCF004"/>
    <x v="0"/>
    <n v="1390"/>
    <n v="91644"/>
    <n v="74493"/>
    <n v="74493"/>
    <n v="53.592086330935253"/>
    <n v="81"/>
    <s v="Missing data"/>
    <s v="Missing data"/>
    <n v="1738"/>
    <s v="no"/>
    <n v="30"/>
    <n v="2329"/>
    <s v="Missing"/>
    <n v="143"/>
    <n v="8.2278481012658222E-2"/>
    <s v="N/A"/>
    <s v="N/A"/>
    <s v="N/A"/>
    <s v="N/A"/>
    <s v="N/A"/>
    <n v="278"/>
    <s v="N/A"/>
    <s v="N/A"/>
    <s v="N/A"/>
    <s v="N/A"/>
    <n v="0"/>
    <s v="N/A"/>
    <s v="N/A"/>
    <m/>
    <s v="N/A"/>
    <s v="N/A"/>
    <s v="N/A"/>
    <s v="N/A"/>
    <s v="N/A"/>
    <s v="N/A"/>
    <s v="N/A"/>
  </r>
  <r>
    <n v="246"/>
    <s v="Russia"/>
    <x v="2"/>
    <d v="2009-07-01T00:00:00"/>
    <d v="2010-09-01T00:00:00"/>
    <x v="2"/>
    <x v="5"/>
    <x v="4"/>
    <s v="DREF operation n° MDRRU004"/>
    <x v="0"/>
    <n v="2100"/>
    <n v="29973"/>
    <n v="29973"/>
    <n v="29905"/>
    <n v="14.240476190476191"/>
    <n v="100"/>
    <n v="1800"/>
    <m/>
    <n v="1800"/>
    <m/>
    <n v="12"/>
    <m/>
    <n v="9500"/>
    <n v="9500"/>
    <n v="5.2777777777777777"/>
    <n v="300"/>
    <m/>
    <m/>
    <m/>
    <m/>
    <m/>
    <m/>
    <m/>
    <m/>
    <m/>
    <n v="300"/>
    <m/>
    <m/>
    <m/>
    <m/>
    <m/>
    <m/>
    <m/>
    <m/>
    <m/>
    <m/>
  </r>
  <r>
    <n v="247"/>
    <s v="Gambia"/>
    <x v="1"/>
    <d v="2009-07-01T00:00:00"/>
    <d v="2009-10-01T00:00:00"/>
    <x v="2"/>
    <x v="123"/>
    <x v="0"/>
    <s v="DREF operation n° MDRGM005"/>
    <x v="0"/>
    <n v="2124"/>
    <n v="75305"/>
    <n v="75240"/>
    <n v="75240"/>
    <n v="35.423728813559322"/>
    <n v="100"/>
    <m/>
    <m/>
    <m/>
    <m/>
    <n v="40"/>
    <s v="missing data"/>
    <s v="-"/>
    <s v="-"/>
    <m/>
    <m/>
    <m/>
    <n v="40"/>
    <m/>
    <m/>
    <n v="300"/>
    <m/>
    <m/>
    <m/>
    <m/>
    <n v="0"/>
    <s v="-"/>
    <s v="-"/>
    <m/>
    <m/>
    <m/>
    <m/>
    <m/>
    <m/>
    <m/>
    <m/>
  </r>
  <r>
    <n v="248"/>
    <s v="Haiti"/>
    <x v="0"/>
    <d v="2009-11-01T00:00:00"/>
    <d v="2010-05-01T00:00:00"/>
    <x v="2"/>
    <x v="1"/>
    <x v="1"/>
    <s v="DREF operation n° MDRHT007"/>
    <x v="0"/>
    <n v="2500"/>
    <n v="105656"/>
    <n v="82066"/>
    <n v="82066"/>
    <n v="32.8264"/>
    <n v="78"/>
    <n v="2500"/>
    <s v="N/A"/>
    <s v="N/A"/>
    <s v="no"/>
    <s v="N/A"/>
    <s v="N/A"/>
    <n v="9717"/>
    <n v="7579.26"/>
    <m/>
    <m/>
    <m/>
    <m/>
    <m/>
    <m/>
    <n v="1000"/>
    <m/>
    <m/>
    <m/>
    <m/>
    <n v="0"/>
    <n v="3068"/>
    <n v="3214"/>
    <m/>
    <m/>
    <m/>
    <m/>
    <m/>
    <m/>
    <s v="yes not specified"/>
    <m/>
  </r>
  <r>
    <n v="249"/>
    <s v="Botswana"/>
    <x v="1"/>
    <d v="2009-06-01T00:00:00"/>
    <d v="2009-12-01T00:00:00"/>
    <x v="2"/>
    <x v="1"/>
    <x v="1"/>
    <s v="DREF operation n° MDRBW001"/>
    <x v="0"/>
    <n v="3100"/>
    <n v="153978"/>
    <n v="153978"/>
    <n v="135301"/>
    <n v="43.645483870967745"/>
    <n v="100"/>
    <n v="3100"/>
    <s v="N/A"/>
    <n v="3100"/>
    <s v="no"/>
    <s v="missing data"/>
    <n v="3100"/>
    <n v="12000"/>
    <n v="13512"/>
    <n v="4.3587096774193546"/>
    <s v="N/A"/>
    <s v="N/A"/>
    <s v="N/A"/>
    <s v="N/A"/>
    <s v="N/A"/>
    <s v="N/A"/>
    <s v="N/A"/>
    <s v="N/A"/>
    <s v="N/A"/>
    <s v="N/A"/>
    <n v="0"/>
    <m/>
    <m/>
    <m/>
    <m/>
    <m/>
    <m/>
    <m/>
    <m/>
    <s v="N/A"/>
    <s v="N/A"/>
  </r>
  <r>
    <n v="250"/>
    <s v="Serbia"/>
    <x v="2"/>
    <d v="2009-11-01T00:00:00"/>
    <d v="2010-03-01T00:00:00"/>
    <x v="2"/>
    <x v="1"/>
    <x v="1"/>
    <s v="DREF operation n° MDRRS002"/>
    <x v="0"/>
    <n v="3210"/>
    <n v="51027"/>
    <n v="51027"/>
    <n v="41478"/>
    <n v="12.921495327102804"/>
    <n v="100"/>
    <m/>
    <s v="N/A"/>
    <n v="450"/>
    <s v="no"/>
    <n v="8"/>
    <n v="3210"/>
    <n v="6600"/>
    <n v="6600"/>
    <n v="14.666666666666666"/>
    <m/>
    <m/>
    <m/>
    <m/>
    <m/>
    <m/>
    <m/>
    <m/>
    <m/>
    <m/>
    <n v="0"/>
    <s v="-"/>
    <s v="-"/>
    <m/>
    <m/>
    <m/>
    <m/>
    <m/>
    <m/>
    <m/>
    <m/>
  </r>
  <r>
    <n v="251"/>
    <s v="Tajikistan"/>
    <x v="2"/>
    <d v="2009-05-01T00:00:00"/>
    <d v="2010-06-01T00:00:00"/>
    <x v="2"/>
    <x v="124"/>
    <x v="1"/>
    <s v="Emergency appeal n° MDRTJ005"/>
    <x v="1"/>
    <n v="4320"/>
    <n v="892624"/>
    <n v="812327"/>
    <n v="798541"/>
    <n v="184.84745370370371"/>
    <n v="91"/>
    <n v="2410"/>
    <m/>
    <n v="2410"/>
    <m/>
    <m/>
    <n v="2410"/>
    <n v="21761"/>
    <n v="2523"/>
    <n v="1.0468879668049793"/>
    <m/>
    <n v="2410"/>
    <m/>
    <m/>
    <m/>
    <m/>
    <m/>
    <m/>
    <m/>
    <m/>
    <n v="2410"/>
    <n v="1440"/>
    <n v="773"/>
    <m/>
    <m/>
    <m/>
    <m/>
    <m/>
    <m/>
    <m/>
    <m/>
  </r>
  <r>
    <n v="252"/>
    <s v="Samoa"/>
    <x v="4"/>
    <d v="2009-10-01T00:00:00"/>
    <d v="2011-05-01T00:00:00"/>
    <x v="2"/>
    <x v="125"/>
    <x v="8"/>
    <s v="Emergency Appeal No.MDRWS001"/>
    <x v="1"/>
    <n v="5000"/>
    <n v="2506427"/>
    <n v="2202703"/>
    <n v="2202703"/>
    <n v="440.54059999999998"/>
    <n v="87.7"/>
    <n v="5000"/>
    <n v="1700"/>
    <n v="5000"/>
    <m/>
    <n v="38"/>
    <n v="5000"/>
    <n v="489078"/>
    <n v="489078"/>
    <n v="97.815600000000003"/>
    <s v="yes"/>
    <n v="2910"/>
    <n v="30"/>
    <s v="yes"/>
    <m/>
    <m/>
    <m/>
    <m/>
    <m/>
    <m/>
    <n v="2910"/>
    <n v="4342"/>
    <n v="4342"/>
    <m/>
    <m/>
    <m/>
    <m/>
    <m/>
    <m/>
    <s v="yes not specified"/>
    <m/>
  </r>
  <r>
    <n v="253"/>
    <s v="Papua New Guinea"/>
    <x v="4"/>
    <d v="2009-09-01T00:00:00"/>
    <d v="2010-11-01T00:00:00"/>
    <x v="2"/>
    <x v="126"/>
    <x v="10"/>
    <s v="DREF operation n° MDRPG004"/>
    <x v="0"/>
    <n v="5000"/>
    <n v="359058"/>
    <n v="359058"/>
    <n v="246774"/>
    <n v="49.354799999999997"/>
    <n v="100"/>
    <m/>
    <m/>
    <m/>
    <m/>
    <n v="11"/>
    <n v="50535"/>
    <n v="16000"/>
    <n v="16000"/>
    <m/>
    <m/>
    <n v="50535"/>
    <n v="366"/>
    <m/>
    <m/>
    <m/>
    <m/>
    <m/>
    <n v="111"/>
    <m/>
    <n v="50646"/>
    <m/>
    <m/>
    <m/>
    <m/>
    <m/>
    <m/>
    <m/>
    <m/>
    <m/>
    <m/>
  </r>
  <r>
    <n v="254"/>
    <s v="Turkey"/>
    <x v="2"/>
    <d v="2009-09-01T00:00:00"/>
    <d v="2009-02-01T00:00:00"/>
    <x v="2"/>
    <x v="1"/>
    <x v="1"/>
    <s v="DREF operation n° MDRTR001"/>
    <x v="0"/>
    <n v="5000"/>
    <n v="294118"/>
    <n v="294118"/>
    <n v="290840"/>
    <n v="58.167999999999999"/>
    <n v="100"/>
    <m/>
    <m/>
    <n v="5000"/>
    <m/>
    <n v="223"/>
    <n v="5000"/>
    <n v="75000"/>
    <n v="75000"/>
    <n v="15"/>
    <m/>
    <m/>
    <m/>
    <m/>
    <m/>
    <m/>
    <m/>
    <m/>
    <m/>
    <m/>
    <n v="0"/>
    <m/>
    <m/>
    <m/>
    <m/>
    <m/>
    <m/>
    <m/>
    <m/>
    <m/>
    <m/>
  </r>
  <r>
    <n v="255"/>
    <s v="Czech Republic"/>
    <x v="2"/>
    <d v="2009-07-01T00:00:00"/>
    <d v="2010-01-01T00:00:00"/>
    <x v="2"/>
    <x v="1"/>
    <x v="1"/>
    <s v="DREF operation n° MDRCZ001"/>
    <x v="0"/>
    <n v="5000"/>
    <n v="295187"/>
    <n v="295187"/>
    <n v="247435"/>
    <n v="49.487000000000002"/>
    <n v="100"/>
    <n v="3150"/>
    <m/>
    <n v="3150"/>
    <m/>
    <n v="500"/>
    <n v="3150"/>
    <n v="266000"/>
    <n v="266000"/>
    <n v="84.444444444444443"/>
    <m/>
    <m/>
    <m/>
    <m/>
    <m/>
    <m/>
    <m/>
    <m/>
    <m/>
    <m/>
    <n v="0"/>
    <m/>
    <m/>
    <m/>
    <m/>
    <m/>
    <m/>
    <m/>
    <m/>
    <m/>
    <m/>
  </r>
  <r>
    <n v="256"/>
    <s v="Ghana"/>
    <x v="1"/>
    <d v="2009-07-01T00:00:00"/>
    <d v="2009-11-01T00:00:00"/>
    <x v="2"/>
    <x v="1"/>
    <x v="1"/>
    <s v="DREF operation n° MDRGH001"/>
    <x v="0"/>
    <n v="5000"/>
    <n v="101264"/>
    <n v="74860"/>
    <n v="74860"/>
    <n v="14.972"/>
    <n v="74"/>
    <s v="N/A"/>
    <s v="N/A"/>
    <s v="N/A"/>
    <s v="no"/>
    <s v="N/A"/>
    <s v="N/A"/>
    <s v="-"/>
    <s v="-"/>
    <m/>
    <n v="5000"/>
    <n v="5000"/>
    <s v="missing data"/>
    <m/>
    <m/>
    <n v="1959"/>
    <m/>
    <m/>
    <m/>
    <m/>
    <n v="10000"/>
    <s v="-"/>
    <s v="-"/>
    <m/>
    <m/>
    <m/>
    <m/>
    <m/>
    <m/>
    <s v="yes not specified"/>
    <m/>
  </r>
  <r>
    <n v="257"/>
    <s v="Tunisia"/>
    <x v="3"/>
    <d v="2009-09-01T00:00:00"/>
    <d v="2010-03-01T00:00:00"/>
    <x v="2"/>
    <x v="7"/>
    <x v="1"/>
    <s v="DREF operation n° MDRTN003"/>
    <x v="0"/>
    <n v="5100"/>
    <n v="160749"/>
    <n v="160749"/>
    <n v="160692"/>
    <n v="31.508235294117647"/>
    <n v="100"/>
    <m/>
    <m/>
    <m/>
    <m/>
    <m/>
    <n v="5100"/>
    <m/>
    <m/>
    <m/>
    <m/>
    <m/>
    <m/>
    <m/>
    <m/>
    <m/>
    <m/>
    <m/>
    <m/>
    <m/>
    <n v="0"/>
    <m/>
    <m/>
    <m/>
    <m/>
    <m/>
    <m/>
    <m/>
    <m/>
    <m/>
    <m/>
  </r>
  <r>
    <n v="258"/>
    <s v="Central African Republic"/>
    <x v="1"/>
    <d v="2009-08-01T00:00:00"/>
    <d v="2010-01-01T00:00:00"/>
    <x v="2"/>
    <x v="1"/>
    <x v="1"/>
    <s v="Emergency appeal n° MDRCF006"/>
    <x v="1"/>
    <n v="6000"/>
    <n v="805260"/>
    <n v="154986"/>
    <n v="154986"/>
    <n v="25.831"/>
    <n v="19"/>
    <m/>
    <m/>
    <m/>
    <m/>
    <m/>
    <n v="6000"/>
    <n v="231055"/>
    <n v="400"/>
    <m/>
    <m/>
    <m/>
    <n v="80"/>
    <m/>
    <m/>
    <m/>
    <m/>
    <m/>
    <m/>
    <m/>
    <n v="0"/>
    <n v="17690"/>
    <n v="568"/>
    <m/>
    <m/>
    <m/>
    <m/>
    <m/>
    <m/>
    <m/>
    <m/>
  </r>
  <r>
    <n v="259"/>
    <s v="Zambia"/>
    <x v="1"/>
    <d v="2009-03-01T00:00:00"/>
    <d v="2010-03-01T00:00:00"/>
    <x v="2"/>
    <x v="1"/>
    <x v="1"/>
    <s v="DREF operation n° DRZM006"/>
    <x v="0"/>
    <n v="6000"/>
    <n v="132235"/>
    <n v="132235"/>
    <n v="87116"/>
    <n v="14.519333333333334"/>
    <n v="100"/>
    <n v="3080"/>
    <n v="2200"/>
    <n v="3080"/>
    <s v="no"/>
    <s v="missing data"/>
    <s v="missing data"/>
    <n v="8435"/>
    <n v="8435"/>
    <n v="2.7386363636363638"/>
    <m/>
    <m/>
    <m/>
    <m/>
    <m/>
    <m/>
    <m/>
    <m/>
    <m/>
    <m/>
    <n v="0"/>
    <n v="8534"/>
    <n v="8534"/>
    <m/>
    <m/>
    <m/>
    <m/>
    <m/>
    <m/>
    <m/>
    <m/>
  </r>
  <r>
    <n v="260"/>
    <s v="Cook Islands"/>
    <x v="4"/>
    <d v="2009-08-01T00:00:00"/>
    <d v="2009-12-01T00:00:00"/>
    <x v="2"/>
    <x v="45"/>
    <x v="10"/>
    <s v="DREF operation n° MDRCK001"/>
    <x v="0"/>
    <n v="8000"/>
    <n v="50000"/>
    <n v="50000"/>
    <n v="45718"/>
    <n v="5.7147500000000004"/>
    <n v="100"/>
    <m/>
    <m/>
    <m/>
    <m/>
    <m/>
    <m/>
    <m/>
    <m/>
    <m/>
    <m/>
    <n v="1200"/>
    <m/>
    <m/>
    <m/>
    <m/>
    <m/>
    <m/>
    <m/>
    <m/>
    <n v="1200"/>
    <n v="33022"/>
    <n v="16264"/>
    <m/>
    <m/>
    <m/>
    <m/>
    <m/>
    <m/>
    <m/>
    <m/>
  </r>
  <r>
    <n v="261"/>
    <s v="Angola"/>
    <x v="1"/>
    <d v="2009-10-01T00:00:00"/>
    <d v="2010-09-01T00:00:00"/>
    <x v="2"/>
    <x v="4"/>
    <x v="3"/>
    <s v="DREF operation n° MDRAO004"/>
    <x v="0"/>
    <n v="10000"/>
    <n v="415447"/>
    <n v="418448"/>
    <n v="415849"/>
    <n v="41.584899999999998"/>
    <n v="100"/>
    <m/>
    <m/>
    <m/>
    <m/>
    <m/>
    <n v="10000"/>
    <n v="8000"/>
    <n v="9914"/>
    <m/>
    <m/>
    <m/>
    <n v="69"/>
    <m/>
    <m/>
    <m/>
    <m/>
    <m/>
    <m/>
    <m/>
    <n v="0"/>
    <m/>
    <m/>
    <m/>
    <m/>
    <m/>
    <m/>
    <m/>
    <m/>
    <m/>
    <m/>
  </r>
  <r>
    <n v="262"/>
    <s v="Republic of Congo"/>
    <x v="1"/>
    <d v="2009-09-01T00:00:00"/>
    <d v="2010-05-01T00:00:00"/>
    <x v="2"/>
    <x v="4"/>
    <x v="3"/>
    <s v="DREF operation n° MDRCG005"/>
    <x v="0"/>
    <n v="10000"/>
    <n v="247375"/>
    <n v="247375"/>
    <n v="247302"/>
    <n v="24.7302"/>
    <n v="100"/>
    <n v="8500"/>
    <n v="3180"/>
    <n v="8500"/>
    <s v="no"/>
    <n v="60"/>
    <n v="50000"/>
    <n v="44700"/>
    <n v="26251"/>
    <n v="3.0883529411764705"/>
    <m/>
    <n v="9200"/>
    <n v="46"/>
    <m/>
    <m/>
    <n v="132"/>
    <m/>
    <m/>
    <m/>
    <m/>
    <n v="9200"/>
    <n v="19100"/>
    <n v="19100"/>
    <m/>
    <m/>
    <m/>
    <m/>
    <m/>
    <m/>
    <m/>
    <s v="Shelter "/>
  </r>
  <r>
    <n v="263"/>
    <s v="Mongolia "/>
    <x v="4"/>
    <d v="2009-07-01T00:00:00"/>
    <d v="2010-09-01T00:00:00"/>
    <x v="2"/>
    <x v="1"/>
    <x v="1"/>
    <s v="DREF operation n° MDRMN002"/>
    <x v="0"/>
    <n v="10000"/>
    <n v="240000"/>
    <n v="240000"/>
    <n v="238304"/>
    <n v="23.830400000000001"/>
    <n v="100"/>
    <m/>
    <m/>
    <m/>
    <m/>
    <m/>
    <n v="9500"/>
    <m/>
    <n v="10544"/>
    <m/>
    <m/>
    <m/>
    <n v="90"/>
    <m/>
    <m/>
    <m/>
    <m/>
    <m/>
    <m/>
    <m/>
    <n v="0"/>
    <m/>
    <m/>
    <m/>
    <m/>
    <m/>
    <m/>
    <m/>
    <m/>
    <s v="yes"/>
    <m/>
  </r>
  <r>
    <n v="264"/>
    <s v="Democratic Republic of Congo"/>
    <x v="1"/>
    <d v="2009-01-01T00:00:00"/>
    <d v="2009-04-01T00:00:00"/>
    <x v="2"/>
    <x v="127"/>
    <x v="10"/>
    <s v="DREF operation n° MDRCD006"/>
    <x v="0"/>
    <n v="15000"/>
    <n v="146404"/>
    <n v="145321"/>
    <n v="145321"/>
    <n v="9.6880666666666659"/>
    <n v="99"/>
    <n v="3290"/>
    <n v="2250"/>
    <n v="3290"/>
    <s v="no"/>
    <n v="130"/>
    <s v="Missing data"/>
    <n v="30804"/>
    <n v="24283"/>
    <n v="7.3808510638297875"/>
    <s v="N/A"/>
    <n v="138000"/>
    <n v="130"/>
    <s v="N/A"/>
    <s v="N/A"/>
    <s v="N/A"/>
    <s v="N/A"/>
    <s v="N/A"/>
    <s v="N/A"/>
    <s v="N/A"/>
    <n v="138000"/>
    <n v="450"/>
    <n v="445.5"/>
    <m/>
    <s v="N/A"/>
    <s v="N/A"/>
    <s v="N/A"/>
    <s v="N/A"/>
    <s v="N/A"/>
    <s v="N/A"/>
    <s v="N/A"/>
  </r>
  <r>
    <n v="265"/>
    <s v="Senegal"/>
    <x v="1"/>
    <d v="2009-09-01T00:00:00"/>
    <d v="2010-03-01T00:00:00"/>
    <x v="2"/>
    <x v="1"/>
    <x v="1"/>
    <s v="Emergency appeal n° MDRSN002"/>
    <x v="1"/>
    <n v="25000"/>
    <n v="2113583"/>
    <n v="1030629"/>
    <n v="1030210"/>
    <n v="41.208399999999997"/>
    <n v="49"/>
    <n v="17500"/>
    <n v="200"/>
    <n v="17500"/>
    <s v="no"/>
    <n v="80"/>
    <n v="17500"/>
    <n v="155800"/>
    <n v="76342"/>
    <n v="4.3624000000000001"/>
    <n v="16435"/>
    <n v="25000"/>
    <m/>
    <m/>
    <m/>
    <n v="6574"/>
    <m/>
    <m/>
    <m/>
    <m/>
    <n v="41435"/>
    <n v="0"/>
    <n v="1800"/>
    <m/>
    <m/>
    <m/>
    <m/>
    <m/>
    <m/>
    <n v="2"/>
    <m/>
  </r>
  <r>
    <n v="266"/>
    <s v="West and Central Africa (Liberia, Guinea, Burkina Faso, Niger, Gambia, Gabon, Togo, Mali, Central African Republic, Ghana, Benin, Mauritania, Côte d'Ivoire, Sierra Leone and Senegal)"/>
    <x v="1"/>
    <d v="2009-09-01T00:00:00"/>
    <d v="2010-05-01T00:00:00"/>
    <x v="2"/>
    <x v="1"/>
    <x v="1"/>
    <s v="DREF operation n° MDR61006"/>
    <x v="0"/>
    <n v="17000"/>
    <n v="200001"/>
    <n v="199825"/>
    <n v="199825"/>
    <n v="11.754411764705882"/>
    <n v="100"/>
    <n v="25000"/>
    <m/>
    <n v="25000"/>
    <m/>
    <n v="380"/>
    <n v="50100"/>
    <m/>
    <m/>
    <n v="0"/>
    <m/>
    <n v="50100"/>
    <n v="386"/>
    <m/>
    <m/>
    <n v="1000"/>
    <m/>
    <m/>
    <m/>
    <m/>
    <n v="50100"/>
    <m/>
    <m/>
    <m/>
    <m/>
    <m/>
    <m/>
    <m/>
    <m/>
    <s v="yes"/>
    <m/>
  </r>
  <r>
    <n v="267"/>
    <s v="Tanzania"/>
    <x v="1"/>
    <d v="2009-04-01T00:00:00"/>
    <d v="2009-08-01T00:00:00"/>
    <x v="2"/>
    <x v="128"/>
    <x v="4"/>
    <s v="Emergency appeal n° MDRTZ009"/>
    <x v="1"/>
    <n v="18866"/>
    <n v="545134"/>
    <n v="231233"/>
    <n v="231224"/>
    <n v="12.256122124456695"/>
    <n v="42"/>
    <s v="Missing data"/>
    <s v="Missing data"/>
    <s v="Missing data"/>
    <m/>
    <m/>
    <n v="17500"/>
    <n v="31300"/>
    <n v="19322"/>
    <m/>
    <s v="yes"/>
    <n v="10000"/>
    <n v="25"/>
    <m/>
    <m/>
    <m/>
    <m/>
    <m/>
    <m/>
    <m/>
    <n v="10000"/>
    <n v="31500"/>
    <n v="15973"/>
    <m/>
    <m/>
    <m/>
    <m/>
    <m/>
    <m/>
    <m/>
    <m/>
  </r>
  <r>
    <n v="268"/>
    <s v="Benin"/>
    <x v="1"/>
    <d v="2009-07-01T00:00:00"/>
    <d v="2010-08-01T00:00:00"/>
    <x v="2"/>
    <x v="1"/>
    <x v="7"/>
    <s v="DREF operation n° MDRBJ006"/>
    <x v="0"/>
    <n v="22035"/>
    <n v="574355"/>
    <n v="574355"/>
    <n v="311806"/>
    <n v="14.150487860222373"/>
    <n v="100"/>
    <n v="230000"/>
    <s v="N/A"/>
    <n v="230000"/>
    <s v="yes"/>
    <n v="267"/>
    <n v="18030"/>
    <n v="186677"/>
    <n v="15590"/>
    <n v="6.7782608695652169E-2"/>
    <m/>
    <m/>
    <m/>
    <m/>
    <m/>
    <n v="4407"/>
    <m/>
    <m/>
    <m/>
    <m/>
    <n v="0"/>
    <s v="-"/>
    <s v="-"/>
    <m/>
    <m/>
    <m/>
    <m/>
    <m/>
    <m/>
    <s v="yes not specified"/>
    <m/>
  </r>
  <r>
    <n v="269"/>
    <s v="Colombia"/>
    <x v="0"/>
    <d v="2009-02-01T00:00:00"/>
    <d v="2009-10-01T00:00:00"/>
    <x v="2"/>
    <x v="1"/>
    <x v="1"/>
    <s v="Emergency Appeal n° MDRCO006"/>
    <x v="1"/>
    <n v="25000"/>
    <n v="486453"/>
    <n v="486852"/>
    <n v="473438"/>
    <n v="18.937519999999999"/>
    <n v="100"/>
    <n v="10000"/>
    <n v="1865"/>
    <n v="10000"/>
    <s v="no"/>
    <m/>
    <n v="750"/>
    <n v="23084"/>
    <n v="16972"/>
    <n v="1.6972"/>
    <n v="200"/>
    <m/>
    <n v="68"/>
    <m/>
    <m/>
    <n v="6000"/>
    <m/>
    <m/>
    <m/>
    <m/>
    <n v="200"/>
    <n v="1800"/>
    <n v="6865"/>
    <m/>
    <m/>
    <m/>
    <m/>
    <m/>
    <m/>
    <m/>
    <s v="shelter"/>
  </r>
  <r>
    <n v="270"/>
    <s v="Kenya "/>
    <x v="1"/>
    <d v="2009-01-01T00:00:00"/>
    <d v="2009-12-01T00:00:00"/>
    <x v="2"/>
    <x v="129"/>
    <x v="1"/>
    <s v="DREF operation n° MDRKE010"/>
    <x v="0"/>
    <n v="25000"/>
    <n v="392792"/>
    <n v="392791"/>
    <n v="392791"/>
    <n v="15.711639999999999"/>
    <n v="100"/>
    <n v="25000"/>
    <n v="1118"/>
    <n v="2950"/>
    <s v="yes"/>
    <n v="94"/>
    <n v="98216"/>
    <n v="75502"/>
    <n v="75502"/>
    <n v="25.593898305084746"/>
    <m/>
    <n v="3965"/>
    <m/>
    <s v="yes"/>
    <m/>
    <m/>
    <m/>
    <m/>
    <n v="4385"/>
    <m/>
    <n v="8350"/>
    <n v="24161"/>
    <n v="24161"/>
    <m/>
    <m/>
    <m/>
    <m/>
    <m/>
    <m/>
    <m/>
    <m/>
  </r>
  <r>
    <n v="271"/>
    <s v="West and Central Africa (Benin, Cameroon, Chad, Côte d’Ivoire,Gambia, Ghana, Guinea, Guinea Bissau, Liberia, Mali, Mauritania, Niger, Nigeria, Senegal, Sierra Leone and Togo)"/>
    <x v="1"/>
    <d v="2009-09-01T00:00:00"/>
    <d v="2010-05-01T00:00:00"/>
    <x v="2"/>
    <x v="130"/>
    <x v="1"/>
    <s v="Emergency appeal n° MDR61005"/>
    <x v="1"/>
    <n v="25000"/>
    <n v="918517"/>
    <n v="740314"/>
    <m/>
    <n v="0"/>
    <m/>
    <n v="25000"/>
    <n v="25000"/>
    <n v="25000"/>
    <m/>
    <m/>
    <n v="25000"/>
    <m/>
    <m/>
    <n v="0"/>
    <m/>
    <m/>
    <m/>
    <m/>
    <m/>
    <m/>
    <m/>
    <m/>
    <m/>
    <m/>
    <n v="0"/>
    <m/>
    <m/>
    <m/>
    <m/>
    <m/>
    <m/>
    <m/>
    <m/>
    <m/>
    <m/>
  </r>
  <r>
    <n v="272"/>
    <s v="Malawi"/>
    <x v="1"/>
    <d v="2009-12-01T00:00:00"/>
    <d v="2010-03-01T00:00:00"/>
    <x v="2"/>
    <x v="23"/>
    <x v="8"/>
    <s v="DREF operation n° MDRMW005"/>
    <x v="0"/>
    <n v="30000"/>
    <n v="558799"/>
    <n v="461720"/>
    <n v="461720"/>
    <n v="15.390666666666666"/>
    <n v="83"/>
    <s v="N/A"/>
    <s v="N/A"/>
    <s v="N/A"/>
    <s v="no"/>
    <s v="N/A"/>
    <s v="N/A"/>
    <s v="-"/>
    <s v="-"/>
    <m/>
    <m/>
    <m/>
    <m/>
    <m/>
    <m/>
    <n v="5835"/>
    <m/>
    <m/>
    <m/>
    <m/>
    <n v="0"/>
    <s v="-"/>
    <s v="-"/>
    <m/>
    <m/>
    <m/>
    <m/>
    <m/>
    <m/>
    <s v="yes not specified"/>
    <m/>
  </r>
  <r>
    <n v="273"/>
    <s v="Mexico"/>
    <x v="0"/>
    <d v="2009-11-01T00:00:00"/>
    <d v="2010-03-01T00:00:00"/>
    <x v="2"/>
    <x v="45"/>
    <x v="10"/>
    <s v="DREF operation n° MDRMX004"/>
    <x v="0"/>
    <n v="30000"/>
    <n v="86724"/>
    <n v="77190"/>
    <n v="77190"/>
    <n v="2.573"/>
    <n v="89"/>
    <m/>
    <m/>
    <m/>
    <m/>
    <m/>
    <n v="120000"/>
    <m/>
    <m/>
    <m/>
    <n v="120000"/>
    <n v="12000"/>
    <n v="400"/>
    <m/>
    <m/>
    <m/>
    <m/>
    <m/>
    <m/>
    <m/>
    <n v="132000"/>
    <m/>
    <m/>
    <m/>
    <m/>
    <m/>
    <m/>
    <m/>
    <m/>
    <m/>
    <m/>
  </r>
  <r>
    <n v="274"/>
    <s v="Kenya"/>
    <x v="1"/>
    <d v="2009-11-01T00:00:00"/>
    <d v="2010-02-01T00:00:00"/>
    <x v="2"/>
    <x v="1"/>
    <x v="1"/>
    <s v="DREF operation n° MDRKE011"/>
    <x v="0"/>
    <n v="30000"/>
    <n v="432589"/>
    <n v="430762"/>
    <n v="430762"/>
    <n v="14.358733333333333"/>
    <n v="100"/>
    <n v="3200"/>
    <n v="3860"/>
    <n v="3860"/>
    <s v="yes"/>
    <n v="34"/>
    <n v="22470"/>
    <n v="107299"/>
    <n v="107299"/>
    <n v="27.797668393782384"/>
    <m/>
    <n v="10000"/>
    <n v="20"/>
    <m/>
    <m/>
    <n v="2822"/>
    <m/>
    <m/>
    <n v="1298"/>
    <n v="554"/>
    <n v="11298"/>
    <n v="27408"/>
    <n v="27408"/>
    <m/>
    <m/>
    <m/>
    <m/>
    <m/>
    <m/>
    <m/>
    <m/>
  </r>
  <r>
    <n v="275"/>
    <s v="Zambia"/>
    <x v="1"/>
    <d v="2009-01-01T00:00:00"/>
    <d v="2010-03-01T00:00:00"/>
    <x v="2"/>
    <x v="29"/>
    <x v="10"/>
    <s v="DREF operation n° MDRZM005"/>
    <x v="0"/>
    <n v="30000"/>
    <n v="60939"/>
    <n v="60939"/>
    <n v="58597"/>
    <n v="1.9532333333333334"/>
    <n v="100"/>
    <s v="N/A"/>
    <s v="N/A"/>
    <s v="N/A"/>
    <s v="no"/>
    <n v="60"/>
    <n v="31100"/>
    <n v="0"/>
    <n v="29086"/>
    <m/>
    <m/>
    <n v="31100"/>
    <n v="60"/>
    <m/>
    <m/>
    <m/>
    <m/>
    <m/>
    <m/>
    <m/>
    <n v="31100"/>
    <s v="-"/>
    <s v="-"/>
    <m/>
    <m/>
    <m/>
    <m/>
    <m/>
    <m/>
    <m/>
    <m/>
  </r>
  <r>
    <n v="276"/>
    <s v="Argentine"/>
    <x v="0"/>
    <d v="2009-12-01T00:00:00"/>
    <d v="2010-07-01T00:00:00"/>
    <x v="2"/>
    <x v="1"/>
    <x v="1"/>
    <s v="DREF operation n° MDRAR006"/>
    <x v="0"/>
    <n v="30618"/>
    <n v="230629"/>
    <n v="211464"/>
    <n v="211464"/>
    <n v="6.9065255731922397"/>
    <n v="92"/>
    <n v="2970"/>
    <n v="2970"/>
    <n v="2970"/>
    <s v="no"/>
    <n v="60"/>
    <n v="1323"/>
    <m/>
    <m/>
    <n v="0"/>
    <n v="12234"/>
    <n v="5470"/>
    <n v="60"/>
    <m/>
    <m/>
    <m/>
    <m/>
    <n v="7200"/>
    <m/>
    <m/>
    <n v="17704"/>
    <m/>
    <m/>
    <m/>
    <m/>
    <m/>
    <m/>
    <m/>
    <m/>
    <m/>
    <m/>
  </r>
  <r>
    <n v="277"/>
    <s v="Namibia"/>
    <x v="1"/>
    <d v="2009-03-01T00:00:00"/>
    <d v="2009-08-01T00:00:00"/>
    <x v="2"/>
    <x v="1"/>
    <x v="1"/>
    <s v="Emergency appeal n° MDRNA004"/>
    <x v="1"/>
    <n v="33000"/>
    <n v="2121518"/>
    <n v="2060174"/>
    <n v="1977377"/>
    <n v="59.920515151515154"/>
    <n v="97"/>
    <n v="20000"/>
    <n v="9420"/>
    <n v="20000"/>
    <s v="yes"/>
    <n v="238"/>
    <n v="20000"/>
    <n v="737289"/>
    <n v="128175"/>
    <n v="6.4087500000000004"/>
    <m/>
    <m/>
    <m/>
    <n v="204"/>
    <s v="yes"/>
    <n v="13611"/>
    <m/>
    <m/>
    <m/>
    <m/>
    <n v="0"/>
    <n v="20000"/>
    <n v="17461"/>
    <m/>
    <m/>
    <n v="1"/>
    <m/>
    <m/>
    <m/>
    <m/>
    <m/>
  </r>
  <r>
    <n v="278"/>
    <s v="Chad"/>
    <x v="1"/>
    <d v="2009-09-01T00:00:00"/>
    <d v="2009-12-01T00:00:00"/>
    <x v="2"/>
    <x v="1"/>
    <x v="1"/>
    <s v="DREF operation n° MDRTD003"/>
    <x v="0"/>
    <n v="37650"/>
    <n v="246521"/>
    <n v="246522"/>
    <n v="246255"/>
    <n v="6.5406374501992035"/>
    <n v="100"/>
    <n v="5680"/>
    <n v="480"/>
    <n v="5680"/>
    <s v="yes"/>
    <n v="11"/>
    <n v="5680"/>
    <n v="80900"/>
    <n v="44651"/>
    <n v="7.8610915492957743"/>
    <m/>
    <m/>
    <m/>
    <m/>
    <m/>
    <n v="2139"/>
    <m/>
    <m/>
    <m/>
    <m/>
    <n v="0"/>
    <s v="-"/>
    <s v="-"/>
    <m/>
    <m/>
    <m/>
    <m/>
    <m/>
    <m/>
    <m/>
    <m/>
  </r>
  <r>
    <n v="279"/>
    <s v="Pakistan"/>
    <x v="4"/>
    <d v="2009-10-29T00:00:00"/>
    <d v="2009-05-18T00:00:00"/>
    <x v="2"/>
    <x v="131"/>
    <x v="8"/>
    <s v="Emergency appeal n° MDRPK002"/>
    <x v="1"/>
    <n v="40000"/>
    <n v="2499553"/>
    <n v="1215637"/>
    <n v="1215637"/>
    <n v="30.390924999999999"/>
    <n v="49"/>
    <s v="N/A"/>
    <s v="Missing data"/>
    <n v="37930"/>
    <s v="no"/>
    <s v="N/A"/>
    <n v="37930"/>
    <s v="N/A"/>
    <s v="N/A"/>
    <m/>
    <s v="N/A"/>
    <s v="N/A"/>
    <s v="N/A"/>
    <s v="N/A"/>
    <s v="N/A"/>
    <s v="N/A"/>
    <s v="N/A"/>
    <s v="N/A"/>
    <s v="N/A"/>
    <s v="N/A"/>
    <n v="0"/>
    <n v="242114"/>
    <n v="242114"/>
    <m/>
    <s v="N/A"/>
    <s v="N/A"/>
    <s v="N/A"/>
    <s v="N/A"/>
    <s v="N/A"/>
    <s v="N/A"/>
    <s v="N/A"/>
  </r>
  <r>
    <n v="280"/>
    <s v="East Africa (Uganda, Tanzania, Kenya)"/>
    <x v="1"/>
    <d v="2009-10-01T00:00:00"/>
    <d v="2009-12-01T00:00:00"/>
    <x v="2"/>
    <x v="132"/>
    <x v="1"/>
    <s v="Emergency appeal n° MDR64006"/>
    <x v="1"/>
    <n v="53000"/>
    <n v="1124682"/>
    <n v="197557"/>
    <n v="197557"/>
    <n v="3.7274905660377358"/>
    <n v="18"/>
    <m/>
    <m/>
    <m/>
    <m/>
    <m/>
    <m/>
    <n v="367528"/>
    <n v="44635"/>
    <m/>
    <m/>
    <m/>
    <m/>
    <m/>
    <m/>
    <m/>
    <m/>
    <m/>
    <m/>
    <m/>
    <n v="0"/>
    <n v="0"/>
    <n v="13644"/>
    <m/>
    <m/>
    <m/>
    <m/>
    <m/>
    <m/>
    <m/>
    <m/>
  </r>
  <r>
    <n v="281"/>
    <s v="Sudan"/>
    <x v="1"/>
    <d v="2009-09-01T00:00:00"/>
    <d v="2010-03-01T00:00:00"/>
    <x v="2"/>
    <x v="133"/>
    <x v="10"/>
    <s v="Emergency appeal n° MDRSD007"/>
    <x v="1"/>
    <n v="60000"/>
    <n v="1950241"/>
    <n v="480721"/>
    <n v="480986"/>
    <n v="8.0164333333333335"/>
    <n v="25"/>
    <n v="37500"/>
    <n v="400"/>
    <n v="37500"/>
    <s v="yes"/>
    <n v="250"/>
    <n v="8426"/>
    <n v="486900"/>
    <n v="121725"/>
    <n v="3.246"/>
    <m/>
    <n v="33000"/>
    <n v="460"/>
    <n v="300"/>
    <m/>
    <n v="5000"/>
    <m/>
    <m/>
    <m/>
    <m/>
    <n v="33000"/>
    <n v="32200"/>
    <n v="1441"/>
    <m/>
    <m/>
    <m/>
    <m/>
    <m/>
    <m/>
    <m/>
    <m/>
  </r>
  <r>
    <n v="282"/>
    <s v="Cape Verde"/>
    <x v="1"/>
    <d v="2009-11-01T00:00:00"/>
    <d v="2010-02-01T00:00:00"/>
    <x v="2"/>
    <x v="134"/>
    <x v="10"/>
    <s v="DREF operation n° MDRCV001"/>
    <x v="0"/>
    <n v="75000"/>
    <n v="153987"/>
    <n v="153951"/>
    <n v="151841"/>
    <n v="2.0245466666666667"/>
    <n v="100"/>
    <m/>
    <s v="N/A"/>
    <m/>
    <s v="no"/>
    <n v="664"/>
    <n v="150000"/>
    <s v="-"/>
    <s v="-"/>
    <m/>
    <m/>
    <n v="150000"/>
    <n v="664"/>
    <m/>
    <m/>
    <n v="1000"/>
    <m/>
    <m/>
    <m/>
    <m/>
    <n v="150000"/>
    <n v="108458"/>
    <n v="108458"/>
    <m/>
    <m/>
    <m/>
    <m/>
    <m/>
    <m/>
    <m/>
    <m/>
  </r>
  <r>
    <n v="283"/>
    <s v="India"/>
    <x v="4"/>
    <d v="2009-10-01T00:00:00"/>
    <d v="2010-02-01T00:00:00"/>
    <x v="2"/>
    <x v="1"/>
    <x v="1"/>
    <s v="DREF operation n° MDRIN004"/>
    <x v="0"/>
    <n v="95000"/>
    <n v="59241"/>
    <n v="59241"/>
    <n v="22853"/>
    <n v="0.24055789473684211"/>
    <n v="100"/>
    <m/>
    <m/>
    <n v="60000"/>
    <m/>
    <m/>
    <n v="60000"/>
    <m/>
    <m/>
    <n v="0"/>
    <m/>
    <m/>
    <m/>
    <m/>
    <m/>
    <n v="20000"/>
    <m/>
    <m/>
    <m/>
    <m/>
    <n v="0"/>
    <m/>
    <m/>
    <m/>
    <m/>
    <m/>
    <m/>
    <m/>
    <m/>
    <m/>
    <m/>
  </r>
  <r>
    <n v="284"/>
    <s v="Indonesia"/>
    <x v="4"/>
    <d v="2009-09-01T00:00:00"/>
    <d v="2011-09-01T00:00:00"/>
    <x v="2"/>
    <x v="135"/>
    <x v="8"/>
    <s v="Emergency Appeal No.MDRID004 "/>
    <x v="1"/>
    <n v="100000"/>
    <n v="14219542"/>
    <n v="14604948"/>
    <n v="12701675"/>
    <n v="127.01675"/>
    <n v="103"/>
    <m/>
    <m/>
    <n v="50000"/>
    <m/>
    <m/>
    <n v="12340"/>
    <n v="327706"/>
    <n v="266907"/>
    <n v="5.3381400000000001"/>
    <n v="141"/>
    <m/>
    <n v="300"/>
    <m/>
    <m/>
    <n v="50000"/>
    <m/>
    <m/>
    <m/>
    <m/>
    <n v="141"/>
    <m/>
    <m/>
    <m/>
    <m/>
    <m/>
    <m/>
    <m/>
    <m/>
    <m/>
    <m/>
  </r>
  <r>
    <n v="285"/>
    <s v="Democratic Republic of Congo"/>
    <x v="1"/>
    <d v="2009-10-01T00:00:00"/>
    <d v="2010-02-01T00:00:00"/>
    <x v="2"/>
    <x v="136"/>
    <x v="10"/>
    <s v="DREF operation n° MDRCD008"/>
    <x v="0"/>
    <n v="163000"/>
    <n v="58604"/>
    <n v="57970"/>
    <n v="57970"/>
    <n v="0.35564417177914109"/>
    <n v="99"/>
    <n v="100000"/>
    <n v="35500"/>
    <n v="100000"/>
    <s v="no"/>
    <n v="120"/>
    <n v="178500"/>
    <n v="14199"/>
    <n v="15228"/>
    <n v="0.15228"/>
    <m/>
    <n v="315000"/>
    <n v="120"/>
    <m/>
    <m/>
    <m/>
    <m/>
    <m/>
    <n v="500"/>
    <m/>
    <n v="315500"/>
    <s v="-"/>
    <s v="-"/>
    <m/>
    <m/>
    <m/>
    <m/>
    <m/>
    <m/>
    <m/>
    <m/>
  </r>
  <r>
    <n v="286"/>
    <s v="Angola"/>
    <x v="1"/>
    <d v="2009-03-01T00:00:00"/>
    <d v="2010-03-01T00:00:00"/>
    <x v="2"/>
    <x v="1"/>
    <x v="1"/>
    <s v="DREF operation n° MDRAO003"/>
    <x v="0"/>
    <n v="168000"/>
    <n v="388966"/>
    <n v="388966"/>
    <n v="370602"/>
    <n v="2.2059642857142858"/>
    <n v="100"/>
    <n v="20000"/>
    <n v="8400"/>
    <n v="20000"/>
    <s v="no"/>
    <n v="250"/>
    <n v="80000"/>
    <n v="30103"/>
    <n v="38081"/>
    <n v="1.90405"/>
    <m/>
    <n v="80000"/>
    <n v="220"/>
    <n v="250"/>
    <m/>
    <n v="3000"/>
    <m/>
    <m/>
    <m/>
    <m/>
    <n v="80000"/>
    <n v="33600"/>
    <n v="11103"/>
    <m/>
    <m/>
    <m/>
    <m/>
    <m/>
    <m/>
    <m/>
    <m/>
  </r>
  <r>
    <n v="287"/>
    <s v="Bangladesh"/>
    <x v="4"/>
    <d v="2009-06-01T00:00:00"/>
    <d v="2010-03-01T00:00:00"/>
    <x v="2"/>
    <x v="137"/>
    <x v="0"/>
    <s v="Emergency appeal n° MDRBD004"/>
    <x v="1"/>
    <n v="178550"/>
    <n v="1153737"/>
    <n v="991334"/>
    <n v="991334"/>
    <n v="5.5521366563987682"/>
    <n v="86"/>
    <n v="35000"/>
    <m/>
    <n v="35000"/>
    <s v="no"/>
    <s v="missing data"/>
    <m/>
    <m/>
    <m/>
    <n v="0"/>
    <m/>
    <m/>
    <n v="32"/>
    <m/>
    <m/>
    <m/>
    <m/>
    <m/>
    <m/>
    <m/>
    <n v="0"/>
    <n v="5190"/>
    <n v="4463.3999999999996"/>
    <m/>
    <m/>
    <m/>
    <m/>
    <m/>
    <m/>
    <m/>
    <m/>
  </r>
  <r>
    <n v="288"/>
    <s v="Philippines"/>
    <x v="4"/>
    <d v="2009-10-01T00:00:00"/>
    <d v="2011-11-01T00:00:00"/>
    <x v="2"/>
    <x v="138"/>
    <x v="0"/>
    <s v="Final report Emergency appeal n° MDRPH005"/>
    <x v="1"/>
    <n v="233500"/>
    <n v="12724570"/>
    <n v="11031565"/>
    <n v="10765209"/>
    <n v="46.103678800856528"/>
    <n v="87"/>
    <n v="69600"/>
    <n v="35000"/>
    <n v="69600"/>
    <s v="yes"/>
    <n v="620"/>
    <n v="233500"/>
    <n v="823272"/>
    <n v="788003"/>
    <n v="11.321882183908047"/>
    <n v="4000"/>
    <n v="233500"/>
    <m/>
    <m/>
    <m/>
    <m/>
    <m/>
    <m/>
    <n v="4000"/>
    <m/>
    <n v="241500"/>
    <n v="7930"/>
    <n v="4414"/>
    <m/>
    <m/>
    <m/>
    <m/>
    <m/>
    <m/>
    <m/>
    <m/>
  </r>
  <r>
    <n v="289"/>
    <s v="VietNam"/>
    <x v="4"/>
    <d v="2009-10-01T00:00:00"/>
    <d v="2010-10-01T00:00:00"/>
    <x v="2"/>
    <x v="139"/>
    <x v="7"/>
    <s v="Final report Emergency appeal n° MDRVN006"/>
    <x v="1"/>
    <n v="270000"/>
    <n v="4464332"/>
    <n v="4529948"/>
    <n v="4185583"/>
    <n v="15.50215925925926"/>
    <n v="101"/>
    <n v="46745"/>
    <m/>
    <n v="46745"/>
    <m/>
    <m/>
    <m/>
    <n v="32790"/>
    <n v="32790"/>
    <n v="0.7014653973687025"/>
    <m/>
    <m/>
    <m/>
    <m/>
    <m/>
    <m/>
    <m/>
    <m/>
    <m/>
    <m/>
    <n v="0"/>
    <m/>
    <m/>
    <m/>
    <m/>
    <m/>
    <m/>
    <m/>
    <m/>
    <m/>
    <s v="yes"/>
  </r>
  <r>
    <n v="290"/>
    <s v="Syria"/>
    <x v="3"/>
    <d v="2009-08-01T00:00:00"/>
    <d v="2010-12-01T00:00:00"/>
    <x v="2"/>
    <x v="50"/>
    <x v="6"/>
    <s v="Emergency appeal n° MDRSY001"/>
    <x v="1"/>
    <n v="280000"/>
    <n v="3255615"/>
    <n v="870572"/>
    <n v="870572"/>
    <n v="3.1091857142857142"/>
    <n v="62"/>
    <m/>
    <m/>
    <m/>
    <m/>
    <m/>
    <n v="80210"/>
    <n v="917195"/>
    <n v="568660.9"/>
    <m/>
    <m/>
    <m/>
    <n v="112"/>
    <m/>
    <m/>
    <m/>
    <m/>
    <m/>
    <n v="109960"/>
    <m/>
    <n v="109960"/>
    <n v="70000"/>
    <n v="43400"/>
    <m/>
    <m/>
    <m/>
    <m/>
    <m/>
    <m/>
    <m/>
    <m/>
  </r>
  <r>
    <n v="291"/>
    <s v="Sri Lanka"/>
    <x v="4"/>
    <d v="2009-09-01T00:00:00"/>
    <d v="2010-06-01T00:00:00"/>
    <x v="2"/>
    <x v="45"/>
    <x v="10"/>
    <s v="DREF operation n° MDRLK001"/>
    <x v="0"/>
    <n v="300000"/>
    <n v="99412"/>
    <n v="99412"/>
    <n v="93015"/>
    <n v="0.31004999999999999"/>
    <n v="100"/>
    <m/>
    <m/>
    <m/>
    <m/>
    <m/>
    <m/>
    <n v="25000"/>
    <n v="25000"/>
    <m/>
    <m/>
    <n v="43000"/>
    <n v="300"/>
    <m/>
    <m/>
    <m/>
    <m/>
    <m/>
    <m/>
    <m/>
    <n v="43000"/>
    <m/>
    <n v="2428"/>
    <m/>
    <m/>
    <m/>
    <m/>
    <m/>
    <m/>
    <m/>
    <m/>
  </r>
  <r>
    <n v="292"/>
    <s v="Central African Republic"/>
    <x v="1"/>
    <d v="2009-01-01T00:00:00"/>
    <d v="2009-04-01T00:00:00"/>
    <x v="2"/>
    <x v="46"/>
    <x v="10"/>
    <s v="DREF operation n° MDRCF003"/>
    <x v="0"/>
    <n v="300000"/>
    <n v="30100"/>
    <n v="28462"/>
    <n v="28462"/>
    <n v="9.4873333333333337E-2"/>
    <n v="95"/>
    <s v="N/A"/>
    <m/>
    <s v="Missing data"/>
    <s v="no"/>
    <n v="200"/>
    <n v="303335"/>
    <s v="N/A"/>
    <s v="N/A"/>
    <m/>
    <s v="N/A"/>
    <n v="258492"/>
    <n v="200"/>
    <s v="N/A"/>
    <s v="N/A"/>
    <s v="N/A"/>
    <s v="N/A"/>
    <s v="N/A"/>
    <s v="N/A"/>
    <s v="N/A"/>
    <n v="258492"/>
    <s v="N/A"/>
    <s v="N/A"/>
    <m/>
    <s v="N/A"/>
    <s v="N/A"/>
    <s v="N/A"/>
    <s v="N/A"/>
    <s v="N/A"/>
    <s v="N/A"/>
    <s v="N/A"/>
  </r>
  <r>
    <n v="293"/>
    <s v="Togo"/>
    <x v="1"/>
    <d v="2009-01-12T00:00:00"/>
    <d v="2009-07-01T00:00:00"/>
    <x v="2"/>
    <x v="29"/>
    <x v="10"/>
    <s v="DREF operation n° MDRTG002"/>
    <x v="0"/>
    <n v="353120"/>
    <n v="75422"/>
    <n v="71119"/>
    <n v="71119"/>
    <n v="0.20140178975985501"/>
    <n v="94"/>
    <n v="40000"/>
    <s v="Missing data"/>
    <n v="40000"/>
    <s v="no"/>
    <n v="65"/>
    <n v="2000"/>
    <s v="N/A"/>
    <s v="N/A"/>
    <m/>
    <s v="N/A"/>
    <n v="40000"/>
    <s v="N/A"/>
    <n v="285"/>
    <s v="N/A"/>
    <s v="N/A"/>
    <s v="N/A"/>
    <s v="N/A"/>
    <s v="N/A"/>
    <s v="N/A"/>
    <n v="40000"/>
    <n v="1000"/>
    <n v="839"/>
    <m/>
    <s v="N/A"/>
    <s v="N/A"/>
    <s v="N/A"/>
    <s v="N/A"/>
    <s v="N/A"/>
    <s v="N/A"/>
    <s v="N/A"/>
  </r>
  <r>
    <n v="294"/>
    <s v="Democratic Republic of Congo"/>
    <x v="1"/>
    <d v="2009-04-15T00:00:00"/>
    <m/>
    <x v="2"/>
    <x v="140"/>
    <x v="8"/>
    <s v="DREF operation n° MDRCD007"/>
    <x v="0"/>
    <n v="500000"/>
    <n v="63777"/>
    <n v="63679"/>
    <n v="63679"/>
    <n v="0.127358"/>
    <n v="100"/>
    <s v="Missing data"/>
    <s v="Missing data"/>
    <n v="7500"/>
    <s v="no"/>
    <s v="N/A"/>
    <s v="N/A"/>
    <n v="1155"/>
    <n v="1086"/>
    <n v="0.14480000000000001"/>
    <s v="N/A"/>
    <s v="N/A"/>
    <s v="N/A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295"/>
    <s v="Ethiopia"/>
    <x v="1"/>
    <d v="2009-08-01T00:00:00"/>
    <d v="2010-02-01T00:00:00"/>
    <x v="2"/>
    <x v="141"/>
    <x v="10"/>
    <s v="DREF operation n° MDRET006"/>
    <x v="0"/>
    <n v="750000"/>
    <n v="226225"/>
    <n v="226225"/>
    <n v="226178"/>
    <n v="0.30157066666666665"/>
    <n v="100"/>
    <n v="750000"/>
    <m/>
    <n v="750000"/>
    <s v="yes"/>
    <n v="42"/>
    <n v="750000"/>
    <n v="38638"/>
    <n v="607"/>
    <n v="8.0933333333333335E-4"/>
    <m/>
    <n v="175000"/>
    <m/>
    <n v="29"/>
    <m/>
    <m/>
    <m/>
    <m/>
    <m/>
    <m/>
    <n v="175000"/>
    <n v="57270"/>
    <n v="13695"/>
    <m/>
    <m/>
    <m/>
    <m/>
    <m/>
    <m/>
    <m/>
    <m/>
  </r>
  <r>
    <n v="296"/>
    <s v="Cameroon"/>
    <x v="1"/>
    <d v="2009-10-01T00:00:00"/>
    <d v="2010-04-01T00:00:00"/>
    <x v="2"/>
    <x v="29"/>
    <x v="10"/>
    <s v="DREF operation n° DRCM007"/>
    <x v="0"/>
    <n v="800000"/>
    <n v="203420"/>
    <n v="203272"/>
    <n v="203272"/>
    <n v="0.25408999999999998"/>
    <n v="100"/>
    <n v="800000"/>
    <n v="525420"/>
    <n v="800000"/>
    <m/>
    <m/>
    <n v="362606"/>
    <n v="59267"/>
    <n v="4277"/>
    <n v="5.3462500000000003E-3"/>
    <m/>
    <n v="362606"/>
    <n v="515"/>
    <n v="224"/>
    <m/>
    <m/>
    <m/>
    <m/>
    <n v="53"/>
    <m/>
    <n v="362659"/>
    <n v="31413"/>
    <n v="11648"/>
    <m/>
    <m/>
    <m/>
    <m/>
    <m/>
    <m/>
    <m/>
    <m/>
  </r>
  <r>
    <n v="297"/>
    <s v="Global "/>
    <x v="5"/>
    <d v="2009-04-30T00:00:00"/>
    <d v="2009-10-31T00:00:00"/>
    <x v="2"/>
    <x v="142"/>
    <x v="10"/>
    <s v="Emergency appeal n° MDR00002"/>
    <x v="1"/>
    <n v="976000"/>
    <n v="1800000"/>
    <m/>
    <m/>
    <n v="0"/>
    <m/>
    <s v="N/A"/>
    <s v="N/A"/>
    <s v="N/A"/>
    <s v="no"/>
    <s v="Missing data"/>
    <s v="Missing data"/>
    <s v="N/A"/>
    <s v="N/A"/>
    <m/>
    <s v="N/A"/>
    <s v="N/A"/>
    <s v="N/A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298"/>
    <s v="Burkina Faso"/>
    <x v="1"/>
    <d v="2009-02-01T00:00:00"/>
    <d v="2009-10-01T00:00:00"/>
    <x v="2"/>
    <x v="143"/>
    <x v="10"/>
    <s v="DREF operation n° MDRBF007"/>
    <x v="0"/>
    <n v="3000000"/>
    <n v="99400"/>
    <n v="89929"/>
    <n v="89929"/>
    <n v="2.9976333333333334E-2"/>
    <n v="90"/>
    <m/>
    <m/>
    <m/>
    <m/>
    <m/>
    <m/>
    <m/>
    <m/>
    <m/>
    <m/>
    <n v="394953"/>
    <n v="835"/>
    <m/>
    <m/>
    <m/>
    <m/>
    <m/>
    <m/>
    <m/>
    <n v="394953"/>
    <m/>
    <m/>
    <m/>
    <m/>
    <m/>
    <m/>
    <m/>
    <m/>
    <m/>
    <m/>
  </r>
  <r>
    <n v="299"/>
    <s v="Niger"/>
    <x v="1"/>
    <d v="2009-03-01T00:00:00"/>
    <d v="2009-06-01T00:00:00"/>
    <x v="2"/>
    <x v="91"/>
    <x v="10"/>
    <s v="DREF operation n° MDRNE004"/>
    <x v="0"/>
    <n v="3960000"/>
    <n v="68828"/>
    <n v="66731"/>
    <n v="66731"/>
    <n v="1.6851262626262627E-2"/>
    <n v="97"/>
    <m/>
    <m/>
    <m/>
    <m/>
    <m/>
    <m/>
    <m/>
    <m/>
    <m/>
    <m/>
    <n v="562196"/>
    <n v="660"/>
    <m/>
    <m/>
    <m/>
    <m/>
    <m/>
    <m/>
    <m/>
    <n v="562196"/>
    <m/>
    <m/>
    <m/>
    <m/>
    <m/>
    <m/>
    <m/>
    <m/>
    <m/>
    <m/>
  </r>
  <r>
    <n v="300"/>
    <s v="Africa (14 countries)"/>
    <x v="1"/>
    <d v="2009-12-01T00:00:00"/>
    <d v="2010-02-01T00:00:00"/>
    <x v="2"/>
    <x v="61"/>
    <x v="10"/>
    <s v="Emergency appeal n° MDR61004"/>
    <x v="1"/>
    <n v="25000000"/>
    <n v="2588533"/>
    <n v="1472993"/>
    <n v="1419206"/>
    <n v="5.6768239999999998E-2"/>
    <n v="54.826652779779124"/>
    <m/>
    <m/>
    <m/>
    <m/>
    <m/>
    <m/>
    <m/>
    <n v="456"/>
    <m/>
    <m/>
    <n v="8932994"/>
    <n v="18981"/>
    <m/>
    <m/>
    <m/>
    <m/>
    <m/>
    <m/>
    <m/>
    <n v="8932994"/>
    <n v="78427"/>
    <n v="3937"/>
    <m/>
    <m/>
    <m/>
    <m/>
    <m/>
    <m/>
    <m/>
    <m/>
  </r>
  <r>
    <n v="301"/>
    <s v="Honduras"/>
    <x v="0"/>
    <d v="2009-09-01T00:00:00"/>
    <d v="2010-03-01T00:00:00"/>
    <x v="2"/>
    <x v="22"/>
    <x v="3"/>
    <s v="DREF operation n° MDRHN002"/>
    <x v="0"/>
    <s v="missing data"/>
    <n v="150000"/>
    <n v="128349"/>
    <n v="128349"/>
    <m/>
    <n v="86"/>
    <m/>
    <m/>
    <m/>
    <m/>
    <m/>
    <m/>
    <m/>
    <m/>
    <m/>
    <m/>
    <m/>
    <n v="50"/>
    <m/>
    <m/>
    <m/>
    <m/>
    <m/>
    <n v="150"/>
    <m/>
    <n v="150"/>
    <n v="74783"/>
    <n v="71917"/>
    <m/>
    <m/>
    <m/>
    <m/>
    <m/>
    <m/>
    <m/>
    <m/>
  </r>
  <r>
    <n v="302"/>
    <s v="Argentine"/>
    <x v="0"/>
    <d v="2009-02-01T00:00:00"/>
    <d v="2009-10-01T00:00:00"/>
    <x v="2"/>
    <x v="144"/>
    <x v="1"/>
    <s v="Final Report DREF operation n° MDRAR004"/>
    <x v="0"/>
    <n v="5000"/>
    <n v="164000"/>
    <n v="148670"/>
    <n v="148670"/>
    <n v="29.734000000000002"/>
    <n v="91"/>
    <n v="3000"/>
    <n v="3000"/>
    <n v="3000"/>
    <m/>
    <m/>
    <n v="1758"/>
    <n v="10200"/>
    <n v="3627"/>
    <n v="1.2090000000000001"/>
    <n v="2300"/>
    <n v="5000"/>
    <m/>
    <m/>
    <m/>
    <m/>
    <m/>
    <m/>
    <m/>
    <m/>
    <n v="7300"/>
    <m/>
    <m/>
    <m/>
    <m/>
    <m/>
    <m/>
    <m/>
    <m/>
    <m/>
    <m/>
  </r>
  <r>
    <n v="303"/>
    <s v="Argentine"/>
    <x v="0"/>
    <d v="2009-01-01T00:00:00"/>
    <d v="2009-12-01T00:00:00"/>
    <x v="2"/>
    <x v="45"/>
    <x v="10"/>
    <s v="DREF operation n° MDRAR005 Final Report"/>
    <x v="0"/>
    <n v="120000"/>
    <n v="184012"/>
    <n v="128084"/>
    <n v="128084"/>
    <n v="1.0673666666666666"/>
    <n v="70"/>
    <m/>
    <m/>
    <m/>
    <m/>
    <m/>
    <n v="1680000"/>
    <n v="6128"/>
    <n v="9931"/>
    <m/>
    <m/>
    <n v="120000"/>
    <n v="446"/>
    <m/>
    <m/>
    <m/>
    <m/>
    <m/>
    <m/>
    <m/>
    <n v="120000"/>
    <m/>
    <m/>
    <m/>
    <m/>
    <m/>
    <m/>
    <m/>
    <m/>
    <m/>
    <m/>
  </r>
  <r>
    <n v="304"/>
    <s v="Bosnia and Herzegovina"/>
    <x v="2"/>
    <d v="2009-01-01T00:00:00"/>
    <d v="2009-02-01T00:00:00"/>
    <x v="2"/>
    <x v="100"/>
    <x v="6"/>
    <s v="DREF operation n° MDRBA002"/>
    <x v="0"/>
    <n v="5000"/>
    <n v="166370"/>
    <n v="166370"/>
    <n v="120843"/>
    <n v="24.168600000000001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05"/>
    <s v="Bosnia and Herzegovina"/>
    <x v="2"/>
    <d v="2009-02-01T00:00:00"/>
    <d v="2009-05-01T00:00:00"/>
    <x v="2"/>
    <x v="1"/>
    <x v="1"/>
    <s v="DREF operation n° MDRBA003"/>
    <x v="0"/>
    <n v="2630"/>
    <n v="100000"/>
    <n v="100000"/>
    <n v="94972"/>
    <n v="36.111026615969578"/>
    <n v="100"/>
    <n v="3825"/>
    <m/>
    <n v="3825"/>
    <m/>
    <m/>
    <n v="7000"/>
    <n v="8000"/>
    <n v="28638"/>
    <n v="7.487058823529412"/>
    <m/>
    <m/>
    <m/>
    <m/>
    <m/>
    <m/>
    <m/>
    <m/>
    <m/>
    <m/>
    <n v="0"/>
    <m/>
    <m/>
    <m/>
    <m/>
    <m/>
    <m/>
    <m/>
    <m/>
    <m/>
    <m/>
  </r>
  <r>
    <n v="306"/>
    <s v="Bosnia and Herzegovina"/>
    <x v="2"/>
    <d v="2009-07-01T00:00:00"/>
    <d v="2009-08-01T00:00:00"/>
    <x v="2"/>
    <x v="1"/>
    <x v="1"/>
    <s v="DREF operation n° MDRBA004"/>
    <x v="0"/>
    <n v="800"/>
    <n v="43929"/>
    <n v="43929"/>
    <n v="42612"/>
    <n v="53.265000000000001"/>
    <n v="100"/>
    <m/>
    <m/>
    <m/>
    <m/>
    <m/>
    <m/>
    <n v="2427"/>
    <n v="2427"/>
    <m/>
    <m/>
    <m/>
    <m/>
    <m/>
    <m/>
    <m/>
    <m/>
    <m/>
    <m/>
    <m/>
    <n v="0"/>
    <m/>
    <m/>
    <m/>
    <m/>
    <m/>
    <m/>
    <m/>
    <m/>
    <m/>
    <m/>
  </r>
  <r>
    <n v="307"/>
    <s v="Burkina Faso"/>
    <x v="1"/>
    <d v="2009-09-01T00:00:00"/>
    <d v="2010-09-01T00:00:00"/>
    <x v="2"/>
    <x v="1"/>
    <x v="1"/>
    <s v="Final report Emergency appeal n° MDRBF008"/>
    <x v="1"/>
    <n v="40000"/>
    <n v="3500000"/>
    <n v="2612304"/>
    <n v="2586130"/>
    <n v="64.65325"/>
    <n v="75"/>
    <n v="8000"/>
    <n v="2000"/>
    <n v="8000"/>
    <m/>
    <m/>
    <n v="15295"/>
    <n v="188000"/>
    <n v="318992"/>
    <n v="39.874000000000002"/>
    <m/>
    <n v="15295"/>
    <n v="140"/>
    <m/>
    <m/>
    <n v="1600"/>
    <m/>
    <m/>
    <m/>
    <m/>
    <n v="15295"/>
    <n v="0"/>
    <n v="1925"/>
    <m/>
    <m/>
    <m/>
    <m/>
    <m/>
    <m/>
    <m/>
    <m/>
  </r>
  <r>
    <n v="308"/>
    <s v="Benin"/>
    <x v="1"/>
    <d v="2009-05-01T00:00:00"/>
    <d v="2009-09-01T00:00:00"/>
    <x v="2"/>
    <x v="145"/>
    <x v="0"/>
    <s v="DREF operation n° MDRBJ005"/>
    <x v="0"/>
    <n v="300"/>
    <n v="21010"/>
    <n v="17443"/>
    <n v="17443"/>
    <n v="58.143333333333331"/>
    <n v="83"/>
    <m/>
    <m/>
    <m/>
    <m/>
    <m/>
    <n v="18000"/>
    <m/>
    <m/>
    <m/>
    <m/>
    <m/>
    <m/>
    <m/>
    <m/>
    <m/>
    <m/>
    <m/>
    <m/>
    <m/>
    <n v="0"/>
    <m/>
    <m/>
    <m/>
    <m/>
    <m/>
    <m/>
    <m/>
    <m/>
    <m/>
    <m/>
  </r>
  <r>
    <n v="309"/>
    <s v="Bolivia"/>
    <x v="0"/>
    <d v="2009-03-01T00:00:00"/>
    <d v="2009-06-01T00:00:00"/>
    <x v="2"/>
    <x v="31"/>
    <x v="10"/>
    <s v="DREF operation n° MDRBO004"/>
    <x v="0"/>
    <n v="7100"/>
    <n v="140437"/>
    <n v="124561"/>
    <n v="124561"/>
    <n v="17.543802816901408"/>
    <n v="89"/>
    <m/>
    <n v="44000"/>
    <m/>
    <m/>
    <m/>
    <n v="44000"/>
    <m/>
    <m/>
    <m/>
    <m/>
    <n v="9100"/>
    <n v="30"/>
    <m/>
    <m/>
    <n v="1200"/>
    <m/>
    <m/>
    <m/>
    <m/>
    <n v="9100"/>
    <m/>
    <m/>
    <m/>
    <m/>
    <m/>
    <m/>
    <m/>
    <m/>
    <m/>
    <m/>
  </r>
  <r>
    <n v="310"/>
    <s v="Costa Rica"/>
    <x v="0"/>
    <d v="2009-01-01T00:00:00"/>
    <d v="2009-04-01T00:00:00"/>
    <x v="2"/>
    <x v="23"/>
    <x v="8"/>
    <s v="DREF operation n° MDRCR005"/>
    <x v="0"/>
    <n v="2500"/>
    <n v="115000"/>
    <n v="101995"/>
    <n v="101995"/>
    <n v="40.798000000000002"/>
    <n v="89"/>
    <m/>
    <m/>
    <m/>
    <m/>
    <m/>
    <m/>
    <m/>
    <m/>
    <m/>
    <m/>
    <m/>
    <m/>
    <m/>
    <m/>
    <n v="400"/>
    <m/>
    <m/>
    <m/>
    <m/>
    <n v="0"/>
    <m/>
    <m/>
    <m/>
    <m/>
    <m/>
    <m/>
    <m/>
    <m/>
    <m/>
    <s v="yes"/>
  </r>
  <r>
    <n v="311"/>
    <s v="Honduras"/>
    <x v="0"/>
    <d v="2009-06-01T00:00:00"/>
    <d v="2009-11-01T00:00:00"/>
    <x v="2"/>
    <x v="23"/>
    <x v="8"/>
    <s v="DREF operation n°MDRHN001 Final Report"/>
    <x v="0"/>
    <n v="4000"/>
    <n v="179946"/>
    <n v="108737"/>
    <n v="108737"/>
    <n v="27.184249999999999"/>
    <n v="60"/>
    <m/>
    <m/>
    <m/>
    <m/>
    <m/>
    <m/>
    <n v="446"/>
    <n v="515"/>
    <m/>
    <m/>
    <m/>
    <m/>
    <m/>
    <m/>
    <m/>
    <m/>
    <m/>
    <m/>
    <m/>
    <n v="0"/>
    <m/>
    <m/>
    <m/>
    <m/>
    <m/>
    <m/>
    <m/>
    <m/>
    <m/>
    <m/>
  </r>
  <r>
    <n v="312"/>
    <s v="Italy"/>
    <x v="2"/>
    <d v="2009-04-01T00:00:00"/>
    <d v="2009-09-01T00:00:00"/>
    <x v="2"/>
    <x v="23"/>
    <x v="8"/>
    <s v="DREF operation n° MDRIT001"/>
    <x v="0"/>
    <n v="22000"/>
    <n v="700000"/>
    <n v="700000"/>
    <n v="700000"/>
    <n v="31.818181818181817"/>
    <n v="100"/>
    <m/>
    <m/>
    <m/>
    <m/>
    <m/>
    <m/>
    <m/>
    <m/>
    <m/>
    <n v="1155"/>
    <m/>
    <n v="10000"/>
    <m/>
    <m/>
    <m/>
    <m/>
    <m/>
    <m/>
    <m/>
    <n v="1155"/>
    <m/>
    <m/>
    <m/>
    <m/>
    <m/>
    <m/>
    <m/>
    <m/>
    <m/>
    <m/>
  </r>
  <r>
    <n v="313"/>
    <s v="Kenya"/>
    <x v="1"/>
    <d v="2009-02-01T00:00:00"/>
    <d v="2009-06-01T00:00:00"/>
    <x v="2"/>
    <x v="33"/>
    <x v="12"/>
    <s v="DREF Operation n°: MDRKE008"/>
    <x v="0"/>
    <n v="1000"/>
    <n v="150572"/>
    <n v="150572"/>
    <n v="150572"/>
    <n v="150.572"/>
    <n v="100"/>
    <m/>
    <m/>
    <m/>
    <m/>
    <m/>
    <m/>
    <m/>
    <m/>
    <m/>
    <n v="500"/>
    <m/>
    <n v="17"/>
    <m/>
    <m/>
    <m/>
    <m/>
    <m/>
    <n v="135"/>
    <m/>
    <n v="635"/>
    <n v="75000"/>
    <n v="75000"/>
    <m/>
    <m/>
    <m/>
    <m/>
    <m/>
    <m/>
    <m/>
    <m/>
  </r>
  <r>
    <n v="314"/>
    <s v="Comores"/>
    <x v="1"/>
    <d v="2009-07-01T00:00:00"/>
    <d v="2009-10-01T00:00:00"/>
    <x v="2"/>
    <x v="146"/>
    <x v="2"/>
    <s v="DREF operation n° MDRKM002"/>
    <x v="0"/>
    <n v="994"/>
    <n v="24654"/>
    <n v="24652"/>
    <n v="24652"/>
    <n v="24.800804828973842"/>
    <n v="100"/>
    <m/>
    <m/>
    <m/>
    <m/>
    <m/>
    <m/>
    <m/>
    <m/>
    <m/>
    <n v="994"/>
    <m/>
    <n v="4"/>
    <m/>
    <m/>
    <m/>
    <m/>
    <m/>
    <m/>
    <m/>
    <n v="994"/>
    <m/>
    <n v="462"/>
    <m/>
    <m/>
    <m/>
    <m/>
    <m/>
    <m/>
    <m/>
    <m/>
  </r>
  <r>
    <n v="315"/>
    <s v="Madagascar"/>
    <x v="1"/>
    <d v="2009-02-01T00:00:00"/>
    <d v="2009-10-01T00:00:00"/>
    <x v="2"/>
    <x v="147"/>
    <x v="0"/>
    <s v="DREF n° MDRMG004"/>
    <x v="0"/>
    <n v="25000"/>
    <n v="244043"/>
    <n v="181478"/>
    <n v="181478"/>
    <n v="7.2591200000000002"/>
    <n v="74"/>
    <n v="6100"/>
    <m/>
    <n v="6100"/>
    <m/>
    <m/>
    <n v="6100"/>
    <m/>
    <n v="38290"/>
    <n v="6.277049180327869"/>
    <m/>
    <m/>
    <n v="274"/>
    <m/>
    <m/>
    <n v="4961"/>
    <m/>
    <m/>
    <m/>
    <m/>
    <n v="0"/>
    <m/>
    <m/>
    <m/>
    <m/>
    <m/>
    <m/>
    <m/>
    <m/>
    <m/>
    <m/>
  </r>
  <r>
    <n v="316"/>
    <s v="Malawi"/>
    <x v="1"/>
    <d v="2009-01-01T00:00:00"/>
    <d v="2009-07-01T00:00:00"/>
    <x v="2"/>
    <x v="148"/>
    <x v="13"/>
    <s v="DREF operation n° MDRMW004"/>
    <x v="0"/>
    <n v="18625"/>
    <n v="71050"/>
    <n v="71022"/>
    <n v="69960"/>
    <n v="3.7562416107382552"/>
    <n v="100"/>
    <m/>
    <m/>
    <m/>
    <m/>
    <m/>
    <s v="missing data"/>
    <m/>
    <m/>
    <m/>
    <m/>
    <m/>
    <m/>
    <m/>
    <m/>
    <n v="100"/>
    <m/>
    <m/>
    <m/>
    <m/>
    <n v="0"/>
    <m/>
    <n v="8536"/>
    <m/>
    <m/>
    <m/>
    <m/>
    <m/>
    <m/>
    <m/>
    <m/>
  </r>
  <r>
    <n v="317"/>
    <s v="Paraguay"/>
    <x v="0"/>
    <d v="2009-03-01T00:00:00"/>
    <d v="2009-06-01T00:00:00"/>
    <x v="2"/>
    <x v="31"/>
    <x v="10"/>
    <s v="DREF operation n° MDRPY006"/>
    <x v="0"/>
    <n v="25000"/>
    <n v="151145"/>
    <n v="136059"/>
    <n v="136059"/>
    <n v="5.4423599999999999"/>
    <n v="90"/>
    <m/>
    <m/>
    <m/>
    <m/>
    <m/>
    <n v="9537"/>
    <m/>
    <m/>
    <m/>
    <m/>
    <n v="20964"/>
    <n v="217"/>
    <m/>
    <m/>
    <m/>
    <m/>
    <m/>
    <m/>
    <m/>
    <n v="20964"/>
    <m/>
    <m/>
    <m/>
    <m/>
    <m/>
    <m/>
    <m/>
    <m/>
    <m/>
    <m/>
  </r>
  <r>
    <n v="318"/>
    <s v="Paraguay"/>
    <x v="0"/>
    <d v="2009-05-01T00:00:00"/>
    <d v="2009-08-01T00:00:00"/>
    <x v="2"/>
    <x v="50"/>
    <x v="6"/>
    <s v="DREF operation n° MDRPY007"/>
    <x v="0"/>
    <n v="8715"/>
    <n v="237515"/>
    <n v="231623"/>
    <n v="231623"/>
    <n v="26.577510040160643"/>
    <n v="98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19"/>
    <s v="Sudan"/>
    <x v="1"/>
    <d v="2009-04-01T00:00:00"/>
    <d v="2009-04-01T00:00:00"/>
    <x v="2"/>
    <x v="149"/>
    <x v="3"/>
    <s v="DREF operation n° MDRSD006"/>
    <x v="0"/>
    <s v="missing data"/>
    <n v="107354"/>
    <n v="76858"/>
    <n v="76858"/>
    <m/>
    <n v="72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20"/>
    <s v="El Salvador"/>
    <x v="0"/>
    <d v="2009-11-01T00:00:00"/>
    <d v="2010-12-01T00:00:00"/>
    <x v="2"/>
    <x v="1"/>
    <x v="14"/>
    <s v="Final report Emergency appeal n° MDRSV002"/>
    <x v="1"/>
    <n v="10000"/>
    <n v="1680178"/>
    <n v="1540492"/>
    <n v="1426642"/>
    <n v="142.66419999999999"/>
    <n v="92"/>
    <n v="89966"/>
    <n v="310"/>
    <n v="89966"/>
    <m/>
    <m/>
    <m/>
    <n v="377701"/>
    <n v="397078"/>
    <n v="4.4136451548362716"/>
    <n v="9100"/>
    <m/>
    <n v="350"/>
    <m/>
    <m/>
    <m/>
    <m/>
    <m/>
    <m/>
    <m/>
    <n v="9100"/>
    <n v="2472"/>
    <m/>
    <m/>
    <m/>
    <m/>
    <m/>
    <m/>
    <m/>
    <m/>
    <m/>
  </r>
  <r>
    <n v="321"/>
    <s v="Tanzania"/>
    <x v="1"/>
    <d v="2009-01-01T00:00:00"/>
    <d v="2009-05-01T00:00:00"/>
    <x v="2"/>
    <x v="150"/>
    <x v="0"/>
    <s v="DREF operation n° MDRTZ008"/>
    <x v="0"/>
    <n v="4000"/>
    <n v="144171"/>
    <n v="133209"/>
    <n v="133209"/>
    <n v="33.302250000000001"/>
    <n v="92"/>
    <m/>
    <m/>
    <m/>
    <m/>
    <m/>
    <m/>
    <n v="300"/>
    <n v="276"/>
    <m/>
    <m/>
    <n v="12000"/>
    <n v="50"/>
    <n v="50"/>
    <m/>
    <n v="1800"/>
    <m/>
    <m/>
    <m/>
    <m/>
    <n v="12000"/>
    <n v="4000"/>
    <n v="3642"/>
    <m/>
    <m/>
    <m/>
    <m/>
    <m/>
    <m/>
    <m/>
    <m/>
  </r>
  <r>
    <n v="322"/>
    <s v="Uganda "/>
    <x v="1"/>
    <d v="2009-02-01T00:00:00"/>
    <d v="2009-04-01T00:00:00"/>
    <x v="2"/>
    <x v="91"/>
    <x v="10"/>
    <s v="DREF operation n° MDRUG013"/>
    <x v="0"/>
    <n v="240576"/>
    <n v="160941"/>
    <n v="160941"/>
    <n v="160941"/>
    <n v="0.66898194333599359"/>
    <n v="100"/>
    <m/>
    <m/>
    <m/>
    <m/>
    <m/>
    <m/>
    <m/>
    <m/>
    <m/>
    <m/>
    <n v="240576"/>
    <n v="150"/>
    <m/>
    <m/>
    <m/>
    <m/>
    <m/>
    <m/>
    <m/>
    <n v="240576"/>
    <m/>
    <m/>
    <m/>
    <m/>
    <m/>
    <m/>
    <m/>
    <m/>
    <m/>
    <m/>
  </r>
  <r>
    <n v="323"/>
    <s v="Uganda "/>
    <x v="1"/>
    <d v="2009-04-01T00:00:00"/>
    <d v="2009-06-01T00:00:00"/>
    <x v="2"/>
    <x v="34"/>
    <x v="10"/>
    <s v="DREF operation n° MDRUG014"/>
    <x v="0"/>
    <n v="18412"/>
    <n v="272842"/>
    <n v="249251"/>
    <n v="249251"/>
    <n v="13.537421247012817"/>
    <n v="91"/>
    <n v="18412"/>
    <n v="2420"/>
    <n v="18412"/>
    <m/>
    <m/>
    <n v="14000"/>
    <n v="133212"/>
    <n v="121222"/>
    <n v="6.5838583532478818"/>
    <m/>
    <n v="75000"/>
    <n v="330"/>
    <m/>
    <m/>
    <m/>
    <m/>
    <m/>
    <n v="259"/>
    <m/>
    <n v="75259"/>
    <m/>
    <m/>
    <m/>
    <m/>
    <m/>
    <m/>
    <m/>
    <m/>
    <m/>
    <m/>
  </r>
  <r>
    <n v="324"/>
    <s v="Azerbeijan"/>
    <x v="2"/>
    <d v="2009-09-01T00:00:00"/>
    <d v="2009-12-01T00:00:00"/>
    <x v="2"/>
    <x v="1"/>
    <x v="14"/>
    <s v="DREF operation n° MDRAZ001"/>
    <x v="0"/>
    <n v="1200"/>
    <m/>
    <m/>
    <n v="124836"/>
    <n v="104.03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25"/>
    <s v="Georgia"/>
    <x v="2"/>
    <d v="2009-09-01T00:00:00"/>
    <d v="2009-11-01T00:00:00"/>
    <x v="2"/>
    <x v="23"/>
    <x v="8"/>
    <s v="DREF operation n° MDRGE002"/>
    <x v="0"/>
    <n v="750"/>
    <m/>
    <m/>
    <n v="61016"/>
    <n v="81.35466666666666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26"/>
    <s v="Guatemala"/>
    <x v="0"/>
    <d v="2009-09-01T00:00:00"/>
    <d v="2009-12-01T00:00:00"/>
    <x v="2"/>
    <x v="16"/>
    <x v="3"/>
    <s v="DREF operation n° MDRGT001"/>
    <x v="0"/>
    <m/>
    <m/>
    <m/>
    <n v="25146.3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27"/>
    <s v="Cambodia"/>
    <x v="4"/>
    <d v="2009-10-01T00:00:00"/>
    <d v="2009-12-01T00:00:00"/>
    <x v="2"/>
    <x v="151"/>
    <x v="0"/>
    <s v="DREF operation n° MDRKH002"/>
    <x v="0"/>
    <n v="6000"/>
    <m/>
    <m/>
    <n v="49961.68"/>
    <n v="8.3269466666666663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28"/>
    <s v="Mexico"/>
    <x v="0"/>
    <d v="2009-09-01T00:00:00"/>
    <d v="2009-12-01T00:00:00"/>
    <x v="2"/>
    <x v="152"/>
    <x v="0"/>
    <s v="Operation DREF n° MDRMX004"/>
    <x v="0"/>
    <n v="15000"/>
    <m/>
    <m/>
    <n v="159513.64000000001"/>
    <n v="10.634242666666667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29"/>
    <s v="Nicaragua"/>
    <x v="0"/>
    <d v="2009-11-01T00:00:00"/>
    <d v="2010-02-01T00:00:00"/>
    <x v="2"/>
    <x v="1"/>
    <x v="14"/>
    <s v="DREF operation n° MDRNI001"/>
    <x v="0"/>
    <n v="4750"/>
    <m/>
    <m/>
    <n v="107272.55"/>
    <n v="22.583694736842105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30"/>
    <s v="Nepal"/>
    <x v="4"/>
    <d v="2009-10-01T00:00:00"/>
    <d v="2010-04-01T00:00:00"/>
    <x v="2"/>
    <x v="43"/>
    <x v="14"/>
    <s v="DREF operation n° MDRNP003"/>
    <x v="0"/>
    <n v="20000"/>
    <m/>
    <m/>
    <n v="277112.56"/>
    <n v="13.855627999999999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31"/>
    <s v="Paraguay"/>
    <x v="0"/>
    <d v="2009-11-01T00:00:00"/>
    <d v="2010-02-01T00:00:00"/>
    <x v="2"/>
    <x v="1"/>
    <x v="14"/>
    <s v="DREF operation n°MDRPY008"/>
    <x v="0"/>
    <n v="10680"/>
    <m/>
    <m/>
    <n v="242712.41"/>
    <n v="22.725881086142323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32"/>
    <s v="Egypt"/>
    <x v="3"/>
    <d v="2009-01-01T00:00:00"/>
    <d v="2009-06-01T00:00:00"/>
    <x v="2"/>
    <x v="153"/>
    <x v="3"/>
    <s v="DREF operation n° MDREG008"/>
    <x v="0"/>
    <n v="800"/>
    <n v="446524"/>
    <n v="381921"/>
    <n v="381921"/>
    <n v="477.40125"/>
    <n v="86"/>
    <m/>
    <m/>
    <m/>
    <m/>
    <m/>
    <m/>
    <n v="5000"/>
    <n v="4300"/>
    <m/>
    <n v="800"/>
    <m/>
    <n v="100"/>
    <m/>
    <m/>
    <m/>
    <m/>
    <m/>
    <n v="967"/>
    <m/>
    <n v="1767"/>
    <n v="3500"/>
    <n v="3010"/>
    <m/>
    <m/>
    <m/>
    <m/>
    <m/>
    <m/>
    <m/>
    <m/>
  </r>
  <r>
    <n v="333"/>
    <s v="Benin"/>
    <x v="1"/>
    <d v="2008-05-01T00:00:00"/>
    <d v="2008-12-01T00:00:00"/>
    <x v="3"/>
    <x v="120"/>
    <x v="6"/>
    <s v="DREF operation n° MDRBJ002"/>
    <x v="0"/>
    <n v="1000"/>
    <n v="64000"/>
    <n v="57032"/>
    <n v="57032"/>
    <n v="57.031999999999996"/>
    <n v="89"/>
    <s v="N/A"/>
    <s v="N/A"/>
    <s v="N/A"/>
    <s v="No "/>
    <s v="N/A"/>
    <n v="1000"/>
    <n v="12000"/>
    <n v="10680"/>
    <m/>
    <n v="1500"/>
    <n v="1500"/>
    <n v="30"/>
    <s v="N/A"/>
    <s v="N/A"/>
    <s v="N/A"/>
    <s v="N/A"/>
    <s v="N/A"/>
    <n v="32"/>
    <s v="N/A"/>
    <n v="3032"/>
    <s v="N/A"/>
    <s v="N/A"/>
    <m/>
    <s v="N/A"/>
    <s v="N/A"/>
    <s v="N/A"/>
    <s v="N/A"/>
    <s v="N/A"/>
    <s v="N/A"/>
    <s v="N/A"/>
  </r>
  <r>
    <n v="334"/>
    <s v="Nigeria"/>
    <x v="1"/>
    <d v="2008-02-01T00:00:00"/>
    <d v="2008-07-01T00:00:00"/>
    <x v="3"/>
    <x v="4"/>
    <x v="3"/>
    <s v="DREF operation n° MDRNG006"/>
    <x v="0"/>
    <n v="2000"/>
    <n v="70000"/>
    <n v="70010"/>
    <n v="70010"/>
    <n v="35.005000000000003"/>
    <n v="100"/>
    <m/>
    <m/>
    <m/>
    <s v="No "/>
    <s v="N/A"/>
    <n v="2000"/>
    <s v="N/A"/>
    <s v="N/A"/>
    <m/>
    <s v="N/A"/>
    <s v="N/A"/>
    <s v="N/A"/>
    <s v="N/A"/>
    <s v="N/A"/>
    <n v="800"/>
    <s v="N/A"/>
    <s v="N/A"/>
    <s v="N/A"/>
    <s v="N/A"/>
    <n v="0"/>
    <s v="N/A"/>
    <s v="N/A"/>
    <m/>
    <s v="N/A"/>
    <s v="N/A"/>
    <s v="N/A"/>
    <s v="N/A"/>
    <s v="N/A"/>
    <s v="N/A"/>
    <s v="N/A"/>
  </r>
  <r>
    <n v="335"/>
    <s v="Palestine"/>
    <x v="3"/>
    <d v="2008-11-01T00:00:00"/>
    <d v="2009-02-01T00:00:00"/>
    <x v="3"/>
    <x v="7"/>
    <x v="1"/>
    <s v="DREF operation n° MDRPS003"/>
    <x v="0"/>
    <n v="2423"/>
    <n v="117783"/>
    <n v="117783"/>
    <n v="117783"/>
    <n v="48.610400330169213"/>
    <n v="100"/>
    <s v="Missing data"/>
    <n v="2423"/>
    <n v="2423"/>
    <s v="no"/>
    <n v="300"/>
    <n v="48953"/>
    <s v="N/A"/>
    <s v="N/A"/>
    <m/>
    <s v="N/A"/>
    <n v="2423"/>
    <s v="N/A"/>
    <s v="N/A"/>
    <s v="N/A"/>
    <s v="N/A"/>
    <s v="N/A"/>
    <s v="N/A"/>
    <s v="N/A"/>
    <s v="N/A"/>
    <n v="2423"/>
    <s v="N/A"/>
    <s v="N/A"/>
    <m/>
    <s v="N/A"/>
    <s v="N/A"/>
    <s v="N/A"/>
    <s v="N/A"/>
    <s v="N/A"/>
    <s v="N/A"/>
    <s v="N/A"/>
  </r>
  <r>
    <n v="336"/>
    <s v="Nigeria"/>
    <x v="1"/>
    <d v="2008-11-10T00:00:00"/>
    <d v="2009-02-07T00:00:00"/>
    <x v="3"/>
    <x v="4"/>
    <x v="3"/>
    <s v="Emergency appeal MDRNG007"/>
    <x v="1"/>
    <n v="2500"/>
    <n v="691687"/>
    <n v="251620"/>
    <n v="251620"/>
    <n v="100.648"/>
    <n v="36"/>
    <n v="2500"/>
    <n v="2500"/>
    <n v="2500"/>
    <s v="no"/>
    <n v="20"/>
    <n v="2500"/>
    <n v="149100"/>
    <n v="28378"/>
    <n v="11.3512"/>
    <s v="N/A"/>
    <s v="Missing data"/>
    <n v="40"/>
    <s v="N/A"/>
    <s v="N/A"/>
    <n v="1400"/>
    <s v="N/A"/>
    <s v="N/A"/>
    <s v="N/A"/>
    <s v="N/A"/>
    <n v="0"/>
    <s v="N/A"/>
    <s v="N/A"/>
    <m/>
    <s v="N/A"/>
    <s v="N/A"/>
    <s v="N/A"/>
    <s v="N/A"/>
    <s v="N/A"/>
    <s v="N/A"/>
    <s v="N/A"/>
  </r>
  <r>
    <n v="337"/>
    <s v="Egypt"/>
    <x v="3"/>
    <d v="2008-09-01T00:00:00"/>
    <d v="2008-11-01T00:00:00"/>
    <x v="3"/>
    <x v="154"/>
    <x v="8"/>
    <s v="DREF operation n° MDREG007"/>
    <x v="0"/>
    <n v="3000"/>
    <n v="249198"/>
    <n v="249198"/>
    <n v="249198"/>
    <n v="83.066000000000003"/>
    <n v="100"/>
    <n v="1500"/>
    <m/>
    <n v="1500"/>
    <s v="no"/>
    <s v="Missing"/>
    <m/>
    <n v="2400"/>
    <n v="2400"/>
    <n v="1.6"/>
    <n v="3000"/>
    <s v="N/A"/>
    <n v="200"/>
    <s v="N/A"/>
    <s v="N/A"/>
    <s v="N/A"/>
    <s v="N/A"/>
    <s v="N/A"/>
    <s v="N/A"/>
    <s v="N/A"/>
    <n v="3000"/>
    <s v="N/A"/>
    <s v="N/A"/>
    <m/>
    <s v="N/A"/>
    <s v="N/A"/>
    <s v="N/A"/>
    <s v="N/A"/>
    <s v="N/A"/>
    <s v="N/A"/>
    <s v="N/A"/>
  </r>
  <r>
    <n v="338"/>
    <s v="Philippines"/>
    <x v="4"/>
    <d v="2008-06-01T00:00:00"/>
    <d v="2009-06-30T00:00:00"/>
    <x v="3"/>
    <x v="155"/>
    <x v="0"/>
    <s v="Emergency appeal n° MDRPH004"/>
    <x v="1"/>
    <n v="5000"/>
    <n v="2075697"/>
    <n v="2079647"/>
    <n v="2079647"/>
    <n v="415.92939999999999"/>
    <n v="100"/>
    <n v="20000"/>
    <n v="6750"/>
    <n v="83250"/>
    <s v="no"/>
    <n v="340"/>
    <n v="124000"/>
    <n v="15031"/>
    <n v="50846"/>
    <n v="0.61076276276276276"/>
    <s v="N/A"/>
    <s v="Missing data"/>
    <s v="N/A"/>
    <s v="N/A"/>
    <s v="N/A"/>
    <n v="7200"/>
    <s v="N/A"/>
    <s v="N/A"/>
    <s v="N/A"/>
    <s v="N/A"/>
    <n v="0"/>
    <s v="N/A"/>
    <s v="N/A"/>
    <m/>
    <s v="N/A"/>
    <s v="N/A"/>
    <n v="1"/>
    <s v="N/A"/>
    <s v="N/A"/>
    <s v="N/A"/>
    <s v="N/A"/>
  </r>
  <r>
    <n v="339"/>
    <s v="Tajikistan"/>
    <x v="2"/>
    <d v="2008-03-01T00:00:00"/>
    <d v="2008-08-01T00:00:00"/>
    <x v="3"/>
    <x v="100"/>
    <x v="6"/>
    <s v="Emergency appeal n° MDRTJ004"/>
    <x v="1"/>
    <n v="5097"/>
    <n v="572678"/>
    <n v="491044"/>
    <n v="491044"/>
    <n v="96.339807730037279"/>
    <n v="86"/>
    <n v="2003"/>
    <m/>
    <n v="2003"/>
    <s v="No "/>
    <s v="N/A"/>
    <n v="2003"/>
    <n v="159572"/>
    <n v="54442"/>
    <n v="27.180229655516726"/>
    <s v="N/A"/>
    <n v="2003"/>
    <n v="42"/>
    <s v="N/A"/>
    <s v="N/A"/>
    <s v="N/A"/>
    <s v="N/A"/>
    <s v="N/A"/>
    <s v="N/A"/>
    <s v="N/A"/>
    <n v="2003"/>
    <n v="1128"/>
    <n v="1487"/>
    <m/>
    <s v="N/A"/>
    <s v="N/A"/>
    <s v="N/A"/>
    <s v="N/A"/>
    <s v="N/A"/>
    <s v="N/A"/>
    <s v="N/A"/>
  </r>
  <r>
    <n v="340"/>
    <s v="Laos"/>
    <x v="4"/>
    <d v="2008-08-01T00:00:00"/>
    <d v="2008-11-01T00:00:00"/>
    <x v="3"/>
    <x v="1"/>
    <x v="1"/>
    <s v="DREF operation n° MDRLA001"/>
    <x v="0"/>
    <n v="8000"/>
    <n v="200000"/>
    <n v="200000"/>
    <n v="174056"/>
    <n v="21.757000000000001"/>
    <n v="100"/>
    <s v="N/A"/>
    <s v="N/A"/>
    <s v="N/A"/>
    <s v="no"/>
    <s v="N/A"/>
    <n v="8000"/>
    <s v="N/A"/>
    <s v="N/A"/>
    <m/>
    <s v="N/A"/>
    <s v="N/A"/>
    <s v="N/A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341"/>
    <s v="Russia"/>
    <x v="2"/>
    <d v="2008-08-22T00:00:00"/>
    <d v="2009-05-07T00:00:00"/>
    <x v="3"/>
    <x v="156"/>
    <x v="3"/>
    <s v="DREF operation n° MDRRU003"/>
    <x v="0"/>
    <n v="10000"/>
    <n v="250000"/>
    <n v="250000"/>
    <n v="213924"/>
    <n v="21.392399999999999"/>
    <n v="100"/>
    <s v="Missing data"/>
    <s v="Missing data"/>
    <s v="Missing data"/>
    <s v="no"/>
    <s v="Missing data"/>
    <s v="Missing data"/>
    <s v="N/A"/>
    <s v="N/A"/>
    <m/>
    <n v="3000"/>
    <s v="N/A"/>
    <n v="25"/>
    <s v="N/A"/>
    <s v="N/A"/>
    <s v="N/A"/>
    <s v="N/A"/>
    <s v="N/A"/>
    <s v="N/A"/>
    <s v="N/A"/>
    <n v="3000"/>
    <s v="N/A"/>
    <s v="N/A"/>
    <m/>
    <s v="N/A"/>
    <s v="N/A"/>
    <s v="N/A"/>
    <s v="N/A"/>
    <s v="N/A"/>
    <s v="N/A"/>
    <s v="N/A"/>
  </r>
  <r>
    <n v="342"/>
    <s v="Morocco"/>
    <x v="3"/>
    <d v="2008-11-07T00:00:00"/>
    <d v="2009-04-30T00:00:00"/>
    <x v="3"/>
    <x v="1"/>
    <x v="1"/>
    <s v="Emergency appeal n° MDRMA001"/>
    <x v="1"/>
    <n v="10000"/>
    <n v="1618182"/>
    <n v="245551"/>
    <n v="245551"/>
    <n v="24.555099999999999"/>
    <n v="15"/>
    <n v="10000"/>
    <m/>
    <n v="10000"/>
    <s v="no"/>
    <s v="N/A"/>
    <n v="10000"/>
    <n v="10000"/>
    <n v="1500"/>
    <n v="0.15"/>
    <s v="N/A"/>
    <s v="N/A"/>
    <s v="N/A"/>
    <n v="200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343"/>
    <s v="Benin"/>
    <x v="1"/>
    <d v="2008-10-01T00:00:00"/>
    <d v="2009-04-01T00:00:00"/>
    <x v="3"/>
    <x v="29"/>
    <x v="10"/>
    <s v="DREF operation n° MDRBJ004"/>
    <x v="0"/>
    <n v="10000"/>
    <m/>
    <m/>
    <m/>
    <n v="0"/>
    <m/>
    <s v="Missing data"/>
    <m/>
    <n v="14627"/>
    <s v="no"/>
    <n v="100"/>
    <n v="14627"/>
    <m/>
    <m/>
    <n v="0"/>
    <s v="N/A"/>
    <n v="14627"/>
    <n v="100"/>
    <s v="N/A"/>
    <s v="N/A"/>
    <s v="N/A"/>
    <s v="N/A"/>
    <s v="N/A"/>
    <n v="58"/>
    <s v="N/A"/>
    <n v="14685"/>
    <m/>
    <m/>
    <m/>
    <s v="N/A"/>
    <s v="N/A"/>
    <s v="N/A"/>
    <s v="N/A"/>
    <s v="N/A"/>
    <s v="N/A"/>
    <s v="N/A"/>
  </r>
  <r>
    <n v="344"/>
    <s v="Cameroon"/>
    <x v="1"/>
    <d v="2008-02-13T00:00:00"/>
    <d v="2009-03-01T00:00:00"/>
    <x v="3"/>
    <x v="4"/>
    <x v="3"/>
    <s v="Emergency appeal n° MDRCM006"/>
    <x v="1"/>
    <n v="10000"/>
    <n v="2640508"/>
    <n v="1644846"/>
    <n v="1644846"/>
    <n v="164.4846"/>
    <n v="62"/>
    <n v="4090"/>
    <n v="2200"/>
    <n v="4090"/>
    <s v="no"/>
    <n v="30"/>
    <n v="5673"/>
    <n v="175245"/>
    <n v="121652"/>
    <n v="29.743765281173594"/>
    <s v="N/A"/>
    <n v="16970"/>
    <s v="N/A"/>
    <s v="N/A"/>
    <s v="N/A"/>
    <n v="2900"/>
    <s v="N/A"/>
    <s v="N/A"/>
    <n v="7148"/>
    <n v="201"/>
    <n v="24118"/>
    <n v="620435"/>
    <n v="49135"/>
    <m/>
    <s v="N/A"/>
    <s v="N/A"/>
    <s v="N/A"/>
    <s v="N/A"/>
    <n v="1"/>
    <s v="N/A"/>
    <s v="N/A"/>
  </r>
  <r>
    <n v="345"/>
    <s v="Djibouti"/>
    <x v="1"/>
    <d v="2008-01-01T00:00:00"/>
    <d v="2009-03-01T00:00:00"/>
    <x v="3"/>
    <x v="16"/>
    <x v="3"/>
    <s v="DREF operation n° MDRDJ001"/>
    <x v="0"/>
    <n v="10000"/>
    <n v="212101"/>
    <n v="204300"/>
    <n v="204300"/>
    <n v="20.43"/>
    <n v="96"/>
    <s v="Missing data"/>
    <n v="10000"/>
    <n v="10000"/>
    <s v="no"/>
    <n v="60"/>
    <n v="10000"/>
    <n v="81790"/>
    <n v="25214"/>
    <n v="2.5213999999999999"/>
    <s v="N/A"/>
    <n v="10000"/>
    <s v="N/A"/>
    <s v="N/A"/>
    <s v="N/A"/>
    <s v="N/A"/>
    <s v="N/A"/>
    <s v="N/A"/>
    <s v="N/A"/>
    <s v="N/A"/>
    <n v="10000"/>
    <s v="N/A"/>
    <s v="N/A"/>
    <m/>
    <s v="N/A"/>
    <s v="N/A"/>
    <s v="N/A"/>
    <s v="N/A"/>
    <s v="N/A"/>
    <s v="N/A"/>
    <s v="N/A"/>
  </r>
  <r>
    <n v="346"/>
    <s v="Algeria"/>
    <x v="3"/>
    <d v="2008-10-17T00:00:00"/>
    <d v="2009-04-30T00:00:00"/>
    <x v="3"/>
    <x v="157"/>
    <x v="1"/>
    <s v="Emergency appeal n° MDRDZ001"/>
    <x v="1"/>
    <n v="12000"/>
    <n v="809626"/>
    <n v="269821"/>
    <n v="269821"/>
    <n v="22.485083333333332"/>
    <n v="33"/>
    <s v="N/A"/>
    <s v="N/A"/>
    <s v="N/A"/>
    <s v="no"/>
    <n v="50"/>
    <n v="10000"/>
    <n v="34000"/>
    <n v="19591"/>
    <m/>
    <n v="5000"/>
    <s v="N/A"/>
    <n v="160"/>
    <s v="N/A"/>
    <s v="N/A"/>
    <s v="N/A"/>
    <s v="N/A"/>
    <s v="N/A"/>
    <s v="N/A"/>
    <s v="N/A"/>
    <n v="5000"/>
    <s v="N/A"/>
    <s v="N/A"/>
    <m/>
    <s v="N/A"/>
    <s v="N/A"/>
    <s v="N/A"/>
    <s v="N/A"/>
    <s v="N/A"/>
    <s v="N/A"/>
    <s v="yes"/>
  </r>
  <r>
    <n v="347"/>
    <s v="Suriname"/>
    <x v="0"/>
    <d v="2008-06-27T00:00:00"/>
    <d v="2009-02-27T00:00:00"/>
    <x v="3"/>
    <x v="1"/>
    <x v="1"/>
    <s v="Emergency appeal n° MDRSR002"/>
    <x v="1"/>
    <n v="15000"/>
    <n v="911135"/>
    <n v="908228"/>
    <n v="905533"/>
    <n v="60.368866666666669"/>
    <n v="99.680947389794042"/>
    <m/>
    <m/>
    <m/>
    <s v="no"/>
    <s v="Missing"/>
    <n v="12770"/>
    <s v="N/A"/>
    <s v="N/A"/>
    <m/>
    <s v="N/A"/>
    <s v="N/A"/>
    <s v="N/A"/>
    <s v="N/A"/>
    <s v="N/A"/>
    <s v="N/A"/>
    <s v="N/A"/>
    <s v="N/A"/>
    <s v="N/A"/>
    <s v="N/A"/>
    <n v="0"/>
    <s v="Missing data"/>
    <n v="53"/>
    <m/>
    <s v="N/A"/>
    <s v="N/A"/>
    <s v="N/A"/>
    <s v="N/A"/>
    <s v="N/A"/>
    <s v="yes"/>
    <s v="N/A"/>
  </r>
  <r>
    <n v="348"/>
    <s v="Caribbean"/>
    <x v="0"/>
    <d v="2008-09-09T00:00:00"/>
    <d v="2009-09-09T00:00:00"/>
    <x v="3"/>
    <x v="158"/>
    <x v="0"/>
    <s v="Emergency appeal n° MDR49003"/>
    <x v="1"/>
    <n v="20000"/>
    <n v="2010991"/>
    <n v="1747365"/>
    <n v="1685768"/>
    <n v="84.288399999999996"/>
    <n v="87"/>
    <s v="N/A"/>
    <s v="N/A"/>
    <s v="N/A"/>
    <s v="no"/>
    <s v="N/A"/>
    <s v="N/A"/>
    <n v="21500"/>
    <n v="18705"/>
    <m/>
    <n v="161"/>
    <s v="Missing data"/>
    <s v="N/A"/>
    <s v="N/A"/>
    <s v="N/A"/>
    <s v="N/A"/>
    <s v="N/A"/>
    <s v="N/A"/>
    <s v="N/A"/>
    <s v="N/A"/>
    <n v="161"/>
    <n v="1925"/>
    <n v="4025"/>
    <m/>
    <s v="N/A"/>
    <s v="N/A"/>
    <s v="N/A"/>
    <s v="N/A"/>
    <s v="N/A"/>
    <s v="N/A"/>
    <s v="N/A"/>
  </r>
  <r>
    <n v="349"/>
    <s v="Central Africa: Chad and Cameroon "/>
    <x v="1"/>
    <d v="2008-09-29T00:00:00"/>
    <d v="2009-03-31T00:00:00"/>
    <x v="3"/>
    <x v="1"/>
    <x v="1"/>
    <s v="Emergency appeal n° MDR62003"/>
    <x v="1"/>
    <n v="21180"/>
    <n v="285379"/>
    <n v="104971"/>
    <n v="104711"/>
    <n v="4.9438621340887634"/>
    <n v="37"/>
    <n v="10590"/>
    <n v="10590"/>
    <n v="10590"/>
    <s v="no"/>
    <n v="30"/>
    <n v="20000"/>
    <n v="13027"/>
    <n v="8506"/>
    <n v="0.80321057601510859"/>
    <s v="N/A"/>
    <s v="N/A"/>
    <s v="N/A"/>
    <s v="N/A"/>
    <s v="N/A"/>
    <n v="2500"/>
    <s v="N/A"/>
    <s v="N/A"/>
    <s v="N/A"/>
    <s v="N/A"/>
    <n v="0"/>
    <n v="2500"/>
    <n v="925"/>
    <m/>
    <s v="N/A"/>
    <s v="N/A"/>
    <s v="N/A"/>
    <s v="N/A"/>
    <s v="N/A"/>
    <s v="N/A"/>
    <s v="N/A"/>
  </r>
  <r>
    <n v="350"/>
    <s v="Uganda"/>
    <x v="1"/>
    <d v="2008-03-01T00:00:00"/>
    <d v="2008-06-01T00:00:00"/>
    <x v="3"/>
    <x v="159"/>
    <x v="10"/>
    <s v="DREF operation n° MDRUG009"/>
    <x v="0"/>
    <n v="29285"/>
    <n v="173401"/>
    <n v="168246"/>
    <n v="168246"/>
    <n v="5.7451254908656306"/>
    <n v="97"/>
    <n v="10500"/>
    <n v="13000"/>
    <n v="10500"/>
    <s v="no"/>
    <n v="104"/>
    <n v="10500"/>
    <s v="N/A"/>
    <s v="N/A"/>
    <m/>
    <s v="N/A"/>
    <s v="N/A"/>
    <s v="N/A"/>
    <n v="100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351"/>
    <s v="Central America (Belize, Guatemala, Honduras and Nicaragua)"/>
    <x v="0"/>
    <d v="2008-10-01T00:00:00"/>
    <d v="2009-10-01T00:00:00"/>
    <x v="3"/>
    <x v="1"/>
    <x v="0"/>
    <s v="Emergency appeal n° MDR43004"/>
    <x v="1"/>
    <n v="32000"/>
    <n v="1469778"/>
    <n v="1216342"/>
    <n v="1216342"/>
    <n v="38.010687500000003"/>
    <n v="82.756851715020915"/>
    <n v="1250"/>
    <m/>
    <n v="1250"/>
    <m/>
    <n v="22"/>
    <n v="1250"/>
    <m/>
    <m/>
    <n v="0"/>
    <m/>
    <m/>
    <m/>
    <m/>
    <m/>
    <m/>
    <m/>
    <m/>
    <m/>
    <m/>
    <n v="0"/>
    <m/>
    <m/>
    <m/>
    <m/>
    <m/>
    <m/>
    <m/>
    <m/>
    <s v="yes"/>
    <m/>
  </r>
  <r>
    <n v="352"/>
    <s v="Cuba"/>
    <x v="0"/>
    <d v="2008-09-01T00:00:00"/>
    <d v="2009-09-01T00:00:00"/>
    <x v="3"/>
    <x v="158"/>
    <x v="0"/>
    <s v="Emergency appeal n° MDRCU001"/>
    <x v="1"/>
    <n v="35000"/>
    <n v="6412000"/>
    <n v="6159988"/>
    <n v="5988293"/>
    <n v="171.09408571428571"/>
    <n v="96"/>
    <n v="4950"/>
    <m/>
    <n v="4950"/>
    <s v="no"/>
    <m/>
    <m/>
    <n v="43560"/>
    <n v="37625"/>
    <n v="7.6010101010101012"/>
    <s v="yes"/>
    <m/>
    <n v="139"/>
    <m/>
    <m/>
    <n v="24000"/>
    <m/>
    <m/>
    <m/>
    <m/>
    <n v="0"/>
    <s v="-"/>
    <s v="-"/>
    <m/>
    <m/>
    <m/>
    <m/>
    <m/>
    <m/>
    <m/>
    <m/>
  </r>
  <r>
    <n v="353"/>
    <s v="West and Central Africa (Benin, Togo, Gambia,  Ghana, Central African Republic, Cameroon, Burkina Faso, Niger, Guinea Bissau, Mali, Guinea, Liberia, Chad, Republic of Congo)"/>
    <x v="1"/>
    <d v="2008-11-18T00:00:00"/>
    <d v="2009-05-30T00:00:00"/>
    <x v="3"/>
    <x v="160"/>
    <x v="1"/>
    <s v="Emergency appeal n° MDR61003"/>
    <x v="1"/>
    <n v="47500"/>
    <n v="1729787"/>
    <n v="1729667"/>
    <n v="1729667"/>
    <n v="36.414042105263157"/>
    <n v="100"/>
    <s v="N/A"/>
    <s v="Missing data"/>
    <n v="44875"/>
    <s v="no"/>
    <s v="N/A"/>
    <n v="3400"/>
    <n v="383396"/>
    <n v="73269"/>
    <n v="1.6327353760445682"/>
    <s v="N/A"/>
    <s v="N/A"/>
    <s v="N/A"/>
    <s v="N/A"/>
    <s v="N/A"/>
    <n v="550"/>
    <s v="N/A"/>
    <s v="N/A"/>
    <s v="N/A"/>
    <s v="N/A"/>
    <n v="0"/>
    <n v="31875"/>
    <n v="31875"/>
    <m/>
    <s v="N/A"/>
    <s v="N/A"/>
    <s v="N/A"/>
    <s v="N/A"/>
    <s v="N/A"/>
    <s v="Yes "/>
    <s v="N/A"/>
  </r>
  <r>
    <n v="354"/>
    <s v="Haiti"/>
    <x v="0"/>
    <d v="2008-09-01T00:00:00"/>
    <d v="2009-11-01T00:00:00"/>
    <x v="3"/>
    <x v="158"/>
    <x v="0"/>
    <s v="Emergency appeal n° MDRHT005"/>
    <x v="1"/>
    <n v="50000"/>
    <n v="8475870"/>
    <n v="8498306"/>
    <n v="8420348"/>
    <n v="168.40696"/>
    <n v="100"/>
    <n v="15000"/>
    <n v="6000"/>
    <n v="15000"/>
    <m/>
    <n v="26"/>
    <n v="15000"/>
    <n v="198054"/>
    <n v="198054"/>
    <n v="13.2036"/>
    <s v="Yes"/>
    <n v="30000"/>
    <n v="50"/>
    <m/>
    <m/>
    <n v="20000"/>
    <m/>
    <m/>
    <n v="30000"/>
    <m/>
    <n v="60000"/>
    <n v="367"/>
    <n v="367"/>
    <m/>
    <m/>
    <m/>
    <m/>
    <m/>
    <n v="2"/>
    <m/>
    <s v="yes"/>
  </r>
  <r>
    <n v="355"/>
    <s v="Madagascar"/>
    <x v="1"/>
    <d v="2008-03-01T00:00:00"/>
    <d v="2008-09-01T00:00:00"/>
    <x v="3"/>
    <x v="161"/>
    <x v="0"/>
    <s v="Emergency Appeal n°MDRMG003"/>
    <x v="1"/>
    <n v="50000"/>
    <n v="1074882"/>
    <n v="702940"/>
    <n v="702940"/>
    <n v="14.0588"/>
    <n v="65"/>
    <m/>
    <m/>
    <m/>
    <s v="no"/>
    <n v="360"/>
    <n v="49980"/>
    <n v="12000"/>
    <n v="7800"/>
    <m/>
    <s v="N/A"/>
    <s v="N/A"/>
    <s v="N/A"/>
    <s v="N/A"/>
    <s v="N/A"/>
    <s v="N/A"/>
    <s v="N/A"/>
    <s v="N/A"/>
    <s v="N/A"/>
    <s v="N/A"/>
    <n v="0"/>
    <s v="Missing data"/>
    <n v="212"/>
    <m/>
    <s v="N/A"/>
    <s v="N/A"/>
    <s v="N/A"/>
    <s v="N/A"/>
    <s v="N/A"/>
    <s v="N/A"/>
    <s v="N/A"/>
  </r>
  <r>
    <n v="356"/>
    <s v="Benin"/>
    <x v="1"/>
    <d v="2008-08-01T00:00:00"/>
    <d v="2009-03-01T00:00:00"/>
    <x v="3"/>
    <x v="29"/>
    <x v="10"/>
    <s v="DREF operation n° MDRBJ003"/>
    <x v="0"/>
    <n v="55000"/>
    <n v="45738"/>
    <n v="43680"/>
    <n v="43680"/>
    <n v="0.79418181818181821"/>
    <n v="96"/>
    <m/>
    <m/>
    <m/>
    <s v="no"/>
    <n v="120"/>
    <n v="55000"/>
    <s v="N/A"/>
    <s v="N/A"/>
    <m/>
    <s v="N/A"/>
    <n v="55000"/>
    <n v="120"/>
    <s v="N/A"/>
    <s v="N/A"/>
    <s v="N/A"/>
    <s v="N/A"/>
    <s v="N/A"/>
    <s v="N/A"/>
    <s v="N/A"/>
    <n v="55000"/>
    <n v="6000"/>
    <n v="2408"/>
    <m/>
    <s v="N/A"/>
    <s v="N/A"/>
    <s v="N/A"/>
    <s v="N/A"/>
    <s v="N/A"/>
    <s v="N/A"/>
    <s v="N/A"/>
  </r>
  <r>
    <n v="357"/>
    <s v="Uganda,Rwanda and Burundi"/>
    <x v="1"/>
    <d v="2008-12-01T00:00:00"/>
    <d v="2009-08-01T00:00:00"/>
    <x v="3"/>
    <x v="4"/>
    <x v="3"/>
    <s v="Emergency appeal n° MDR64004"/>
    <x v="1"/>
    <n v="60000"/>
    <n v="1300299"/>
    <n v="831576"/>
    <n v="831576"/>
    <n v="13.8596"/>
    <n v="64"/>
    <m/>
    <m/>
    <m/>
    <s v="yes"/>
    <n v="90"/>
    <n v="12805"/>
    <n v="336443"/>
    <n v="46920"/>
    <m/>
    <m/>
    <m/>
    <n v="150"/>
    <m/>
    <m/>
    <m/>
    <m/>
    <m/>
    <m/>
    <m/>
    <n v="0"/>
    <n v="7265"/>
    <n v="17618"/>
    <m/>
    <m/>
    <m/>
    <m/>
    <m/>
    <m/>
    <s v="yes"/>
    <m/>
  </r>
  <r>
    <n v="358"/>
    <s v="Moldova and Ukraine"/>
    <x v="2"/>
    <d v="2008-08-05T00:00:00"/>
    <d v="2009-05-31T00:00:00"/>
    <x v="3"/>
    <x v="1"/>
    <x v="1"/>
    <s v="Emergency appeal n° MDR67003"/>
    <x v="1"/>
    <n v="60000"/>
    <n v="1510242"/>
    <n v="1508099"/>
    <n v="1508099"/>
    <n v="25.134983333333334"/>
    <n v="100"/>
    <s v="Missing data"/>
    <s v="Missing data"/>
    <n v="50000"/>
    <s v="no"/>
    <s v="N/A"/>
    <n v="12000"/>
    <n v="237869"/>
    <n v="176563"/>
    <n v="3.5312600000000001"/>
    <s v="N/A"/>
    <n v="50000"/>
    <s v="N/A"/>
    <s v="N/A"/>
    <s v="N/A"/>
    <s v="N/A"/>
    <s v="N/A"/>
    <s v="N/A"/>
    <s v="N/A"/>
    <s v="N/A"/>
    <n v="50000"/>
    <s v="N/A"/>
    <s v="N/A"/>
    <m/>
    <s v="N/A"/>
    <s v="N/A"/>
    <s v="N/A"/>
    <s v="N/A"/>
    <s v="N/A"/>
    <s v="yes"/>
    <s v="N/A"/>
  </r>
  <r>
    <n v="359"/>
    <s v="Ethiopia"/>
    <x v="1"/>
    <d v="2008-06-12T00:00:00"/>
    <d v="2009-06-06T00:00:00"/>
    <x v="3"/>
    <x v="162"/>
    <x v="3"/>
    <s v="Emergency appeal n° MDRET005"/>
    <x v="1"/>
    <n v="76075"/>
    <n v="8157607"/>
    <n v="2107261"/>
    <n v="2107261"/>
    <n v="27.699783108774238"/>
    <n v="26"/>
    <n v="11300"/>
    <n v="4680"/>
    <n v="16214"/>
    <s v="yes"/>
    <n v="234"/>
    <s v="Missing data"/>
    <n v="557731"/>
    <n v="145010.06"/>
    <n v="8.943509312939435"/>
    <s v="Missing data"/>
    <s v="Missing data"/>
    <s v="Missing data"/>
    <s v="N/A"/>
    <s v="N/A"/>
    <s v="N/A"/>
    <s v="N/A"/>
    <s v="N/A"/>
    <s v="N/A"/>
    <s v="N/A"/>
    <n v="0"/>
    <s v="Missing data"/>
    <s v="missing data"/>
    <m/>
    <s v="N/A"/>
    <s v="N/A"/>
    <s v="N/A"/>
    <s v="N/A"/>
    <s v="N/A"/>
    <s v="N/A"/>
    <s v="N/A"/>
  </r>
  <r>
    <n v="360"/>
    <s v="Guinea Bissau"/>
    <x v="1"/>
    <d v="2008-08-01T00:00:00"/>
    <d v="2009-04-01T00:00:00"/>
    <x v="3"/>
    <x v="29"/>
    <x v="10"/>
    <s v="DREF operation n° MDRGW001"/>
    <x v="0"/>
    <n v="90000"/>
    <n v="108254"/>
    <n v="107124"/>
    <n v="107124"/>
    <n v="1.1902666666666666"/>
    <n v="99"/>
    <n v="15745"/>
    <n v="4320"/>
    <n v="15745"/>
    <s v="no"/>
    <n v="200"/>
    <n v="27215"/>
    <n v="8125"/>
    <n v="8043.75"/>
    <n v="0.51087646872022863"/>
    <s v="N/A"/>
    <n v="27215"/>
    <s v="N/A"/>
    <s v="N/A"/>
    <s v="N/A"/>
    <s v="N/A"/>
    <s v="N/A"/>
    <s v="N/A"/>
    <s v="N/A"/>
    <s v="N/A"/>
    <n v="27215"/>
    <n v="28117"/>
    <n v="23063"/>
    <m/>
    <s v="N/A"/>
    <s v="N/A"/>
    <s v="N/A"/>
    <s v="N/A"/>
    <s v="N/A"/>
    <s v="N/A"/>
    <s v="N/A"/>
  </r>
  <r>
    <n v="361"/>
    <s v="Nepal "/>
    <x v="4"/>
    <d v="2008-08-29T00:00:00"/>
    <d v="2009-08-29T00:00:00"/>
    <x v="3"/>
    <x v="1"/>
    <x v="1"/>
    <s v="Emergency appeal n° MDRNP002"/>
    <x v="1"/>
    <n v="100000"/>
    <n v="2647699"/>
    <n v="2084621"/>
    <n v="2084621"/>
    <n v="20.846209999999999"/>
    <n v="79"/>
    <s v="Missing data"/>
    <s v="Missing data"/>
    <s v="Missing data"/>
    <s v="no"/>
    <s v="Missing data"/>
    <s v="Missing data"/>
    <s v="N/A"/>
    <s v="N/A"/>
    <m/>
    <s v="N/A"/>
    <s v="N/A"/>
    <s v="N/A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362"/>
    <s v="Iraq"/>
    <x v="3"/>
    <d v="2008-02-12T00:00:00"/>
    <d v="2009-02-12T00:00:00"/>
    <x v="3"/>
    <x v="163"/>
    <x v="3"/>
    <s v="Emergency appeal n° MDRIQ003"/>
    <x v="1"/>
    <n v="150000"/>
    <n v="5377198"/>
    <n v="2517319"/>
    <n v="2517319"/>
    <n v="16.782126666666667"/>
    <n v="47"/>
    <s v="N/A"/>
    <s v="N/A"/>
    <s v="N/A"/>
    <s v="no"/>
    <s v="N/A"/>
    <s v="N/A"/>
    <s v="N/A"/>
    <s v="N/A"/>
    <m/>
    <s v="N/A"/>
    <s v="N/A"/>
    <n v="250"/>
    <n v="45200"/>
    <s v="N/A"/>
    <s v="N/A"/>
    <s v="N/A"/>
    <s v="N/A"/>
    <n v="1265"/>
    <s v="N/A"/>
    <n v="1265"/>
    <n v="675000"/>
    <n v="580873"/>
    <m/>
    <s v="N/A"/>
    <s v="N/A"/>
    <s v="N/A"/>
    <s v="N/A"/>
    <s v="N/A"/>
    <s v="N/A"/>
    <s v="N/A"/>
  </r>
  <r>
    <n v="363"/>
    <s v="Zimbabwe"/>
    <x v="1"/>
    <d v="2008-08-01T00:00:00"/>
    <d v="2010-09-01T00:00:00"/>
    <x v="3"/>
    <x v="16"/>
    <x v="3"/>
    <s v="Final report Appeal No.MDRZW003"/>
    <x v="1"/>
    <n v="260100"/>
    <n v="38424041"/>
    <n v="13359514"/>
    <n v="13251250"/>
    <n v="50.946751249519416"/>
    <n v="35"/>
    <n v="15000"/>
    <m/>
    <n v="15000"/>
    <s v="yes"/>
    <n v="40"/>
    <n v="100000"/>
    <n v="1076027"/>
    <n v="488366"/>
    <n v="32.557733333333331"/>
    <m/>
    <m/>
    <m/>
    <m/>
    <m/>
    <m/>
    <m/>
    <m/>
    <m/>
    <m/>
    <n v="0"/>
    <m/>
    <m/>
    <m/>
    <m/>
    <m/>
    <m/>
    <m/>
    <m/>
    <m/>
    <m/>
  </r>
  <r>
    <n v="364"/>
    <s v="VietNam"/>
    <x v="4"/>
    <d v="2008-11-12T00:00:00"/>
    <d v="2009-09-12T00:00:00"/>
    <x v="3"/>
    <x v="1"/>
    <x v="1"/>
    <s v="Emergency appeal n° MDRVN005"/>
    <x v="1"/>
    <n v="293860"/>
    <n v="4779038"/>
    <n v="2238026"/>
    <n v="2238026"/>
    <n v="7.6159599809433063"/>
    <n v="47"/>
    <n v="17255"/>
    <m/>
    <n v="17255"/>
    <s v="no"/>
    <s v="Missing data"/>
    <n v="17255"/>
    <n v="847000"/>
    <n v="258309"/>
    <n v="14.970095624456679"/>
    <s v="N/A"/>
    <s v="N/A"/>
    <s v="N/A"/>
    <s v="N/A"/>
    <s v="N/A"/>
    <s v="N/A"/>
    <s v="N/A"/>
    <s v="N/A"/>
    <s v="N/A"/>
    <s v="N/A"/>
    <n v="0"/>
    <s v="Missing data"/>
    <s v="missing data"/>
    <m/>
    <s v="N/A"/>
    <s v="N/A"/>
    <s v="N/A"/>
    <s v="N/A"/>
    <s v="N/A"/>
    <s v="N/A"/>
    <s v="yes"/>
  </r>
  <r>
    <n v="365"/>
    <s v="Kenya"/>
    <x v="1"/>
    <d v="2008-11-07T00:00:00"/>
    <d v="2009-05-07T00:00:00"/>
    <x v="3"/>
    <x v="1"/>
    <x v="1"/>
    <s v="Emergency appeal n° MDRKE 007"/>
    <x v="1"/>
    <n v="300000"/>
    <n v="6179533"/>
    <n v="444203"/>
    <n v="444203"/>
    <n v="1.4806766666666666"/>
    <n v="7"/>
    <n v="19360"/>
    <s v="Missing data"/>
    <n v="100000"/>
    <s v="Yes "/>
    <s v="N/A"/>
    <s v="N/A"/>
    <n v="1059143"/>
    <n v="74140.010000000009"/>
    <n v="0.74140010000000012"/>
    <s v="N/A"/>
    <s v="N/A"/>
    <s v="N/A"/>
    <s v="N/A"/>
    <s v="N/A"/>
    <n v="500"/>
    <s v="N/A"/>
    <s v="N/A"/>
    <s v="N/A"/>
    <s v="N/A"/>
    <n v="0"/>
    <n v="177917"/>
    <n v="12454.19"/>
    <m/>
    <s v="N/A"/>
    <s v="N/A"/>
    <s v="N/A"/>
    <s v="N/A"/>
    <s v="N/A"/>
    <s v="N/A"/>
    <s v="N/A"/>
  </r>
  <r>
    <n v="366"/>
    <s v="Republic of Congo"/>
    <x v="1"/>
    <d v="2008-07-01T00:00:00"/>
    <d v="2009-04-01T00:00:00"/>
    <x v="3"/>
    <x v="44"/>
    <x v="10"/>
    <s v="DREF operation n° MDRCG004"/>
    <x v="0"/>
    <n v="400000"/>
    <n v="126310"/>
    <n v="126119"/>
    <n v="126119"/>
    <n v="0.31529750000000001"/>
    <n v="100"/>
    <s v="Missing data"/>
    <n v="52397"/>
    <n v="52397"/>
    <s v="yes"/>
    <n v="120"/>
    <n v="52397"/>
    <n v="17500"/>
    <n v="6512"/>
    <n v="0.12428192453766437"/>
    <n v="52397"/>
    <s v="Missing data"/>
    <n v="70"/>
    <s v="N/A"/>
    <s v="N/A"/>
    <s v="N/A"/>
    <s v="N/A"/>
    <s v="N/A"/>
    <s v="N/A"/>
    <s v="N/A"/>
    <n v="52397"/>
    <s v="Missing data"/>
    <n v="1205"/>
    <m/>
    <s v="N/A"/>
    <s v="N/A"/>
    <s v="N/A"/>
    <s v="N/A"/>
    <s v="N/A"/>
    <s v="Yes "/>
    <s v="N/A"/>
  </r>
  <r>
    <n v="367"/>
    <s v="Uganda"/>
    <x v="1"/>
    <d v="2008-07-10T00:00:00"/>
    <d v="2008-12-01T00:00:00"/>
    <x v="3"/>
    <x v="164"/>
    <x v="10"/>
    <s v="Emergency appeal n° MDRUG010"/>
    <x v="1"/>
    <n v="425095"/>
    <n v="947079"/>
    <n v="148186"/>
    <n v="148186"/>
    <n v="0.34859501993672004"/>
    <n v="16"/>
    <n v="12000"/>
    <s v="Missing data"/>
    <n v="85019"/>
    <s v="no"/>
    <n v="150"/>
    <n v="35111"/>
    <n v="283157"/>
    <n v="45305.120000000003"/>
    <n v="0.53288229689834044"/>
    <s v="N/A"/>
    <s v="N/A"/>
    <s v="N/A"/>
    <s v="N/A"/>
    <s v="N/A"/>
    <s v="N/A"/>
    <s v="N/A"/>
    <s v="N/A"/>
    <s v="N/A"/>
    <s v="N/A"/>
    <n v="0"/>
    <n v="53436"/>
    <n v="31890"/>
    <m/>
    <s v="N/A"/>
    <s v="N/A"/>
    <s v="N/A"/>
    <s v="N/A"/>
    <s v="N/A"/>
    <s v="N/A"/>
    <s v="N/A"/>
  </r>
  <r>
    <n v="368"/>
    <s v="Democratic Republic of Congo"/>
    <x v="1"/>
    <d v="2008-12-16T00:00:00"/>
    <m/>
    <x v="3"/>
    <x v="165"/>
    <x v="10"/>
    <s v="DREF Operation n° MDRCD005"/>
    <x v="0"/>
    <n v="600000"/>
    <n v="173430"/>
    <n v="171902"/>
    <n v="171902"/>
    <n v="0.28650333333333333"/>
    <n v="99"/>
    <s v="N/A"/>
    <n v="80"/>
    <s v="Missing data"/>
    <s v="no"/>
    <n v="250"/>
    <n v="135900"/>
    <n v="31923"/>
    <n v="41733"/>
    <m/>
    <s v="N/A"/>
    <n v="135900"/>
    <s v="N/A"/>
    <s v="N/A"/>
    <s v="N/A"/>
    <s v="N/A"/>
    <s v="N/A"/>
    <s v="N/A"/>
    <s v="N/A"/>
    <s v="N/A"/>
    <n v="135900"/>
    <s v="N/A"/>
    <s v="N/A"/>
    <m/>
    <s v="N/A"/>
    <s v="N/A"/>
    <s v="N/A"/>
    <s v="N/A"/>
    <s v="N/A"/>
    <s v="N/A"/>
    <s v="N/A"/>
  </r>
  <r>
    <n v="369"/>
    <s v="Myanmar"/>
    <x v="4"/>
    <d v="2008-05-01T00:00:00"/>
    <d v="2011-09-01T00:00:00"/>
    <x v="3"/>
    <x v="166"/>
    <x v="0"/>
    <s v="Emergency Appeal No.MDRMM002"/>
    <x v="1"/>
    <n v="870000"/>
    <n v="68599213"/>
    <n v="55447165"/>
    <n v="64841259"/>
    <n v="74.530182758620683"/>
    <n v="102"/>
    <n v="437500"/>
    <n v="227000"/>
    <n v="437500"/>
    <m/>
    <m/>
    <n v="127410"/>
    <n v="2501399"/>
    <n v="4550347"/>
    <n v="10.400793142857143"/>
    <n v="70363"/>
    <n v="77255"/>
    <n v="77255"/>
    <n v="4358"/>
    <m/>
    <m/>
    <m/>
    <m/>
    <m/>
    <m/>
    <n v="147618"/>
    <n v="825845"/>
    <n v="840604"/>
    <m/>
    <n v="1"/>
    <m/>
    <n v="1"/>
    <m/>
    <m/>
    <m/>
    <m/>
  </r>
  <r>
    <n v="370"/>
    <s v="China"/>
    <x v="4"/>
    <d v="2008-05-01T00:00:00"/>
    <d v="2011-09-01T00:00:00"/>
    <x v="3"/>
    <x v="167"/>
    <x v="8"/>
    <s v="Emergency appeal n° MDRCN003 Operations Update n° 32"/>
    <x v="1"/>
    <n v="1000000"/>
    <n v="152857778"/>
    <n v="150452383"/>
    <n v="128785707"/>
    <n v="128.785707"/>
    <n v="98"/>
    <n v="13875"/>
    <m/>
    <n v="13875"/>
    <m/>
    <m/>
    <n v="21010"/>
    <n v="3416337"/>
    <n v="2025486"/>
    <n v="145.98097297297298"/>
    <n v="230000"/>
    <m/>
    <n v="80"/>
    <n v="1130"/>
    <m/>
    <m/>
    <m/>
    <m/>
    <n v="23000"/>
    <m/>
    <n v="253000"/>
    <n v="598581"/>
    <n v="7355"/>
    <m/>
    <n v="2"/>
    <n v="1"/>
    <m/>
    <m/>
    <m/>
    <m/>
    <m/>
  </r>
  <r>
    <n v="371"/>
    <s v="Zimbabwe "/>
    <x v="1"/>
    <d v="2008-12-01T00:00:00"/>
    <d v="2010-03-01T00:00:00"/>
    <x v="3"/>
    <x v="29"/>
    <x v="10"/>
    <s v="Emergency Appeal No. MDRZW004"/>
    <x v="1"/>
    <n v="1500000"/>
    <n v="6345380"/>
    <n v="2384396"/>
    <n v="3021989"/>
    <n v="2.0146593333333334"/>
    <n v="48"/>
    <n v="55000"/>
    <m/>
    <n v="55000"/>
    <m/>
    <m/>
    <n v="250000"/>
    <n v="1352650"/>
    <n v="338936"/>
    <n v="6.1624727272727275"/>
    <m/>
    <n v="250000"/>
    <n v="1170"/>
    <m/>
    <m/>
    <m/>
    <m/>
    <m/>
    <m/>
    <m/>
    <n v="250000"/>
    <n v="74761"/>
    <n v="119266"/>
    <m/>
    <n v="1"/>
    <n v="2"/>
    <n v="1"/>
    <m/>
    <n v="3"/>
    <m/>
    <m/>
  </r>
  <r>
    <n v="372"/>
    <s v="Benin"/>
    <x v="1"/>
    <d v="2008-02-01T00:00:00"/>
    <d v="2008-11-01T00:00:00"/>
    <x v="3"/>
    <x v="91"/>
    <x v="10"/>
    <s v="DREF operation n° MDRBJ001"/>
    <x v="0"/>
    <n v="1800000"/>
    <n v="50000"/>
    <n v="42874"/>
    <n v="42874"/>
    <n v="2.3818888888888889E-2"/>
    <n v="86"/>
    <s v="N/A"/>
    <s v="N/A"/>
    <s v="N/A"/>
    <s v="No "/>
    <s v="N/A"/>
    <s v="Missing data"/>
    <s v="N/A"/>
    <s v="N/A"/>
    <m/>
    <s v="N/A"/>
    <s v="Yes"/>
    <n v="300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yes"/>
  </r>
  <r>
    <n v="373"/>
    <s v="Horn of Africa (Ethiopia, Djibouti, Kenya and Somalia)"/>
    <x v="1"/>
    <d v="2008-10-01T00:00:00"/>
    <d v="2013-12-01T00:00:00"/>
    <x v="3"/>
    <x v="168"/>
    <x v="3"/>
    <s v="Emergency appeal n° MDR64003"/>
    <x v="1"/>
    <n v="2200000"/>
    <n v="75760326"/>
    <n v="12643303"/>
    <n v="11786531"/>
    <n v="5.357514090909091"/>
    <n v="17"/>
    <n v="3300"/>
    <n v="1900"/>
    <n v="3300"/>
    <m/>
    <m/>
    <m/>
    <n v="2889221"/>
    <n v="66019"/>
    <n v="20.005757575757574"/>
    <m/>
    <n v="21736"/>
    <n v="250"/>
    <m/>
    <m/>
    <m/>
    <m/>
    <m/>
    <n v="26922"/>
    <m/>
    <n v="48658"/>
    <n v="1506490"/>
    <n v="18884"/>
    <m/>
    <m/>
    <m/>
    <m/>
    <m/>
    <m/>
    <m/>
    <m/>
  </r>
  <r>
    <n v="374"/>
    <s v="Burkina Faso"/>
    <x v="1"/>
    <d v="2008-01-01T00:00:00"/>
    <d v="2008-09-01T00:00:00"/>
    <x v="3"/>
    <x v="91"/>
    <x v="10"/>
    <s v="DREF operation n° MDRBF005"/>
    <x v="0"/>
    <n v="2260800"/>
    <n v="95000"/>
    <n v="89847"/>
    <n v="89847"/>
    <n v="3.9741242038216558E-2"/>
    <n v="95"/>
    <s v="N/A"/>
    <s v="N/A"/>
    <s v="N/A"/>
    <s v="No "/>
    <s v="N/A"/>
    <n v="1200000"/>
    <s v="N/A"/>
    <s v="N/A"/>
    <m/>
    <s v="N/A"/>
    <n v="2260800"/>
    <n v="1625"/>
    <s v="N/A"/>
    <s v="N/A"/>
    <s v="N/A"/>
    <s v="N/A"/>
    <s v="N/A"/>
    <s v="N/A"/>
    <s v="N/A"/>
    <n v="2260800"/>
    <s v="N/A"/>
    <s v="N/A"/>
    <m/>
    <s v="N/A"/>
    <s v="N/A"/>
    <s v="N/A"/>
    <s v="N/A"/>
    <s v="N/A"/>
    <s v="N/A"/>
    <s v="N/A"/>
  </r>
  <r>
    <n v="375"/>
    <s v="Burkina Faso"/>
    <x v="1"/>
    <d v="2008-11-01T00:00:00"/>
    <d v="2009-04-01T00:00:00"/>
    <x v="3"/>
    <x v="46"/>
    <x v="10"/>
    <s v="DREF operation n° MDRBF006"/>
    <x v="0"/>
    <n v="8000000"/>
    <n v="65618"/>
    <n v="64153"/>
    <n v="64153"/>
    <n v="8.0191250000000002E-3"/>
    <n v="98"/>
    <s v="N/A"/>
    <s v="N/A"/>
    <s v="N/A"/>
    <s v="no"/>
    <s v="N/A"/>
    <s v="N/A"/>
    <s v="N/A"/>
    <s v="N/A"/>
    <m/>
    <s v="N/A"/>
    <n v="1200000"/>
    <n v="800"/>
    <s v="N/A"/>
    <s v="N/A"/>
    <s v="N/A"/>
    <s v="N/A"/>
    <s v="N/A"/>
    <s v="N/A"/>
    <s v="N/A"/>
    <n v="1200000"/>
    <s v="N/A"/>
    <s v="N/A"/>
    <m/>
    <s v="N/A"/>
    <s v="N/A"/>
    <s v="N/A"/>
    <s v="N/A"/>
    <s v="N/A"/>
    <s v="N/A"/>
    <s v="N/A"/>
  </r>
  <r>
    <n v="376"/>
    <s v="Lebanon"/>
    <x v="3"/>
    <d v="2008-05-01T00:00:00"/>
    <d v="2008-07-01T00:00:00"/>
    <x v="3"/>
    <x v="169"/>
    <x v="3"/>
    <s v="DREF operation n° MDRLB001"/>
    <x v="0"/>
    <m/>
    <n v="70000"/>
    <n v="70000"/>
    <n v="70000"/>
    <m/>
    <n v="100"/>
    <s v="N/A"/>
    <s v="N/A"/>
    <s v="N/A"/>
    <s v="No "/>
    <s v="N/A"/>
    <s v="N/A"/>
    <s v="N/A"/>
    <s v="N/A"/>
    <m/>
    <s v="N/A"/>
    <s v="N/A"/>
    <n v="450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377"/>
    <s v="Georgia"/>
    <x v="2"/>
    <d v="2008-08-01T00:00:00"/>
    <d v="2009-03-01T00:00:00"/>
    <x v="3"/>
    <x v="170"/>
    <x v="3"/>
    <s v="DREF operation n° MDRGE001"/>
    <x v="0"/>
    <m/>
    <n v="233690"/>
    <n v="233690"/>
    <n v="229312"/>
    <m/>
    <n v="100"/>
    <m/>
    <m/>
    <m/>
    <m/>
    <m/>
    <m/>
    <s v="-"/>
    <s v="-"/>
    <m/>
    <m/>
    <m/>
    <n v="26"/>
    <m/>
    <m/>
    <m/>
    <m/>
    <m/>
    <m/>
    <m/>
    <n v="0"/>
    <n v="20000"/>
    <n v="21178"/>
    <m/>
    <m/>
    <m/>
    <m/>
    <n v="1"/>
    <m/>
    <m/>
    <s v="yes"/>
  </r>
  <r>
    <n v="378"/>
    <s v="Costa Rica and Nicaragua"/>
    <x v="0"/>
    <d v="2008-01-01T00:00:00"/>
    <d v="2008-12-01T00:00:00"/>
    <x v="3"/>
    <x v="171"/>
    <x v="0"/>
    <s v="DREF operation n° MDR43003"/>
    <x v="0"/>
    <n v="7500"/>
    <n v="200001"/>
    <n v="171818"/>
    <n v="171818"/>
    <n v="22.909066666666668"/>
    <n v="86"/>
    <n v="833"/>
    <m/>
    <n v="833"/>
    <m/>
    <m/>
    <m/>
    <m/>
    <m/>
    <n v="0"/>
    <m/>
    <m/>
    <m/>
    <m/>
    <m/>
    <m/>
    <m/>
    <m/>
    <m/>
    <m/>
    <n v="0"/>
    <m/>
    <m/>
    <m/>
    <m/>
    <m/>
    <m/>
    <m/>
    <m/>
    <m/>
    <m/>
  </r>
  <r>
    <n v="379"/>
    <s v="Costa Rica and Panama"/>
    <x v="0"/>
    <d v="2008-09-01T00:00:00"/>
    <d v="2010-12-01T00:00:00"/>
    <x v="3"/>
    <x v="1"/>
    <x v="1"/>
    <s v="Emergency appeal n° MDR43005"/>
    <x v="1"/>
    <n v="12500"/>
    <n v="651961"/>
    <n v="651555"/>
    <n v="651555"/>
    <n v="52.124400000000001"/>
    <n v="100"/>
    <n v="11500"/>
    <n v="7500"/>
    <n v="11500"/>
    <m/>
    <n v="50"/>
    <n v="11500"/>
    <n v="60707"/>
    <n v="40624"/>
    <n v="3.5325217391304347"/>
    <m/>
    <m/>
    <m/>
    <m/>
    <m/>
    <n v="3000"/>
    <m/>
    <m/>
    <m/>
    <m/>
    <n v="0"/>
    <m/>
    <n v="4427"/>
    <m/>
    <m/>
    <m/>
    <m/>
    <m/>
    <m/>
    <m/>
    <s v="yes"/>
  </r>
  <r>
    <n v="380"/>
    <s v="Djibouti, Ethiopia and Kenya"/>
    <x v="1"/>
    <d v="2008-04-01T00:00:00"/>
    <d v="2008-12-01T00:00:00"/>
    <x v="3"/>
    <x v="50"/>
    <x v="1"/>
    <s v="DREF operation n° MDR64002"/>
    <x v="0"/>
    <n v="137092"/>
    <n v="35760"/>
    <n v="16737"/>
    <n v="16737"/>
    <n v="0.12208589852070142"/>
    <n v="47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81"/>
    <s v="Antigua and Barbuda"/>
    <x v="0"/>
    <d v="2008-10-01T00:00:00"/>
    <d v="2009-05-01T00:00:00"/>
    <x v="3"/>
    <x v="172"/>
    <x v="1"/>
    <s v="DREF operation n° MDRAG001"/>
    <x v="0"/>
    <n v="2500"/>
    <n v="55000"/>
    <n v="55314"/>
    <n v="55314"/>
    <n v="22.125599999999999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82"/>
    <s v="Albania"/>
    <x v="2"/>
    <d v="2008-03-01T00:00:00"/>
    <d v="2008-11-01T00:00:00"/>
    <x v="3"/>
    <x v="128"/>
    <x v="3"/>
    <s v="DREF operation n° MDRAL001"/>
    <x v="0"/>
    <n v="4084"/>
    <n v="248294"/>
    <n v="246123"/>
    <n v="246123"/>
    <n v="60.265181194906951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83"/>
    <s v="Argentine"/>
    <x v="0"/>
    <d v="2008-03-01T00:00:00"/>
    <d v="2009-05-01T00:00:00"/>
    <x v="3"/>
    <x v="1"/>
    <x v="1"/>
    <s v="DREF operation n° MDRAR003"/>
    <x v="0"/>
    <n v="2200"/>
    <n v="127836"/>
    <n v="127634"/>
    <n v="127634"/>
    <n v="58.015454545454546"/>
    <n v="100"/>
    <m/>
    <m/>
    <m/>
    <m/>
    <m/>
    <m/>
    <m/>
    <m/>
    <m/>
    <n v="635"/>
    <n v="450"/>
    <m/>
    <m/>
    <m/>
    <m/>
    <m/>
    <m/>
    <m/>
    <m/>
    <n v="1085"/>
    <m/>
    <n v="2279"/>
    <m/>
    <m/>
    <m/>
    <m/>
    <m/>
    <m/>
    <m/>
    <m/>
  </r>
  <r>
    <n v="384"/>
    <s v="Burundi"/>
    <x v="1"/>
    <d v="2008-10-01T00:00:00"/>
    <d v="2009-07-01T00:00:00"/>
    <x v="3"/>
    <x v="1"/>
    <x v="1"/>
    <s v="DREF operation n° MDRBI003"/>
    <x v="0"/>
    <n v="2770"/>
    <n v="146222"/>
    <n v="146238"/>
    <n v="146238"/>
    <n v="52.793501805054149"/>
    <n v="100"/>
    <m/>
    <m/>
    <m/>
    <m/>
    <m/>
    <m/>
    <n v="9770"/>
    <n v="9770"/>
    <m/>
    <m/>
    <n v="3465"/>
    <m/>
    <m/>
    <m/>
    <n v="693"/>
    <m/>
    <m/>
    <m/>
    <m/>
    <n v="3465"/>
    <m/>
    <m/>
    <m/>
    <m/>
    <m/>
    <m/>
    <m/>
    <m/>
    <m/>
    <m/>
  </r>
  <r>
    <n v="385"/>
    <s v="Bolivia"/>
    <x v="0"/>
    <d v="2008-01-01T00:00:00"/>
    <d v="2008-12-01T00:00:00"/>
    <x v="3"/>
    <x v="1"/>
    <x v="1"/>
    <s v="DREF operation n° MDRBO003"/>
    <x v="0"/>
    <n v="6500"/>
    <n v="125000"/>
    <n v="117011"/>
    <n v="117011"/>
    <n v="18.001692307692309"/>
    <n v="94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86"/>
    <s v="Brazil"/>
    <x v="0"/>
    <d v="2008-01-01T00:00:00"/>
    <d v="2009-03-01T00:00:00"/>
    <x v="3"/>
    <x v="1"/>
    <x v="1"/>
    <s v="DREF operation n° MDRBR002"/>
    <x v="0"/>
    <n v="7500"/>
    <n v="115000"/>
    <n v="97106"/>
    <n v="97106"/>
    <n v="12.947466666666667"/>
    <n v="84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87"/>
    <s v="Brazil"/>
    <x v="0"/>
    <d v="2008-01-01T00:00:00"/>
    <d v="2009-03-01T00:00:00"/>
    <x v="3"/>
    <x v="45"/>
    <x v="10"/>
    <s v="DREF operation n° MDRBR003"/>
    <x v="0"/>
    <n v="10000"/>
    <n v="55000"/>
    <n v="35344"/>
    <n v="35344"/>
    <n v="3.5344000000000002"/>
    <n v="64"/>
    <m/>
    <m/>
    <m/>
    <m/>
    <m/>
    <m/>
    <m/>
    <m/>
    <m/>
    <m/>
    <n v="10000"/>
    <n v="40"/>
    <m/>
    <m/>
    <m/>
    <m/>
    <m/>
    <m/>
    <m/>
    <n v="10000"/>
    <m/>
    <m/>
    <m/>
    <m/>
    <m/>
    <m/>
    <m/>
    <m/>
    <m/>
    <m/>
  </r>
  <r>
    <n v="388"/>
    <s v="Brazil"/>
    <x v="0"/>
    <d v="2008-12-01T00:00:00"/>
    <d v="2009-10-01T00:00:00"/>
    <x v="3"/>
    <x v="1"/>
    <x v="1"/>
    <s v="DREF operation n° MDRBR004"/>
    <x v="0"/>
    <n v="10000"/>
    <n v="170000"/>
    <n v="158294"/>
    <n v="158294"/>
    <n v="15.8294"/>
    <n v="93"/>
    <n v="4000"/>
    <m/>
    <n v="4000"/>
    <m/>
    <n v="25"/>
    <m/>
    <m/>
    <n v="18774"/>
    <n v="4.6935000000000002"/>
    <m/>
    <m/>
    <m/>
    <m/>
    <m/>
    <m/>
    <m/>
    <m/>
    <m/>
    <m/>
    <n v="0"/>
    <m/>
    <m/>
    <m/>
    <m/>
    <m/>
    <m/>
    <m/>
    <m/>
    <m/>
    <m/>
  </r>
  <r>
    <n v="389"/>
    <s v="Belize"/>
    <x v="0"/>
    <d v="2008-01-01T00:00:00"/>
    <d v="2008-12-01T00:00:00"/>
    <x v="3"/>
    <x v="173"/>
    <x v="1"/>
    <s v="DREF operation n° MDRBZ001"/>
    <x v="0"/>
    <n v="2500"/>
    <n v="159000"/>
    <n v="131422"/>
    <n v="131422"/>
    <n v="52.568800000000003"/>
    <n v="100"/>
    <n v="2500"/>
    <n v="1000"/>
    <n v="2500"/>
    <m/>
    <m/>
    <n v="2500"/>
    <m/>
    <m/>
    <n v="0"/>
    <n v="214"/>
    <n v="2500"/>
    <m/>
    <m/>
    <m/>
    <n v="1000"/>
    <m/>
    <m/>
    <m/>
    <m/>
    <n v="2714"/>
    <m/>
    <m/>
    <m/>
    <m/>
    <m/>
    <m/>
    <m/>
    <m/>
    <m/>
    <m/>
  </r>
  <r>
    <n v="390"/>
    <s v="Chile"/>
    <x v="0"/>
    <d v="2008-05-01T00:00:00"/>
    <d v="2009-05-01T00:00:00"/>
    <x v="3"/>
    <x v="174"/>
    <x v="1"/>
    <s v="DREF operation n° MDRCL003"/>
    <x v="0"/>
    <n v="8000"/>
    <n v="75000"/>
    <n v="71611"/>
    <n v="71611"/>
    <n v="8.9513750000000005"/>
    <n v="95"/>
    <m/>
    <m/>
    <m/>
    <m/>
    <m/>
    <m/>
    <m/>
    <m/>
    <m/>
    <n v="5000"/>
    <m/>
    <n v="7"/>
    <m/>
    <m/>
    <m/>
    <m/>
    <m/>
    <m/>
    <m/>
    <n v="5000"/>
    <m/>
    <m/>
    <m/>
    <m/>
    <m/>
    <m/>
    <m/>
    <m/>
    <m/>
    <m/>
  </r>
  <r>
    <n v="391"/>
    <s v="Chile"/>
    <x v="0"/>
    <d v="2008-09-01T00:00:00"/>
    <d v="2009-09-01T00:00:00"/>
    <x v="3"/>
    <x v="1"/>
    <x v="1"/>
    <s v="DREF operation n° MDRCL004"/>
    <x v="0"/>
    <n v="4000"/>
    <n v="220000"/>
    <n v="126533"/>
    <n v="126533"/>
    <n v="31.63325"/>
    <n v="58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92"/>
    <s v="Chile"/>
    <x v="0"/>
    <d v="2008-09-01T00:00:00"/>
    <d v="2009-05-01T00:00:00"/>
    <x v="3"/>
    <x v="1"/>
    <x v="1"/>
    <s v="DREF operation n° MDRCL005"/>
    <x v="0"/>
    <n v="4485"/>
    <n v="121384"/>
    <n v="103417"/>
    <n v="103417"/>
    <n v="23.058416945373466"/>
    <n v="85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93"/>
    <s v="Colombia"/>
    <x v="0"/>
    <d v="2008-04-01T00:00:00"/>
    <d v="2008-07-01T00:00:00"/>
    <x v="3"/>
    <x v="175"/>
    <x v="1"/>
    <s v="DREF operation n° MDRCO003"/>
    <x v="0"/>
    <n v="11250"/>
    <n v="103000"/>
    <n v="99409"/>
    <n v="99409"/>
    <n v="8.8363555555555564"/>
    <n v="97"/>
    <n v="3200"/>
    <m/>
    <n v="3200"/>
    <m/>
    <n v="17"/>
    <m/>
    <n v="30000"/>
    <n v="29020"/>
    <n v="9.0687499999999996"/>
    <m/>
    <m/>
    <m/>
    <m/>
    <m/>
    <m/>
    <m/>
    <m/>
    <m/>
    <m/>
    <n v="0"/>
    <m/>
    <m/>
    <m/>
    <m/>
    <m/>
    <m/>
    <m/>
    <m/>
    <m/>
    <m/>
  </r>
  <r>
    <n v="394"/>
    <s v="Colombia"/>
    <x v="0"/>
    <d v="2008-10-01T00:00:00"/>
    <d v="2009-08-01T00:00:00"/>
    <x v="3"/>
    <x v="1"/>
    <x v="1"/>
    <s v="DREF operation n° MDRCO004"/>
    <x v="0"/>
    <n v="500"/>
    <n v="95701"/>
    <n v="93766"/>
    <n v="93766"/>
    <n v="187.53200000000001"/>
    <n v="98"/>
    <m/>
    <m/>
    <m/>
    <m/>
    <m/>
    <m/>
    <n v="4500"/>
    <n v="6096"/>
    <m/>
    <n v="166"/>
    <n v="324"/>
    <n v="54"/>
    <m/>
    <m/>
    <m/>
    <m/>
    <m/>
    <n v="452"/>
    <m/>
    <n v="942"/>
    <m/>
    <m/>
    <m/>
    <m/>
    <m/>
    <m/>
    <m/>
    <m/>
    <m/>
    <m/>
  </r>
  <r>
    <n v="395"/>
    <s v="Colombia"/>
    <x v="0"/>
    <d v="2008-12-01T00:00:00"/>
    <d v="2009-12-01T00:00:00"/>
    <x v="3"/>
    <x v="175"/>
    <x v="1"/>
    <s v="DREF operation n° MDRCO005"/>
    <x v="0"/>
    <n v="300"/>
    <n v="150000"/>
    <n v="149994"/>
    <n v="149994"/>
    <n v="499.98"/>
    <n v="100"/>
    <n v="500"/>
    <m/>
    <n v="500"/>
    <m/>
    <m/>
    <m/>
    <n v="10883"/>
    <n v="6607"/>
    <n v="13.214"/>
    <n v="389"/>
    <n v="718"/>
    <n v="370"/>
    <m/>
    <m/>
    <m/>
    <m/>
    <m/>
    <m/>
    <m/>
    <n v="1107"/>
    <m/>
    <m/>
    <m/>
    <m/>
    <m/>
    <m/>
    <m/>
    <m/>
    <m/>
    <m/>
  </r>
  <r>
    <n v="396"/>
    <s v="Costa Rica"/>
    <x v="0"/>
    <d v="2008-09-01T00:00:00"/>
    <d v="2009-05-01T00:00:00"/>
    <x v="3"/>
    <x v="1"/>
    <x v="1"/>
    <s v="DREF operation n° MDRCR003"/>
    <x v="0"/>
    <n v="5000"/>
    <n v="81000"/>
    <n v="70314"/>
    <n v="70314"/>
    <n v="14.062799999999999"/>
    <n v="87"/>
    <n v="6045"/>
    <n v="5000"/>
    <n v="6045"/>
    <m/>
    <n v="21"/>
    <n v="6045"/>
    <n v="45000"/>
    <n v="26935"/>
    <n v="4.4557485525227465"/>
    <m/>
    <m/>
    <m/>
    <m/>
    <m/>
    <m/>
    <m/>
    <m/>
    <m/>
    <m/>
    <n v="0"/>
    <m/>
    <m/>
    <m/>
    <m/>
    <m/>
    <m/>
    <m/>
    <m/>
    <m/>
    <m/>
  </r>
  <r>
    <n v="397"/>
    <s v="Ecuador"/>
    <x v="0"/>
    <d v="2008-01-01T00:00:00"/>
    <d v="2008-12-01T00:00:00"/>
    <x v="3"/>
    <x v="1"/>
    <x v="1"/>
    <s v="DREF operation n° MDREC003"/>
    <x v="0"/>
    <n v="15220"/>
    <n v="115000"/>
    <n v="99357"/>
    <n v="99357"/>
    <n v="6.5280551905387645"/>
    <n v="86"/>
    <m/>
    <n v="8912"/>
    <n v="8912"/>
    <m/>
    <m/>
    <m/>
    <n v="28080"/>
    <n v="16777"/>
    <n v="1.8825179533213645"/>
    <m/>
    <m/>
    <m/>
    <m/>
    <m/>
    <m/>
    <m/>
    <m/>
    <m/>
    <m/>
    <n v="0"/>
    <n v="540"/>
    <n v="464.4"/>
    <m/>
    <m/>
    <m/>
    <m/>
    <m/>
    <m/>
    <s v="yes"/>
    <m/>
  </r>
  <r>
    <n v="398"/>
    <s v="Gambia"/>
    <x v="1"/>
    <d v="2008-06-01T00:00:00"/>
    <d v="2008-10-01T00:00:00"/>
    <x v="3"/>
    <x v="176"/>
    <x v="1"/>
    <s v="DREF operation n° MDRGM004"/>
    <x v="0"/>
    <n v="113"/>
    <n v="34000"/>
    <n v="27413"/>
    <n v="27413"/>
    <n v="242.59292035398229"/>
    <n v="81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399"/>
    <s v="Guyana"/>
    <x v="0"/>
    <d v="2008-12-01T00:00:00"/>
    <d v="2009-09-01T00:00:00"/>
    <x v="3"/>
    <x v="1"/>
    <x v="1"/>
    <s v="DREF operation n° MDRGY001"/>
    <x v="0"/>
    <n v="5000"/>
    <n v="80000"/>
    <n v="78246"/>
    <n v="78246"/>
    <n v="15.6492"/>
    <n v="98"/>
    <m/>
    <m/>
    <m/>
    <m/>
    <m/>
    <n v="5000"/>
    <n v="5000"/>
    <n v="2046"/>
    <m/>
    <m/>
    <m/>
    <m/>
    <m/>
    <m/>
    <m/>
    <m/>
    <m/>
    <m/>
    <m/>
    <n v="0"/>
    <m/>
    <m/>
    <m/>
    <m/>
    <m/>
    <m/>
    <m/>
    <m/>
    <m/>
    <m/>
  </r>
  <r>
    <n v="400"/>
    <s v="India"/>
    <x v="4"/>
    <d v="2008-08-01T00:00:00"/>
    <d v="2009-04-01T00:00:00"/>
    <x v="3"/>
    <x v="1"/>
    <x v="1"/>
    <s v="DREF operation n° MDRIN003"/>
    <x v="0"/>
    <n v="50000"/>
    <n v="1000000"/>
    <n v="999998"/>
    <n v="999998"/>
    <n v="19.999960000000002"/>
    <n v="100"/>
    <m/>
    <m/>
    <m/>
    <m/>
    <m/>
    <m/>
    <n v="26360"/>
    <n v="26360"/>
    <m/>
    <m/>
    <m/>
    <m/>
    <m/>
    <m/>
    <m/>
    <m/>
    <m/>
    <m/>
    <m/>
    <n v="0"/>
    <m/>
    <m/>
    <m/>
    <m/>
    <m/>
    <m/>
    <m/>
    <m/>
    <s v="yes"/>
    <m/>
  </r>
  <r>
    <n v="401"/>
    <s v="Kenya"/>
    <x v="1"/>
    <d v="2008-04-01T00:00:00"/>
    <d v="2009-06-01T00:00:00"/>
    <x v="3"/>
    <x v="44"/>
    <x v="10"/>
    <s v="DREF operation n° MDRKE005"/>
    <x v="0"/>
    <n v="60000"/>
    <n v="104492"/>
    <n v="94547"/>
    <n v="94547"/>
    <n v="1.5757833333333333"/>
    <n v="90"/>
    <m/>
    <m/>
    <m/>
    <s v="yes"/>
    <n v="20"/>
    <n v="10000"/>
    <n v="22471"/>
    <n v="12660"/>
    <m/>
    <m/>
    <n v="10000"/>
    <n v="35"/>
    <m/>
    <m/>
    <m/>
    <m/>
    <m/>
    <m/>
    <m/>
    <n v="10000"/>
    <n v="22400"/>
    <n v="20160"/>
    <m/>
    <m/>
    <m/>
    <m/>
    <m/>
    <m/>
    <m/>
    <m/>
  </r>
  <r>
    <n v="402"/>
    <s v="Kenya"/>
    <x v="1"/>
    <d v="2008-06-01T00:00:00"/>
    <d v="2008-11-01T00:00:00"/>
    <x v="3"/>
    <x v="50"/>
    <x v="1"/>
    <s v="DREF operation n° MDRKE006"/>
    <x v="0"/>
    <n v="87092"/>
    <n v="200961"/>
    <n v="200961"/>
    <n v="200962"/>
    <n v="2.3074679649106691"/>
    <n v="100"/>
    <m/>
    <m/>
    <m/>
    <m/>
    <m/>
    <m/>
    <m/>
    <m/>
    <m/>
    <m/>
    <n v="534"/>
    <m/>
    <m/>
    <m/>
    <n v="71"/>
    <m/>
    <m/>
    <n v="906"/>
    <m/>
    <n v="1440"/>
    <m/>
    <m/>
    <m/>
    <m/>
    <m/>
    <m/>
    <m/>
    <m/>
    <m/>
    <m/>
  </r>
  <r>
    <n v="403"/>
    <s v="Kyrgyzstan"/>
    <x v="4"/>
    <d v="2008-01-01T00:00:00"/>
    <d v="2008-04-01T00:00:00"/>
    <x v="3"/>
    <x v="177"/>
    <x v="1"/>
    <s v="DREF operation n° MDRKG003"/>
    <x v="0"/>
    <n v="500"/>
    <n v="100000"/>
    <n v="99979"/>
    <n v="99979"/>
    <n v="199.958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04"/>
    <s v="Kyrgyzstan"/>
    <x v="4"/>
    <d v="2008-10-01T00:00:00"/>
    <d v="2009-01-01T00:00:00"/>
    <x v="3"/>
    <x v="177"/>
    <x v="1"/>
    <s v="DREF operation n° MDRKG004"/>
    <x v="0"/>
    <n v="753"/>
    <n v="219741"/>
    <n v="219741"/>
    <n v="219740"/>
    <n v="291.81938911022576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05"/>
    <s v="Kazakhstan "/>
    <x v="4"/>
    <d v="2008-01-01T00:00:00"/>
    <d v="2008-09-01T00:00:00"/>
    <x v="3"/>
    <x v="117"/>
    <x v="3"/>
    <s v="DREF operation n° MDRKZ001"/>
    <x v="0"/>
    <n v="800"/>
    <n v="43626"/>
    <n v="43626"/>
    <n v="43626"/>
    <n v="54.532499999999999"/>
    <n v="100"/>
    <m/>
    <m/>
    <m/>
    <m/>
    <m/>
    <m/>
    <m/>
    <m/>
    <m/>
    <n v="194"/>
    <m/>
    <n v="13"/>
    <m/>
    <m/>
    <m/>
    <m/>
    <m/>
    <m/>
    <m/>
    <n v="194"/>
    <n v="425"/>
    <n v="103"/>
    <m/>
    <m/>
    <m/>
    <m/>
    <m/>
    <m/>
    <m/>
    <m/>
  </r>
  <r>
    <n v="406"/>
    <s v="Kazakhstan"/>
    <x v="4"/>
    <d v="2008-03-01T00:00:00"/>
    <d v="2008-08-01T00:00:00"/>
    <x v="3"/>
    <x v="1"/>
    <x v="1"/>
    <s v="DREF operation n° MDRKZ002"/>
    <x v="0"/>
    <n v="5850"/>
    <n v="259858"/>
    <n v="259858"/>
    <n v="254756"/>
    <n v="43.548034188034187"/>
    <n v="100"/>
    <m/>
    <n v="2200"/>
    <n v="2200"/>
    <m/>
    <m/>
    <n v="4500"/>
    <m/>
    <m/>
    <n v="0"/>
    <m/>
    <m/>
    <m/>
    <m/>
    <m/>
    <m/>
    <m/>
    <m/>
    <m/>
    <m/>
    <n v="0"/>
    <m/>
    <m/>
    <m/>
    <m/>
    <m/>
    <m/>
    <m/>
    <m/>
    <m/>
    <m/>
  </r>
  <r>
    <n v="407"/>
    <s v="Moldova"/>
    <x v="2"/>
    <d v="2008-02-01T00:00:00"/>
    <d v="2008-08-01T00:00:00"/>
    <x v="3"/>
    <x v="16"/>
    <x v="1"/>
    <s v="DREF operation n° MDRMD001"/>
    <x v="0"/>
    <n v="7750"/>
    <n v="248198"/>
    <n v="248193"/>
    <n v="248193"/>
    <n v="32.024903225806455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08"/>
    <s v="Mongolia"/>
    <x v="4"/>
    <d v="2008-06-01T00:00:00"/>
    <d v="2008-10-01T00:00:00"/>
    <x v="3"/>
    <x v="49"/>
    <x v="10"/>
    <s v="DREF operation n° MDRMN001"/>
    <x v="0"/>
    <n v="40000"/>
    <n v="69000"/>
    <n v="69000"/>
    <n v="69000"/>
    <n v="1.7250000000000001"/>
    <n v="100"/>
    <m/>
    <m/>
    <m/>
    <m/>
    <m/>
    <m/>
    <m/>
    <m/>
    <m/>
    <m/>
    <n v="60000"/>
    <n v="500"/>
    <m/>
    <m/>
    <m/>
    <m/>
    <m/>
    <m/>
    <m/>
    <n v="60000"/>
    <n v="15000"/>
    <n v="7147"/>
    <m/>
    <m/>
    <m/>
    <m/>
    <m/>
    <m/>
    <m/>
    <m/>
  </r>
  <r>
    <n v="409"/>
    <s v="Malawi"/>
    <x v="1"/>
    <d v="2008-01-01T00:00:00"/>
    <d v="2008-12-01T00:00:00"/>
    <x v="3"/>
    <x v="4"/>
    <x v="3"/>
    <s v="DREF operation n° MDRMW0003"/>
    <x v="0"/>
    <n v="15000"/>
    <n v="86007"/>
    <n v="86007"/>
    <n v="85864"/>
    <n v="5.7242666666666668"/>
    <n v="100"/>
    <m/>
    <m/>
    <m/>
    <m/>
    <m/>
    <n v="15000"/>
    <m/>
    <m/>
    <m/>
    <m/>
    <m/>
    <m/>
    <m/>
    <m/>
    <m/>
    <m/>
    <m/>
    <m/>
    <m/>
    <n v="0"/>
    <m/>
    <m/>
    <m/>
    <m/>
    <m/>
    <m/>
    <m/>
    <m/>
    <m/>
    <m/>
  </r>
  <r>
    <n v="410"/>
    <s v="Mozambique"/>
    <x v="1"/>
    <d v="2008-01-01T00:00:00"/>
    <d v="2008-09-01T00:00:00"/>
    <x v="3"/>
    <x v="178"/>
    <x v="1"/>
    <s v="DREF operation n° MDRMZ003"/>
    <x v="0"/>
    <n v="2000"/>
    <n v="232845"/>
    <n v="232844"/>
    <n v="232844"/>
    <n v="116.422"/>
    <n v="100"/>
    <m/>
    <m/>
    <m/>
    <m/>
    <m/>
    <m/>
    <n v="2500"/>
    <n v="2500"/>
    <m/>
    <m/>
    <m/>
    <m/>
    <m/>
    <m/>
    <n v="102"/>
    <m/>
    <m/>
    <m/>
    <m/>
    <n v="0"/>
    <n v="38120"/>
    <n v="38120"/>
    <m/>
    <m/>
    <m/>
    <m/>
    <m/>
    <m/>
    <m/>
    <m/>
  </r>
  <r>
    <n v="411"/>
    <s v="Mozambique"/>
    <x v="1"/>
    <d v="2008-05-01T00:00:00"/>
    <d v="2008-08-01T00:00:00"/>
    <x v="3"/>
    <x v="4"/>
    <x v="3"/>
    <s v="DREF operation n° MDRMZ004"/>
    <x v="0"/>
    <n v="3300"/>
    <n v="109701"/>
    <n v="109699"/>
    <n v="109699"/>
    <n v="33.242121212121212"/>
    <n v="100"/>
    <m/>
    <m/>
    <m/>
    <m/>
    <m/>
    <m/>
    <m/>
    <m/>
    <m/>
    <n v="2066"/>
    <n v="2066"/>
    <m/>
    <s v="yes"/>
    <m/>
    <m/>
    <m/>
    <m/>
    <m/>
    <m/>
    <n v="4132"/>
    <n v="11605"/>
    <n v="11605"/>
    <m/>
    <m/>
    <m/>
    <m/>
    <m/>
    <m/>
    <m/>
    <m/>
  </r>
  <r>
    <n v="412"/>
    <s v="Mozambique"/>
    <x v="1"/>
    <d v="2008-11-01T00:00:00"/>
    <d v="2009-05-01T00:00:00"/>
    <x v="3"/>
    <x v="29"/>
    <x v="10"/>
    <s v="DREF operation n° MDRMZ005"/>
    <x v="0"/>
    <n v="500000"/>
    <n v="82218"/>
    <n v="82218"/>
    <n v="82218"/>
    <n v="0.164436"/>
    <n v="100"/>
    <n v="287383"/>
    <n v="11885"/>
    <n v="287383"/>
    <m/>
    <n v="1207"/>
    <n v="287383"/>
    <m/>
    <m/>
    <n v="0"/>
    <m/>
    <n v="182035"/>
    <n v="1207"/>
    <m/>
    <m/>
    <m/>
    <m/>
    <m/>
    <m/>
    <m/>
    <n v="182035"/>
    <m/>
    <m/>
    <m/>
    <m/>
    <m/>
    <m/>
    <m/>
    <m/>
    <m/>
    <m/>
  </r>
  <r>
    <n v="413"/>
    <s v="Yemen"/>
    <x v="3"/>
    <d v="2008-11-01T00:00:00"/>
    <d v="2010-11-01T00:00:00"/>
    <x v="3"/>
    <x v="7"/>
    <x v="1"/>
    <s v="Emergency appeal n° MDRYE002"/>
    <x v="1"/>
    <n v="10500"/>
    <n v="1997283"/>
    <n v="1389703"/>
    <n v="1380109"/>
    <n v="131.43895238095237"/>
    <n v="70"/>
    <n v="2495"/>
    <n v="800"/>
    <n v="2495"/>
    <s v="no"/>
    <n v="120"/>
    <n v="56000"/>
    <n v="110360"/>
    <n v="21185"/>
    <n v="8.4909819639278563"/>
    <m/>
    <s v="missing data"/>
    <n v="160"/>
    <s v="N/A"/>
    <s v="N/A"/>
    <n v="4568"/>
    <s v="N/A"/>
    <s v="N/A"/>
    <s v="N/A"/>
    <s v="N/A"/>
    <n v="0"/>
    <n v="0"/>
    <n v="5442"/>
    <m/>
    <m/>
    <m/>
    <m/>
    <m/>
    <m/>
    <s v="N/A"/>
    <s v="N/A"/>
  </r>
  <r>
    <n v="414"/>
    <s v="Niger"/>
    <x v="1"/>
    <d v="2008-05-01T00:00:00"/>
    <d v="2008-10-01T00:00:00"/>
    <x v="3"/>
    <x v="91"/>
    <x v="10"/>
    <s v="DREF operation n° MDRNE003"/>
    <x v="0"/>
    <n v="500000"/>
    <n v="33336"/>
    <n v="33336"/>
    <n v="33336"/>
    <n v="6.6671999999999995E-2"/>
    <n v="100"/>
    <m/>
    <m/>
    <m/>
    <m/>
    <m/>
    <m/>
    <m/>
    <m/>
    <m/>
    <m/>
    <n v="500000"/>
    <n v="300"/>
    <m/>
    <m/>
    <m/>
    <m/>
    <m/>
    <m/>
    <m/>
    <n v="500000"/>
    <m/>
    <m/>
    <m/>
    <m/>
    <m/>
    <m/>
    <m/>
    <m/>
    <m/>
    <m/>
  </r>
  <r>
    <n v="415"/>
    <s v="Papua New Guinea"/>
    <x v="4"/>
    <d v="2008-12-01T00:00:00"/>
    <d v="2009-07-01T00:00:00"/>
    <x v="3"/>
    <x v="1"/>
    <x v="1"/>
    <s v="DREF operation n° MDRPG003"/>
    <x v="0"/>
    <n v="15450"/>
    <n v="190000"/>
    <n v="190000"/>
    <n v="179103"/>
    <n v="11.59242718446602"/>
    <n v="100"/>
    <m/>
    <m/>
    <m/>
    <m/>
    <n v="68"/>
    <n v="15000"/>
    <n v="9768"/>
    <n v="9768"/>
    <m/>
    <m/>
    <m/>
    <m/>
    <m/>
    <m/>
    <n v="2000"/>
    <m/>
    <m/>
    <m/>
    <m/>
    <n v="0"/>
    <m/>
    <m/>
    <m/>
    <m/>
    <m/>
    <m/>
    <m/>
    <m/>
    <m/>
    <m/>
  </r>
  <r>
    <n v="416"/>
    <s v="Paraguay"/>
    <x v="0"/>
    <d v="2008-02-01T00:00:00"/>
    <d v="2009-05-01T00:00:00"/>
    <x v="3"/>
    <x v="179"/>
    <x v="10"/>
    <s v="DREF operation n° MDRPY003"/>
    <x v="0"/>
    <n v="190500"/>
    <n v="78000"/>
    <n v="70731"/>
    <n v="70731"/>
    <n v="0.37129133858267716"/>
    <n v="91"/>
    <m/>
    <m/>
    <m/>
    <m/>
    <m/>
    <m/>
    <m/>
    <m/>
    <m/>
    <m/>
    <n v="576545"/>
    <n v="539"/>
    <m/>
    <m/>
    <m/>
    <m/>
    <m/>
    <m/>
    <m/>
    <n v="576545"/>
    <m/>
    <m/>
    <m/>
    <m/>
    <m/>
    <m/>
    <m/>
    <m/>
    <m/>
    <m/>
  </r>
  <r>
    <n v="417"/>
    <s v="Paraguay"/>
    <x v="0"/>
    <d v="2008-08-01T00:00:00"/>
    <d v="2009-05-01T00:00:00"/>
    <x v="3"/>
    <x v="180"/>
    <x v="1"/>
    <s v="DREF operation n° MDRPY004"/>
    <x v="0"/>
    <n v="1690"/>
    <n v="56605"/>
    <n v="53913"/>
    <n v="53913"/>
    <n v="31.901183431952663"/>
    <n v="95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18"/>
    <s v="Paraguay"/>
    <x v="0"/>
    <d v="2008-09-01T00:00:00"/>
    <d v="2009-03-01T00:00:00"/>
    <x v="3"/>
    <x v="50"/>
    <x v="1"/>
    <s v="DREF Operation n° MDRPY005"/>
    <x v="0"/>
    <n v="6305"/>
    <m/>
    <m/>
    <m/>
    <n v="0"/>
    <m/>
    <n v="3600"/>
    <m/>
    <n v="3600"/>
    <m/>
    <m/>
    <m/>
    <m/>
    <m/>
    <n v="0"/>
    <m/>
    <m/>
    <m/>
    <m/>
    <m/>
    <m/>
    <m/>
    <m/>
    <m/>
    <m/>
    <n v="0"/>
    <m/>
    <m/>
    <m/>
    <m/>
    <m/>
    <m/>
    <m/>
    <m/>
    <m/>
    <m/>
  </r>
  <r>
    <n v="419"/>
    <s v="Rwanda"/>
    <x v="1"/>
    <d v="2008-10-01T00:00:00"/>
    <d v="2009-04-01T00:00:00"/>
    <x v="3"/>
    <x v="123"/>
    <x v="1"/>
    <s v="DREF operation n° MDRRW004"/>
    <x v="0"/>
    <n v="5000"/>
    <n v="159334"/>
    <n v="159334"/>
    <n v="159334"/>
    <n v="31.866800000000001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20"/>
    <s v="Sudan"/>
    <x v="1"/>
    <d v="2008-01-01T00:00:00"/>
    <d v="2009-02-01T00:00:00"/>
    <x v="3"/>
    <x v="181"/>
    <x v="10"/>
    <s v="DREF operation n° MDRSD005"/>
    <x v="0"/>
    <n v="160000"/>
    <n v="249345"/>
    <n v="249344"/>
    <n v="249344"/>
    <n v="1.5584"/>
    <n v="100"/>
    <m/>
    <m/>
    <m/>
    <m/>
    <n v="100"/>
    <n v="160000"/>
    <n v="205587"/>
    <n v="123232"/>
    <m/>
    <m/>
    <n v="160000"/>
    <m/>
    <m/>
    <m/>
    <m/>
    <m/>
    <m/>
    <m/>
    <m/>
    <n v="160000"/>
    <m/>
    <m/>
    <m/>
    <m/>
    <m/>
    <m/>
    <m/>
    <m/>
    <m/>
    <m/>
  </r>
  <r>
    <n v="421"/>
    <s v="Tanzania"/>
    <x v="1"/>
    <d v="2008-01-01T00:00:00"/>
    <d v="2008-09-01T00:00:00"/>
    <x v="3"/>
    <x v="1"/>
    <x v="1"/>
    <s v="DREF operation n° MDRTZ006"/>
    <x v="0"/>
    <n v="7500"/>
    <n v="88353"/>
    <n v="79452"/>
    <n v="79452"/>
    <n v="10.5936"/>
    <n v="90"/>
    <m/>
    <m/>
    <m/>
    <m/>
    <n v="100"/>
    <n v="24000"/>
    <m/>
    <m/>
    <m/>
    <m/>
    <n v="24000"/>
    <m/>
    <n v="100"/>
    <m/>
    <n v="830"/>
    <m/>
    <m/>
    <m/>
    <m/>
    <n v="24000"/>
    <n v="3700"/>
    <n v="3749"/>
    <m/>
    <m/>
    <m/>
    <m/>
    <m/>
    <m/>
    <m/>
    <m/>
  </r>
  <r>
    <n v="422"/>
    <s v="Tanzania"/>
    <x v="1"/>
    <d v="2008-04-01T00:00:00"/>
    <d v="2008-09-01T00:00:00"/>
    <x v="3"/>
    <x v="182"/>
    <x v="3"/>
    <s v="DREF operation n° MDRTZ007"/>
    <x v="0"/>
    <n v="38000"/>
    <n v="11594"/>
    <n v="10607"/>
    <n v="10607"/>
    <n v="0.2791315789473684"/>
    <n v="91"/>
    <m/>
    <m/>
    <m/>
    <m/>
    <m/>
    <m/>
    <n v="200"/>
    <n v="200"/>
    <m/>
    <m/>
    <m/>
    <n v="15"/>
    <m/>
    <m/>
    <n v="400"/>
    <m/>
    <m/>
    <m/>
    <m/>
    <n v="0"/>
    <m/>
    <m/>
    <m/>
    <m/>
    <m/>
    <m/>
    <m/>
    <m/>
    <m/>
    <m/>
  </r>
  <r>
    <n v="423"/>
    <s v="Uganda"/>
    <x v="1"/>
    <d v="2008-01-01T00:00:00"/>
    <d v="2008-09-01T00:00:00"/>
    <x v="3"/>
    <x v="183"/>
    <x v="3"/>
    <s v="DREF operation n° MDRUG008"/>
    <x v="0"/>
    <n v="3000"/>
    <n v="203495"/>
    <n v="200000"/>
    <n v="200000"/>
    <n v="66.666666666666671"/>
    <n v="98"/>
    <n v="3000"/>
    <n v="3000"/>
    <n v="3000"/>
    <m/>
    <m/>
    <m/>
    <n v="28166"/>
    <n v="27602.68"/>
    <n v="9.2008933333333331"/>
    <m/>
    <n v="3000"/>
    <m/>
    <m/>
    <m/>
    <m/>
    <m/>
    <m/>
    <m/>
    <m/>
    <n v="3000"/>
    <n v="1500"/>
    <n v="1470"/>
    <m/>
    <m/>
    <m/>
    <m/>
    <m/>
    <m/>
    <m/>
    <m/>
  </r>
  <r>
    <n v="424"/>
    <s v="Uganda"/>
    <x v="1"/>
    <d v="2008-09-01T00:00:00"/>
    <d v="2009-06-01T00:00:00"/>
    <x v="3"/>
    <x v="184"/>
    <x v="1"/>
    <s v="DREF operation n° MDRUG011"/>
    <x v="0"/>
    <n v="33939"/>
    <n v="191839"/>
    <n v="191813"/>
    <n v="191813"/>
    <n v="5.6516986357877368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25"/>
    <s v="Uzbekistan"/>
    <x v="4"/>
    <d v="2008-07-01T00:00:00"/>
    <d v="2008-11-01T00:00:00"/>
    <x v="3"/>
    <x v="128"/>
    <x v="3"/>
    <s v="DREF operation n° MDRUZ001"/>
    <x v="0"/>
    <n v="2500"/>
    <n v="58770"/>
    <n v="58770"/>
    <n v="58770"/>
    <n v="23.507999999999999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26"/>
    <s v="VietNam"/>
    <x v="4"/>
    <d v="2008-08-01T00:00:00"/>
    <d v="2008-11-01T00:00:00"/>
    <x v="3"/>
    <x v="185"/>
    <x v="1"/>
    <s v="DREF operation n° MDRVN003"/>
    <x v="0"/>
    <n v="24000"/>
    <n v="200000"/>
    <n v="200000"/>
    <n v="200000"/>
    <n v="8.3333333333333339"/>
    <n v="100"/>
    <m/>
    <m/>
    <m/>
    <m/>
    <m/>
    <m/>
    <m/>
    <m/>
    <m/>
    <m/>
    <m/>
    <m/>
    <m/>
    <m/>
    <n v="10000"/>
    <m/>
    <m/>
    <m/>
    <m/>
    <n v="0"/>
    <m/>
    <m/>
    <m/>
    <m/>
    <m/>
    <m/>
    <m/>
    <m/>
    <m/>
    <m/>
  </r>
  <r>
    <n v="427"/>
    <s v="VietNam"/>
    <x v="4"/>
    <d v="2008-10-01T00:00:00"/>
    <d v="2009-02-01T00:00:00"/>
    <x v="3"/>
    <x v="7"/>
    <x v="1"/>
    <s v="DREF operation n° MDRVN004"/>
    <x v="0"/>
    <n v="56444"/>
    <n v="200000"/>
    <n v="200000"/>
    <n v="200000"/>
    <n v="3.5433349868896604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28"/>
    <s v="South Africa"/>
    <x v="1"/>
    <d v="2008-05-01T00:00:00"/>
    <d v="2008-06-01T00:00:00"/>
    <x v="3"/>
    <x v="186"/>
    <x v="3"/>
    <s v="DREF operation n° MDRZA001"/>
    <x v="0"/>
    <n v="30000"/>
    <n v="302378"/>
    <n v="302378"/>
    <m/>
    <n v="0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29"/>
    <s v="South Africa"/>
    <x v="1"/>
    <d v="2008-05-01T00:00:00"/>
    <d v="2009-07-01T00:00:00"/>
    <x v="3"/>
    <x v="186"/>
    <x v="3"/>
    <s v="DREF Operation n° MDRZA002"/>
    <x v="0"/>
    <n v="30000"/>
    <n v="373567"/>
    <n v="373567"/>
    <n v="371848"/>
    <n v="12.394933333333332"/>
    <n v="100"/>
    <m/>
    <m/>
    <m/>
    <m/>
    <m/>
    <m/>
    <m/>
    <m/>
    <m/>
    <m/>
    <m/>
    <m/>
    <m/>
    <m/>
    <m/>
    <m/>
    <m/>
    <m/>
    <m/>
    <n v="0"/>
    <m/>
    <n v="5"/>
    <m/>
    <m/>
    <m/>
    <m/>
    <m/>
    <m/>
    <m/>
    <m/>
  </r>
  <r>
    <n v="430"/>
    <s v="Democratic Republic of Congo"/>
    <x v="1"/>
    <d v="2008-02-01T00:00:00"/>
    <d v="2008-07-01T00:00:00"/>
    <x v="3"/>
    <x v="187"/>
    <x v="1"/>
    <s v="DREF operation n° MDRCD003"/>
    <x v="0"/>
    <n v="1000"/>
    <n v="46000"/>
    <n v="45996"/>
    <n v="45996"/>
    <n v="45.996000000000002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31"/>
    <s v="Central African republic"/>
    <x v="1"/>
    <d v="2008-02-01T00:00:00"/>
    <d v="2008-07-01T00:00:00"/>
    <x v="3"/>
    <x v="188"/>
    <x v="10"/>
    <s v="DREF operation n° MDRCF002"/>
    <x v="0"/>
    <n v="130000"/>
    <n v="57595"/>
    <n v="56333"/>
    <n v="56333"/>
    <n v="0.43333076923076924"/>
    <n v="98"/>
    <m/>
    <m/>
    <m/>
    <m/>
    <m/>
    <m/>
    <n v="13416"/>
    <n v="13416"/>
    <m/>
    <m/>
    <n v="138148"/>
    <n v="150"/>
    <m/>
    <m/>
    <m/>
    <m/>
    <m/>
    <m/>
    <m/>
    <n v="138148"/>
    <m/>
    <m/>
    <m/>
    <m/>
    <m/>
    <m/>
    <m/>
    <m/>
    <m/>
    <m/>
  </r>
  <r>
    <n v="432"/>
    <s v="Pakistan"/>
    <x v="4"/>
    <d v="2008-11-01T00:00:00"/>
    <d v="2009-08-01T00:00:00"/>
    <x v="3"/>
    <x v="131"/>
    <x v="1"/>
    <s v="Emergency appeal n° MDRPK002"/>
    <x v="1"/>
    <n v="18965"/>
    <n v="2499553"/>
    <n v="1215637"/>
    <n v="1215637"/>
    <n v="64.098971790139728"/>
    <n v="49"/>
    <m/>
    <m/>
    <m/>
    <m/>
    <m/>
    <m/>
    <m/>
    <m/>
    <m/>
    <m/>
    <n v="73008"/>
    <n v="58"/>
    <m/>
    <m/>
    <m/>
    <m/>
    <m/>
    <m/>
    <m/>
    <n v="73008"/>
    <n v="242114"/>
    <n v="242114"/>
    <m/>
    <m/>
    <m/>
    <m/>
    <m/>
    <m/>
    <m/>
    <s v="yes"/>
  </r>
  <r>
    <n v="433"/>
    <s v="Democratic Republic of Congo"/>
    <x v="1"/>
    <d v="2008-02-01T00:00:00"/>
    <d v="2008-07-01T00:00:00"/>
    <x v="3"/>
    <x v="189"/>
    <x v="10"/>
    <s v="DREF operation n° MDRCD004"/>
    <x v="0"/>
    <n v="10000"/>
    <n v="82861"/>
    <n v="82831"/>
    <n v="82831"/>
    <n v="8.2830999999999992"/>
    <n v="100"/>
    <n v="10000"/>
    <n v="10000"/>
    <n v="10000"/>
    <s v="yes"/>
    <n v="300"/>
    <n v="1100000"/>
    <n v="13230"/>
    <n v="8160"/>
    <n v="0.81599999999999995"/>
    <s v="N/A"/>
    <m/>
    <n v="300"/>
    <s v="N/A"/>
    <s v="N/A"/>
    <s v="N/A"/>
    <s v="N/A"/>
    <s v="N/A"/>
    <s v="N/A"/>
    <s v="N/A"/>
    <n v="0"/>
    <n v="3000"/>
    <n v="3176"/>
    <m/>
    <s v="N/A"/>
    <s v="N/A"/>
    <s v="N/A"/>
    <s v="N/A"/>
    <s v="N/A"/>
    <s v="N/A"/>
    <s v="N/A"/>
  </r>
  <r>
    <n v="434"/>
    <s v="Angola"/>
    <x v="1"/>
    <d v="2007-01-30T00:00:00"/>
    <d v="2007-05-30T00:00:00"/>
    <x v="4"/>
    <x v="1"/>
    <x v="1"/>
    <s v="Emergency appeal n° MDRAO002"/>
    <x v="1"/>
    <n v="25000"/>
    <n v="1416264"/>
    <n v="381738"/>
    <n v="381738"/>
    <n v="15.26952"/>
    <n v="27"/>
    <n v="21100"/>
    <n v="560"/>
    <n v="21100"/>
    <s v="No "/>
    <s v="Missing "/>
    <n v="25720"/>
    <n v="224560"/>
    <n v="15307"/>
    <n v="0.72545023696682465"/>
    <s v="N/A"/>
    <n v="25720"/>
    <n v="108"/>
    <s v="N/A"/>
    <s v="N/A"/>
    <s v="N/A"/>
    <s v="N/A"/>
    <s v="N/A"/>
    <s v="N/A"/>
    <s v="N/A"/>
    <n v="25720"/>
    <n v="3250"/>
    <n v="877.50000000000011"/>
    <m/>
    <s v="N/A"/>
    <s v="N/A"/>
    <s v="N/A"/>
    <s v="N/A"/>
    <s v="N/A"/>
    <s v="N/A"/>
    <s v="N/A"/>
  </r>
  <r>
    <n v="435"/>
    <s v="Argentine"/>
    <x v="0"/>
    <d v="2007-04-01T00:00:00"/>
    <d v="2008-05-01T00:00:00"/>
    <x v="4"/>
    <x v="1"/>
    <x v="1"/>
    <s v="DREF operation n° MDRAR002 "/>
    <x v="0"/>
    <n v="3802"/>
    <n v="0"/>
    <n v="178330"/>
    <n v="178330"/>
    <n v="46.904260915307731"/>
    <s v="-"/>
    <m/>
    <m/>
    <m/>
    <s v="no"/>
    <m/>
    <n v="423"/>
    <s v="-"/>
    <s v="-"/>
    <m/>
    <n v="781"/>
    <n v="1386"/>
    <m/>
    <m/>
    <m/>
    <m/>
    <m/>
    <m/>
    <m/>
    <m/>
    <n v="2167"/>
    <n v="0"/>
    <n v="1323"/>
    <m/>
    <m/>
    <m/>
    <m/>
    <m/>
    <m/>
    <m/>
    <m/>
  </r>
  <r>
    <n v="436"/>
    <s v="Bangladesh"/>
    <x v="4"/>
    <d v="2007-06-01T00:00:00"/>
    <d v="2009-05-01T00:00:00"/>
    <x v="4"/>
    <x v="78"/>
    <x v="1"/>
    <s v="Emergency appeal n° MDRBD002"/>
    <x v="1"/>
    <n v="133255"/>
    <n v="5095836"/>
    <n v="4509412"/>
    <n v="4509412"/>
    <n v="33.840471276875164"/>
    <n v="88"/>
    <n v="73500"/>
    <n v="19480"/>
    <n v="73500"/>
    <s v="no"/>
    <s v="N/A"/>
    <n v="6065"/>
    <n v="434831"/>
    <n v="105263"/>
    <n v="1.4321496598639456"/>
    <s v="N/A"/>
    <n v="6065"/>
    <s v="N/A"/>
    <s v="N/A"/>
    <s v="N/A"/>
    <s v="N/A"/>
    <s v="N/A"/>
    <s v="N/A"/>
    <s v="N/A"/>
    <s v="N/A"/>
    <n v="6065"/>
    <n v="8475"/>
    <n v="7482"/>
    <m/>
    <s v="N/A"/>
    <s v="N/A"/>
    <s v="N/A"/>
    <s v="N/A"/>
    <s v="N/A"/>
    <s v="N/A"/>
    <s v="N/A"/>
  </r>
  <r>
    <n v="437"/>
    <s v="Bangladesh"/>
    <x v="4"/>
    <d v="2007-11-01T00:00:00"/>
    <d v="2009-11-01T00:00:00"/>
    <x v="4"/>
    <x v="190"/>
    <x v="0"/>
    <s v="Emergency appeal n° MDRBD003"/>
    <x v="1"/>
    <n v="1215000"/>
    <n v="24483160"/>
    <n v="19636901"/>
    <n v="16665142"/>
    <n v="13.716166255144033"/>
    <n v="80"/>
    <n v="33245"/>
    <n v="33245"/>
    <n v="33245"/>
    <s v="yes"/>
    <s v="missing data"/>
    <n v="33245"/>
    <n v="992723"/>
    <n v="379219"/>
    <n v="11.406798014739058"/>
    <n v="20000"/>
    <m/>
    <n v="1000"/>
    <n v="40"/>
    <m/>
    <m/>
    <m/>
    <m/>
    <n v="83000"/>
    <m/>
    <n v="103000"/>
    <n v="230918"/>
    <n v="93627"/>
    <m/>
    <m/>
    <m/>
    <m/>
    <m/>
    <m/>
    <m/>
    <s v="4 not specified"/>
  </r>
  <r>
    <n v="438"/>
    <s v="Bangladesh"/>
    <x v="4"/>
    <d v="2007-01-01T00:00:00"/>
    <d v="2007-02-01T00:00:00"/>
    <x v="4"/>
    <x v="191"/>
    <x v="6"/>
    <s v="Final Report for DREF_x000a_Bulletin no. MDRBD001"/>
    <x v="0"/>
    <n v="30000"/>
    <n v="150000"/>
    <n v="107540"/>
    <n v="107540"/>
    <n v="3.5846666666666667"/>
    <n v="7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9"/>
    <s v="Bolivia"/>
    <x v="0"/>
    <d v="2007-02-15T00:00:00"/>
    <d v="2007-08-10T00:00:00"/>
    <x v="4"/>
    <x v="1"/>
    <x v="1"/>
    <s v="Emergency appeal n° MDRBO002"/>
    <x v="1"/>
    <n v="50000"/>
    <n v="704700"/>
    <n v="712494"/>
    <n v="712494"/>
    <n v="14.249879999999999"/>
    <n v="101"/>
    <s v="N/A"/>
    <s v="N/A"/>
    <s v="N/A"/>
    <s v="no"/>
    <s v="Missing"/>
    <n v="26250"/>
    <s v="N/A"/>
    <s v="N/A"/>
    <m/>
    <s v="N/A"/>
    <n v="26250"/>
    <n v="18"/>
    <s v="N/A"/>
    <s v="N/A"/>
    <n v="10500"/>
    <s v="N/A"/>
    <s v="N/A"/>
    <s v="N/A"/>
    <s v="N/A"/>
    <n v="26250"/>
    <s v="Missing data"/>
    <n v="82"/>
    <m/>
    <s v="N/A"/>
    <s v="N/A"/>
    <s v="N/A"/>
    <s v="N/A"/>
    <s v="N/A"/>
    <s v="N/A"/>
    <s v="N/A"/>
  </r>
  <r>
    <n v="440"/>
    <s v="Bosnia and Herzegovina"/>
    <x v="2"/>
    <d v="2007-08-01T00:00:00"/>
    <d v="2007-11-01T00:00:00"/>
    <x v="4"/>
    <x v="192"/>
    <x v="6"/>
    <s v="DREF operation n° MDRBA001"/>
    <x v="0"/>
    <n v="14616"/>
    <n v="45615"/>
    <n v="45170"/>
    <n v="45170"/>
    <n v="3.0904488232074439"/>
    <n v="99"/>
    <n v="14616"/>
    <m/>
    <n v="14616"/>
    <m/>
    <m/>
    <m/>
    <n v="42650"/>
    <n v="42233"/>
    <n v="2.8895046524356869"/>
    <m/>
    <m/>
    <m/>
    <m/>
    <m/>
    <m/>
    <m/>
    <m/>
    <m/>
    <m/>
    <m/>
    <m/>
    <m/>
    <m/>
    <m/>
    <m/>
    <m/>
    <m/>
    <m/>
    <m/>
    <m/>
  </r>
  <r>
    <n v="441"/>
    <s v="Brazil"/>
    <x v="0"/>
    <d v="2007-01-01T00:00:00"/>
    <d v="2007-06-01T00:00:00"/>
    <x v="4"/>
    <x v="1"/>
    <x v="1"/>
    <s v="Final Report for_x000a_DREF Bulletin_x000a_no. MDRBR001"/>
    <x v="0"/>
    <n v="7500"/>
    <n v="95000"/>
    <n v="95000"/>
    <n v="79346"/>
    <n v="10.579466666666667"/>
    <n v="100"/>
    <m/>
    <m/>
    <m/>
    <m/>
    <m/>
    <m/>
    <m/>
    <m/>
    <m/>
    <m/>
    <m/>
    <n v="15"/>
    <m/>
    <m/>
    <m/>
    <m/>
    <m/>
    <m/>
    <m/>
    <m/>
    <m/>
    <m/>
    <m/>
    <m/>
    <m/>
    <m/>
    <m/>
    <m/>
    <s v="yes"/>
    <m/>
  </r>
  <r>
    <n v="442"/>
    <s v="Burkina Faso"/>
    <x v="1"/>
    <d v="2007-08-01T00:00:00"/>
    <d v="2007-12-01T00:00:00"/>
    <x v="4"/>
    <x v="1"/>
    <x v="1"/>
    <s v="DREF operation n° MDRBF004"/>
    <x v="0"/>
    <n v="111356"/>
    <n v="126065"/>
    <n v="122629"/>
    <n v="122629"/>
    <n v="1.1012338805273179"/>
    <n v="97"/>
    <m/>
    <m/>
    <m/>
    <s v="no"/>
    <n v="320"/>
    <n v="16394"/>
    <n v="27540"/>
    <n v="26713.8"/>
    <m/>
    <s v="N/A"/>
    <n v="16394"/>
    <n v="90"/>
    <s v="N/A"/>
    <s v="N/A"/>
    <n v="8243"/>
    <s v="N/A"/>
    <s v="N/A"/>
    <s v="N/A"/>
    <s v="N/A"/>
    <n v="16394"/>
    <s v="Missing data"/>
    <n v="18750"/>
    <m/>
    <s v="N/A"/>
    <s v="N/A"/>
    <s v="N/A"/>
    <s v="N/A"/>
    <s v="N/A"/>
    <s v="N/A"/>
    <s v="N/A"/>
  </r>
  <r>
    <n v="443"/>
    <s v="Burkina Faso"/>
    <x v="1"/>
    <d v="2007-02-01T00:00:00"/>
    <d v="2008-04-01T00:00:00"/>
    <x v="4"/>
    <x v="91"/>
    <x v="10"/>
    <s v="DREF operation n° MDRBF003"/>
    <x v="0"/>
    <n v="200000"/>
    <n v="0"/>
    <n v="67611"/>
    <n v="67611"/>
    <n v="0.33805499999999999"/>
    <s v="-"/>
    <m/>
    <m/>
    <m/>
    <m/>
    <m/>
    <m/>
    <m/>
    <m/>
    <m/>
    <m/>
    <n v="4000"/>
    <n v="1625"/>
    <m/>
    <m/>
    <m/>
    <m/>
    <m/>
    <m/>
    <m/>
    <m/>
    <m/>
    <m/>
    <m/>
    <m/>
    <m/>
    <m/>
    <m/>
    <m/>
    <m/>
    <m/>
  </r>
  <r>
    <n v="444"/>
    <s v="Cameroon"/>
    <x v="1"/>
    <d v="2007-05-01T00:00:00"/>
    <d v="2007-12-01T00:00:00"/>
    <x v="4"/>
    <x v="193"/>
    <x v="2"/>
    <s v="DREF operation n° MDRCM003"/>
    <x v="0"/>
    <n v="460"/>
    <n v="24967"/>
    <n v="20384"/>
    <n v="20384"/>
    <n v="44.313043478260873"/>
    <n v="82"/>
    <s v="N/A"/>
    <s v="N/A"/>
    <s v="N/A"/>
    <s v="No "/>
    <s v="N/A"/>
    <s v="N/A"/>
    <s v="N/A"/>
    <s v="N/A"/>
    <m/>
    <n v="460"/>
    <s v="N/A"/>
    <n v="50"/>
    <s v="N/A"/>
    <s v="N/A"/>
    <s v="N/A"/>
    <s v="N/A"/>
    <s v="N/A"/>
    <s v="N/A"/>
    <s v="N/A"/>
    <n v="460"/>
    <n v="7350"/>
    <n v="5388"/>
    <m/>
    <s v="N/A"/>
    <s v="N/A"/>
    <s v="N/A"/>
    <s v="N/A"/>
    <s v="N/A"/>
    <s v="N/A"/>
    <s v="N/A"/>
  </r>
  <r>
    <n v="445"/>
    <s v="Cameroon"/>
    <x v="1"/>
    <d v="2007-05-01T00:00:00"/>
    <d v="2008-03-01T00:00:00"/>
    <x v="4"/>
    <x v="4"/>
    <x v="3"/>
    <s v="DREF operation n° MDRCM004"/>
    <x v="0"/>
    <n v="20000"/>
    <n v="166874"/>
    <n v="166876"/>
    <n v="166876"/>
    <n v="8.3437999999999999"/>
    <n v="100"/>
    <n v="13000"/>
    <m/>
    <n v="13000"/>
    <s v="no"/>
    <n v="50"/>
    <n v="13000"/>
    <n v="10800"/>
    <n v="10800"/>
    <n v="0.83076923076923082"/>
    <m/>
    <m/>
    <n v="50"/>
    <m/>
    <m/>
    <m/>
    <m/>
    <m/>
    <m/>
    <m/>
    <m/>
    <n v="2400"/>
    <n v="2400"/>
    <m/>
    <m/>
    <m/>
    <m/>
    <m/>
    <m/>
    <m/>
    <m/>
  </r>
  <r>
    <n v="446"/>
    <s v="Cameroon"/>
    <x v="1"/>
    <d v="2007-08-01T00:00:00"/>
    <d v="2007-03-01T00:00:00"/>
    <x v="4"/>
    <x v="194"/>
    <x v="1"/>
    <s v="DREF operation n° MDRCM005"/>
    <x v="0"/>
    <n v="10279"/>
    <n v="0"/>
    <n v="79714"/>
    <n v="79714"/>
    <n v="7.7550345364335049"/>
    <s v="-"/>
    <n v="6000"/>
    <n v="200"/>
    <n v="6000"/>
    <s v="no"/>
    <n v="37"/>
    <n v="10279"/>
    <n v="0"/>
    <n v="2997"/>
    <n v="0.4995"/>
    <m/>
    <m/>
    <n v="37"/>
    <m/>
    <m/>
    <n v="14"/>
    <m/>
    <m/>
    <m/>
    <m/>
    <m/>
    <n v="0"/>
    <n v="2550"/>
    <m/>
    <m/>
    <m/>
    <m/>
    <m/>
    <m/>
    <m/>
    <m/>
  </r>
  <r>
    <n v="447"/>
    <s v="Caribbean"/>
    <x v="0"/>
    <d v="2007-10-01T00:00:00"/>
    <d v="2009-02-01T00:00:00"/>
    <x v="4"/>
    <x v="195"/>
    <x v="0"/>
    <s v="Emergency appeal n° MDR49002"/>
    <x v="1"/>
    <n v="116225"/>
    <n v="1750541"/>
    <n v="1746227"/>
    <n v="1722641"/>
    <n v="14.821604646160464"/>
    <n v="100"/>
    <n v="70620"/>
    <n v="25000"/>
    <n v="70620"/>
    <s v="no"/>
    <s v="N/A"/>
    <s v="N/A"/>
    <s v="-"/>
    <s v="-"/>
    <m/>
    <s v="yes"/>
    <m/>
    <m/>
    <m/>
    <m/>
    <n v="10901"/>
    <m/>
    <m/>
    <m/>
    <m/>
    <n v="0"/>
    <s v="-"/>
    <s v="-"/>
    <m/>
    <m/>
    <m/>
    <m/>
    <m/>
    <m/>
    <s v="N/A"/>
    <s v="N/A"/>
  </r>
  <r>
    <n v="448"/>
    <s v="Central African Republic"/>
    <x v="1"/>
    <d v="2007-09-01T00:00:00"/>
    <d v="2008-03-01T00:00:00"/>
    <x v="4"/>
    <x v="1"/>
    <x v="1"/>
    <s v="DREF operation n° MDRCF001"/>
    <x v="0"/>
    <n v="3780"/>
    <n v="0"/>
    <n v="98248"/>
    <n v="98248"/>
    <n v="25.99153439153439"/>
    <n v="0"/>
    <s v="Missing data"/>
    <s v="Missing data"/>
    <n v="2835"/>
    <s v="No "/>
    <s v="Missing "/>
    <n v="3402"/>
    <s v="Missing data"/>
    <n v="1250"/>
    <n v="0.44091710758377423"/>
    <s v="N/A"/>
    <n v="2835"/>
    <n v="45"/>
    <s v="N/A"/>
    <s v="N/A"/>
    <n v="500"/>
    <s v="N/A"/>
    <s v="N/A"/>
    <s v="N/A"/>
    <s v="N/A"/>
    <n v="2835"/>
    <s v="N/A"/>
    <s v="N/A"/>
    <m/>
    <s v="N/A"/>
    <s v="N/A"/>
    <s v="N/A"/>
    <s v="N/A"/>
    <s v="N/A"/>
    <s v="N/A"/>
    <s v="N/A"/>
  </r>
  <r>
    <n v="449"/>
    <s v="Chile"/>
    <x v="0"/>
    <d v="2007-01-01T00:00:00"/>
    <d v="2007-06-01T00:00:00"/>
    <x v="4"/>
    <x v="23"/>
    <x v="8"/>
    <s v="DREF operation n° MDRCL002"/>
    <x v="0"/>
    <n v="6250"/>
    <n v="150000"/>
    <n v="141141"/>
    <n v="141141"/>
    <n v="22.582560000000001"/>
    <n v="94"/>
    <m/>
    <m/>
    <m/>
    <m/>
    <m/>
    <m/>
    <m/>
    <m/>
    <m/>
    <m/>
    <m/>
    <n v="50"/>
    <m/>
    <m/>
    <m/>
    <m/>
    <m/>
    <m/>
    <m/>
    <m/>
    <m/>
    <m/>
    <m/>
    <m/>
    <m/>
    <m/>
    <m/>
    <m/>
    <n v="2"/>
    <m/>
  </r>
  <r>
    <n v="450"/>
    <s v="China"/>
    <x v="4"/>
    <d v="2007-01-01T00:00:00"/>
    <d v="2009-05-01T00:00:00"/>
    <x v="4"/>
    <x v="1"/>
    <x v="1"/>
    <s v="Emergency appeal no. MDRCN002"/>
    <x v="1"/>
    <n v="400000"/>
    <n v="9462000"/>
    <n v="2357164"/>
    <n v="2357164"/>
    <n v="5.8929099999999996"/>
    <n v="25"/>
    <n v="100000"/>
    <s v="Missing data"/>
    <n v="100000"/>
    <s v="no"/>
    <s v="N/A"/>
    <s v="N/A"/>
    <n v="180000"/>
    <n v="45000"/>
    <n v="0.45"/>
    <s v="N/A"/>
    <s v="N/A"/>
    <s v="N/A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451"/>
    <s v="Colombia"/>
    <x v="0"/>
    <d v="2007-08-01T00:00:00"/>
    <d v="2007-11-01T00:00:00"/>
    <x v="4"/>
    <x v="1"/>
    <x v="1"/>
    <s v="DREF operation n° MDRCO002"/>
    <x v="0"/>
    <n v="5000"/>
    <n v="172000"/>
    <n v="161826"/>
    <n v="161826"/>
    <n v="32.365200000000002"/>
    <n v="94"/>
    <n v="59818"/>
    <m/>
    <n v="59818"/>
    <m/>
    <m/>
    <n v="1463"/>
    <m/>
    <m/>
    <n v="0"/>
    <n v="77"/>
    <n v="1272"/>
    <m/>
    <m/>
    <m/>
    <m/>
    <m/>
    <m/>
    <n v="1008"/>
    <m/>
    <m/>
    <n v="62155"/>
    <n v="16046"/>
    <m/>
    <m/>
    <m/>
    <m/>
    <m/>
    <m/>
    <m/>
    <m/>
  </r>
  <r>
    <n v="452"/>
    <s v="Cambodia"/>
    <x v="4"/>
    <d v="2007-07-01T00:00:00"/>
    <d v="2007-10-01T00:00:00"/>
    <x v="4"/>
    <x v="134"/>
    <x v="10"/>
    <s v="DREF Bulletin no. MDRKH001"/>
    <x v="0"/>
    <n v="8075"/>
    <n v="140900"/>
    <n v="136952"/>
    <n v="136952"/>
    <n v="16.96"/>
    <n v="97"/>
    <m/>
    <m/>
    <m/>
    <m/>
    <n v="1136"/>
    <n v="400000"/>
    <n v="0"/>
    <n v="72192"/>
    <m/>
    <m/>
    <m/>
    <n v="1040"/>
    <m/>
    <m/>
    <n v="3230"/>
    <m/>
    <m/>
    <m/>
    <m/>
    <m/>
    <n v="84700"/>
    <n v="82159"/>
    <m/>
    <m/>
    <m/>
    <m/>
    <m/>
    <m/>
    <m/>
    <m/>
  </r>
  <r>
    <n v="453"/>
    <s v="Comores"/>
    <x v="1"/>
    <d v="2007-09-01T00:00:00"/>
    <d v="2007-11-01T00:00:00"/>
    <x v="4"/>
    <x v="29"/>
    <x v="10"/>
    <s v="DREF Operation no. MDRKM001"/>
    <x v="0"/>
    <n v="150000"/>
    <n v="148663"/>
    <n v="139000"/>
    <n v="138999"/>
    <n v="0.92666000000000004"/>
    <n v="94"/>
    <m/>
    <n v="3105"/>
    <n v="3105"/>
    <m/>
    <n v="100"/>
    <n v="150000"/>
    <n v="0"/>
    <n v="21668"/>
    <n v="6.978421900161031"/>
    <m/>
    <m/>
    <n v="90"/>
    <m/>
    <m/>
    <m/>
    <m/>
    <m/>
    <n v="1448"/>
    <m/>
    <m/>
    <n v="16350"/>
    <n v="15369"/>
    <m/>
    <m/>
    <m/>
    <m/>
    <m/>
    <m/>
    <m/>
    <m/>
  </r>
  <r>
    <n v="454"/>
    <s v="Costa Rica "/>
    <x v="0"/>
    <d v="2007-09-01T00:00:00"/>
    <d v="2007-05-01T00:00:00"/>
    <x v="4"/>
    <x v="1"/>
    <x v="1"/>
    <s v="DREF Bulletin no. MDRCR001"/>
    <x v="0"/>
    <n v="2500"/>
    <n v="49831"/>
    <n v="46002"/>
    <n v="46002"/>
    <n v="18.4008"/>
    <n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Costa Rica "/>
    <x v="0"/>
    <d v="2007-01-01T00:00:00"/>
    <d v="2008-04-01T00:00:00"/>
    <x v="4"/>
    <x v="1"/>
    <x v="1"/>
    <s v="DREF Bulletin no. MDRCR002"/>
    <x v="0"/>
    <n v="3750"/>
    <n v="78568"/>
    <n v="68205"/>
    <n v="68205"/>
    <n v="18.187999999999999"/>
    <n v="87"/>
    <m/>
    <m/>
    <m/>
    <m/>
    <m/>
    <m/>
    <n v="7509"/>
    <n v="6532.83"/>
    <m/>
    <m/>
    <m/>
    <m/>
    <m/>
    <m/>
    <m/>
    <m/>
    <m/>
    <m/>
    <m/>
    <m/>
    <m/>
    <m/>
    <m/>
    <m/>
    <m/>
    <m/>
    <m/>
    <m/>
    <m/>
    <m/>
  </r>
  <r>
    <n v="456"/>
    <s v="Democratic People’s Republic of Korea"/>
    <x v="4"/>
    <d v="2007-08-01T00:00:00"/>
    <d v="2008-05-01T00:00:00"/>
    <x v="4"/>
    <x v="196"/>
    <x v="1"/>
    <s v="Emergency appeal n° MDRKP001"/>
    <x v="1"/>
    <n v="3700000"/>
    <n v="5451295"/>
    <n v="5196072"/>
    <n v="5196072"/>
    <n v="1.4043437837837838"/>
    <n v="95"/>
    <s v="N/A"/>
    <s v="N/A"/>
    <s v="N/A"/>
    <s v="no"/>
    <n v="200"/>
    <n v="3700000"/>
    <n v="289652"/>
    <n v="289657"/>
    <m/>
    <s v="Missing data"/>
    <n v="3700000"/>
    <s v="N/A"/>
    <s v="N/A"/>
    <s v="N/A"/>
    <s v="N/A"/>
    <s v="N/A"/>
    <s v="N/A"/>
    <s v="N/A"/>
    <s v="N/A"/>
    <n v="3700000"/>
    <n v="2056302"/>
    <n v="1916931"/>
    <m/>
    <s v="N/A"/>
    <s v="N/A"/>
    <s v="N/A"/>
    <s v="N/A"/>
    <s v="N/A"/>
    <s v="N/A"/>
    <s v="N/A"/>
  </r>
  <r>
    <n v="457"/>
    <s v="Democratic Republic of Congo"/>
    <x v="1"/>
    <d v="2007-11-06T00:00:00"/>
    <d v="2008-07-31T00:00:00"/>
    <x v="4"/>
    <x v="197"/>
    <x v="1"/>
    <s v="DREF operation n° MDRCD002"/>
    <x v="0"/>
    <n v="11000"/>
    <n v="284893"/>
    <n v="284886"/>
    <n v="284886"/>
    <n v="25.898727272727271"/>
    <n v="100"/>
    <s v="Missing data"/>
    <n v="4500"/>
    <n v="4500"/>
    <s v="no"/>
    <n v="100"/>
    <n v="35000"/>
    <n v="18308"/>
    <n v="16460"/>
    <n v="3.6577777777777776"/>
    <s v="N/A"/>
    <n v="35000"/>
    <s v="N/A"/>
    <s v="N/A"/>
    <s v="N/A"/>
    <n v="4300"/>
    <s v="N/A"/>
    <s v="N/A"/>
    <s v="N/A"/>
    <s v="N/A"/>
    <n v="35000"/>
    <s v="N/A"/>
    <s v="N/A"/>
    <m/>
    <s v="N/A"/>
    <s v="N/A"/>
    <s v="N/A"/>
    <s v="N/A"/>
    <s v="N/A"/>
    <s v="N/A"/>
    <s v="N/A"/>
  </r>
  <r>
    <n v="458"/>
    <s v="Democratic Republic of Congo"/>
    <x v="1"/>
    <d v="2007-09-01T00:00:00"/>
    <d v="2008-06-01T00:00:00"/>
    <x v="4"/>
    <x v="198"/>
    <x v="10"/>
    <s v="DREF operation n° MDRCD001"/>
    <x v="0"/>
    <n v="1000000"/>
    <n v="180994"/>
    <n v="170574"/>
    <n v="170574"/>
    <n v="0.170574"/>
    <n v="94"/>
    <s v="Missing data"/>
    <s v="Missing data"/>
    <m/>
    <s v="No "/>
    <s v="Missing "/>
    <n v="3360"/>
    <n v="30624"/>
    <n v="21495"/>
    <m/>
    <n v="10000"/>
    <n v="10000"/>
    <n v="100"/>
    <m/>
    <s v="N/A"/>
    <s v="N/A"/>
    <s v="N/A"/>
    <s v="N/A"/>
    <s v="N/A"/>
    <s v="N/A"/>
    <n v="20000"/>
    <n v="5325"/>
    <n v="5219"/>
    <m/>
    <s v="N/A"/>
    <s v="N/A"/>
    <s v="N/A"/>
    <s v="N/A"/>
    <s v="N/A"/>
    <s v="N/A"/>
    <s v="N/A"/>
  </r>
  <r>
    <n v="459"/>
    <s v="Republic of Congo"/>
    <x v="1"/>
    <d v="2007-02-01T00:00:00"/>
    <d v="2007-12-01T00:00:00"/>
    <x v="4"/>
    <x v="29"/>
    <x v="10"/>
    <s v="DREF operation n° MDRCG002"/>
    <x v="0"/>
    <n v="484145"/>
    <n v="38000"/>
    <n v="36120"/>
    <n v="36120"/>
    <n v="7.4605748277891959E-2"/>
    <n v="95"/>
    <n v="91500"/>
    <n v="12905"/>
    <n v="91500"/>
    <s v="no"/>
    <m/>
    <n v="484145"/>
    <n v="1800"/>
    <n v="2653"/>
    <n v="2.8994535519125682E-2"/>
    <m/>
    <m/>
    <n v="130"/>
    <m/>
    <m/>
    <m/>
    <m/>
    <m/>
    <m/>
    <m/>
    <n v="0"/>
    <n v="900"/>
    <n v="855"/>
    <m/>
    <m/>
    <m/>
    <m/>
    <m/>
    <m/>
    <m/>
    <m/>
  </r>
  <r>
    <n v="460"/>
    <s v="Egypt"/>
    <x v="3"/>
    <d v="2007-12-01T00:00:00"/>
    <d v="2008-09-01T00:00:00"/>
    <x v="4"/>
    <x v="199"/>
    <x v="3"/>
    <s v="DREF operation n° MDREG006"/>
    <x v="0"/>
    <n v="2800"/>
    <n v="150000"/>
    <n v="150000"/>
    <n v="150000"/>
    <n v="53.571428571428569"/>
    <n v="100"/>
    <s v="N/A"/>
    <s v="N/A"/>
    <s v="N/A"/>
    <s v="No "/>
    <s v="N/A"/>
    <s v="N/A"/>
    <s v="N/A"/>
    <s v="N/A"/>
    <m/>
    <s v="N/A"/>
    <s v="N/A"/>
    <s v="N/A"/>
    <n v="21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461"/>
    <s v="Egypt"/>
    <x v="3"/>
    <d v="2007-03-01T00:00:00"/>
    <d v="2007-07-01T00:00:00"/>
    <x v="4"/>
    <x v="200"/>
    <x v="12"/>
    <s v="DREF operation n° MDREG004"/>
    <x v="0"/>
    <n v="1505"/>
    <n v="70000"/>
    <n v="70000"/>
    <n v="70000"/>
    <n v="46.511627906976742"/>
    <n v="100"/>
    <m/>
    <m/>
    <m/>
    <m/>
    <m/>
    <m/>
    <m/>
    <m/>
    <m/>
    <n v="1505"/>
    <m/>
    <m/>
    <m/>
    <m/>
    <m/>
    <m/>
    <m/>
    <m/>
    <m/>
    <n v="1505"/>
    <m/>
    <m/>
    <m/>
    <m/>
    <m/>
    <m/>
    <m/>
    <m/>
    <m/>
    <m/>
  </r>
  <r>
    <n v="462"/>
    <s v="Egypt"/>
    <x v="3"/>
    <d v="2007-07-01T00:00:00"/>
    <d v="2007-10-01T00:00:00"/>
    <x v="4"/>
    <x v="201"/>
    <x v="3"/>
    <s v="DREF operation n° MDREG005"/>
    <x v="0"/>
    <n v="5110"/>
    <n v="100000"/>
    <n v="99997"/>
    <n v="99997"/>
    <n v="19.568884540117416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63"/>
    <s v="Ethiopia"/>
    <x v="1"/>
    <d v="2007-09-15T00:00:00"/>
    <d v="2009-03-31T00:00:00"/>
    <x v="4"/>
    <x v="1"/>
    <x v="1"/>
    <s v="Emergency appeal n° MDRET004"/>
    <x v="1"/>
    <n v="42200"/>
    <n v="941088"/>
    <n v="811061"/>
    <n v="809444"/>
    <n v="19.181137440758295"/>
    <n v="86"/>
    <n v="78000"/>
    <m/>
    <n v="78000"/>
    <s v="yes"/>
    <n v="15600"/>
    <n v="78000"/>
    <n v="32823"/>
    <n v="28227.78"/>
    <n v="0.36189461538461537"/>
    <n v="5600"/>
    <n v="78000"/>
    <m/>
    <s v="N/A"/>
    <s v="N/A"/>
    <s v="N/A"/>
    <s v="N/A"/>
    <s v="N/A"/>
    <n v="5441"/>
    <s v="N/A"/>
    <n v="89041"/>
    <n v="204819"/>
    <n v="47029"/>
    <m/>
    <s v="N/A"/>
    <s v="N/A"/>
    <s v="N/A"/>
    <s v="N/A"/>
    <s v="N/A"/>
    <s v="N/A"/>
    <s v="N/A"/>
  </r>
  <r>
    <n v="464"/>
    <s v="Gabon"/>
    <x v="1"/>
    <d v="2007-05-01T00:00:00"/>
    <d v="2007-12-01T00:00:00"/>
    <x v="4"/>
    <x v="202"/>
    <x v="10"/>
    <s v="DREF operation n° MDRGA001"/>
    <x v="0"/>
    <n v="600000"/>
    <n v="38082"/>
    <n v="32713"/>
    <n v="32713"/>
    <n v="5.452166666666667E-2"/>
    <n v="86"/>
    <m/>
    <n v="12400"/>
    <n v="12400"/>
    <m/>
    <n v="100"/>
    <m/>
    <n v="1260"/>
    <n v="1083.5999999999999"/>
    <n v="8.738709677419354E-2"/>
    <m/>
    <m/>
    <n v="100"/>
    <m/>
    <m/>
    <m/>
    <m/>
    <m/>
    <m/>
    <m/>
    <n v="0"/>
    <n v="5232"/>
    <n v="7663"/>
    <m/>
    <m/>
    <m/>
    <m/>
    <m/>
    <m/>
    <m/>
    <m/>
  </r>
  <r>
    <n v="465"/>
    <s v="Gambia"/>
    <x v="1"/>
    <d v="2007-05-01T00:00:00"/>
    <d v="2008-06-01T00:00:00"/>
    <x v="4"/>
    <x v="43"/>
    <x v="1"/>
    <s v="DREF operation no. MDRGM003"/>
    <x v="0"/>
    <n v="300"/>
    <n v="10533"/>
    <n v="21353"/>
    <n v="21353"/>
    <n v="71.176666666666662"/>
    <n v="203"/>
    <m/>
    <n v="1250"/>
    <n v="1250"/>
    <s v="No "/>
    <n v="15"/>
    <n v="1250"/>
    <n v="2115"/>
    <n v="4293.45"/>
    <n v="3.4347599999999998"/>
    <s v="N/A"/>
    <n v="1250"/>
    <s v="N/A"/>
    <s v="N/A"/>
    <s v="N/A"/>
    <s v="N/A"/>
    <s v="N/A"/>
    <s v="N/A"/>
    <s v="N/A"/>
    <s v="N/A"/>
    <n v="1250"/>
    <s v="N/A"/>
    <s v="N/A"/>
    <m/>
    <s v="N/A"/>
    <s v="N/A"/>
    <s v="N/A"/>
    <s v="N/A"/>
    <s v="N/A"/>
    <s v="N/A"/>
    <s v="N/A"/>
  </r>
  <r>
    <n v="466"/>
    <s v="Guinea"/>
    <x v="1"/>
    <d v="2007-01-10T00:00:00"/>
    <d v="2007-07-09T00:00:00"/>
    <x v="4"/>
    <x v="4"/>
    <x v="3"/>
    <s v="DREF operation n° MDRGN002"/>
    <x v="0"/>
    <n v="400"/>
    <n v="0"/>
    <n v="129278"/>
    <n v="129278"/>
    <n v="323.19499999999999"/>
    <s v="-"/>
    <s v="N/A"/>
    <s v="N/A"/>
    <s v="N/A"/>
    <s v="no"/>
    <s v="N/A"/>
    <s v="N/A"/>
    <s v="N/A"/>
    <s v="N/A"/>
    <m/>
    <s v="N/A"/>
    <s v="N/A"/>
    <s v="N/A"/>
    <n v="100"/>
    <s v="N/A"/>
    <s v="N/A"/>
    <s v="N/A"/>
    <s v="N/A"/>
    <s v="N/A"/>
    <s v="N/A"/>
    <n v="0"/>
    <n v="6183"/>
    <n v="6183"/>
    <m/>
    <s v="N/A"/>
    <s v="N/A"/>
    <s v="N/A"/>
    <s v="N/A"/>
    <s v="N/A"/>
    <s v="N/A"/>
    <s v="yes"/>
  </r>
  <r>
    <n v="467"/>
    <s v="Haiti"/>
    <x v="0"/>
    <d v="2007-04-01T00:00:00"/>
    <d v="2007-07-01T00:00:00"/>
    <x v="4"/>
    <x v="1"/>
    <x v="1"/>
    <s v="DREF Bulletin_x000a_no. MDRHT003"/>
    <x v="0"/>
    <n v="4850"/>
    <n v="200003"/>
    <n v="164600"/>
    <n v="164600"/>
    <n v="33.938144329896907"/>
    <n v="82"/>
    <n v="4850"/>
    <m/>
    <n v="4850"/>
    <m/>
    <m/>
    <m/>
    <n v="10567"/>
    <n v="8535"/>
    <n v="1.7597938144329897"/>
    <m/>
    <m/>
    <m/>
    <m/>
    <m/>
    <n v="1940"/>
    <m/>
    <m/>
    <m/>
    <m/>
    <n v="0"/>
    <m/>
    <m/>
    <m/>
    <m/>
    <m/>
    <m/>
    <m/>
    <m/>
    <m/>
    <m/>
  </r>
  <r>
    <n v="468"/>
    <s v="India"/>
    <x v="4"/>
    <d v="2007-01-01T00:00:00"/>
    <d v="2008-03-01T00:00:00"/>
    <x v="4"/>
    <x v="1"/>
    <x v="1"/>
    <s v="DREF operation final report n° MDRIN002"/>
    <x v="0"/>
    <s v="missing data"/>
    <n v="250000"/>
    <n v="250000"/>
    <n v="250000"/>
    <m/>
    <n v="100"/>
    <n v="5000"/>
    <m/>
    <n v="5000"/>
    <m/>
    <m/>
    <s v="missing data"/>
    <n v="1000"/>
    <n v="1000"/>
    <n v="0.2"/>
    <m/>
    <m/>
    <m/>
    <m/>
    <m/>
    <m/>
    <m/>
    <m/>
    <m/>
    <m/>
    <n v="0"/>
    <m/>
    <m/>
    <m/>
    <m/>
    <m/>
    <m/>
    <m/>
    <m/>
    <m/>
    <m/>
  </r>
  <r>
    <n v="469"/>
    <s v="Indonesia "/>
    <x v="4"/>
    <d v="2007-02-01T00:00:00"/>
    <d v="2007-12-01T00:00:00"/>
    <x v="4"/>
    <x v="203"/>
    <x v="1"/>
    <s v="Information bulletin n°5 MDRID003"/>
    <x v="2"/>
    <n v="35000"/>
    <n v="529408"/>
    <n v="370158"/>
    <n v="370158"/>
    <n v="10.575942857142858"/>
    <n v="70"/>
    <n v="13895"/>
    <m/>
    <n v="13895"/>
    <m/>
    <m/>
    <m/>
    <m/>
    <m/>
    <n v="0"/>
    <m/>
    <m/>
    <m/>
    <m/>
    <m/>
    <m/>
    <m/>
    <m/>
    <m/>
    <m/>
    <n v="0"/>
    <m/>
    <m/>
    <m/>
    <m/>
    <m/>
    <m/>
    <m/>
    <m/>
    <m/>
    <m/>
  </r>
  <r>
    <n v="470"/>
    <s v="Iraq"/>
    <x v="3"/>
    <d v="2007-02-01T00:00:00"/>
    <d v="2008-03-01T00:00:00"/>
    <x v="4"/>
    <x v="204"/>
    <x v="3"/>
    <s v="Final report Emergency appeal n° MDRIQ002"/>
    <x v="1"/>
    <n v="300000"/>
    <n v="10346869"/>
    <n v="5066942"/>
    <n v="5022577"/>
    <n v="16.741923333333332"/>
    <n v="49"/>
    <m/>
    <m/>
    <m/>
    <m/>
    <m/>
    <m/>
    <s v="-"/>
    <s v="-"/>
    <m/>
    <m/>
    <n v="46000"/>
    <m/>
    <n v="1400"/>
    <m/>
    <m/>
    <m/>
    <m/>
    <m/>
    <m/>
    <n v="46000"/>
    <n v="323588"/>
    <n v="365440"/>
    <m/>
    <m/>
    <m/>
    <m/>
    <m/>
    <m/>
    <m/>
    <m/>
  </r>
  <r>
    <n v="471"/>
    <s v="Kenya"/>
    <x v="1"/>
    <d v="2007-07-01T00:00:00"/>
    <d v="2007-10-01T00:00:00"/>
    <x v="4"/>
    <x v="205"/>
    <x v="3"/>
    <s v="DREF bulletin n° MDRKE004"/>
    <x v="0"/>
    <n v="40000"/>
    <n v="113430"/>
    <s v="-"/>
    <s v="-"/>
    <m/>
    <s v="-"/>
    <n v="5000"/>
    <m/>
    <n v="5000"/>
    <m/>
    <m/>
    <n v="5000"/>
    <m/>
    <m/>
    <n v="0"/>
    <m/>
    <n v="18658"/>
    <m/>
    <m/>
    <m/>
    <m/>
    <m/>
    <m/>
    <m/>
    <m/>
    <n v="18658"/>
    <m/>
    <m/>
    <m/>
    <m/>
    <m/>
    <m/>
    <m/>
    <m/>
    <m/>
    <m/>
  </r>
  <r>
    <n v="472"/>
    <s v="Kyrgyzstan"/>
    <x v="2"/>
    <d v="2007-12-01T00:00:00"/>
    <d v="2008-04-01T00:00:00"/>
    <x v="4"/>
    <x v="206"/>
    <x v="3"/>
    <s v="DREF operation n° MDRKG002"/>
    <x v="0"/>
    <n v="2852"/>
    <n v="58286"/>
    <n v="58286"/>
    <n v="58286"/>
    <n v="20.436886395511923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73"/>
    <s v="Madagascar"/>
    <x v="1"/>
    <d v="2007-03-01T00:00:00"/>
    <d v="2007-12-01T00:00:00"/>
    <x v="4"/>
    <x v="207"/>
    <x v="0"/>
    <s v="Emergency Appeal n° MDRMG002"/>
    <x v="1"/>
    <n v="60000"/>
    <n v="2005707"/>
    <n v="1512888"/>
    <n v="1512888"/>
    <n v="25.2148"/>
    <n v="75"/>
    <n v="50000"/>
    <n v="10000"/>
    <n v="50000"/>
    <s v="yes"/>
    <n v="40"/>
    <n v="50000"/>
    <n v="9500"/>
    <n v="4829"/>
    <n v="9.6579999999999999E-2"/>
    <s v="N/A"/>
    <n v="50000"/>
    <s v="N/A"/>
    <s v="N/A"/>
    <s v="N/A"/>
    <n v="10000"/>
    <s v="N/A"/>
    <s v="N/A"/>
    <s v="N/A"/>
    <s v="N/A"/>
    <n v="50000"/>
    <s v="N/A"/>
    <s v="N/A"/>
    <m/>
    <s v="N/A"/>
    <s v="N/A"/>
    <s v="N/A"/>
    <s v="N/A"/>
    <s v="N/A"/>
    <s v="N/A"/>
    <s v="N/A"/>
  </r>
  <r>
    <n v="474"/>
    <s v="Madagascar"/>
    <x v="1"/>
    <d v="2007-01-01T00:00:00"/>
    <d v="2007-12-01T00:00:00"/>
    <x v="4"/>
    <x v="208"/>
    <x v="1"/>
    <s v="DREF operation n° MDRMG001"/>
    <x v="0"/>
    <n v="2500"/>
    <n v="98000"/>
    <n v="98000"/>
    <n v="42070"/>
    <n v="16.827999999999999"/>
    <n v="100"/>
    <n v="4000"/>
    <m/>
    <n v="4000"/>
    <m/>
    <m/>
    <n v="1310"/>
    <s v="-"/>
    <n v="1841"/>
    <n v="0.46024999999999999"/>
    <m/>
    <m/>
    <m/>
    <m/>
    <m/>
    <n v="1200"/>
    <m/>
    <m/>
    <m/>
    <m/>
    <n v="0"/>
    <m/>
    <m/>
    <m/>
    <m/>
    <m/>
    <m/>
    <m/>
    <m/>
    <m/>
    <m/>
  </r>
  <r>
    <n v="475"/>
    <s v="Malawi"/>
    <x v="1"/>
    <d v="2007-01-01T00:00:00"/>
    <d v="2008-04-01T00:00:00"/>
    <x v="4"/>
    <x v="1"/>
    <x v="1"/>
    <s v="DREF operation n° MDRMW002"/>
    <x v="0"/>
    <n v="11165"/>
    <n v="88704"/>
    <n v="78497"/>
    <n v="78497"/>
    <n v="7.0306314375279895"/>
    <n v="88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76"/>
    <s v="Mali "/>
    <x v="1"/>
    <d v="2007-07-01T00:00:00"/>
    <d v="2008-03-01T00:00:00"/>
    <x v="4"/>
    <x v="1"/>
    <x v="1"/>
    <s v="DREF Operation no. MDRML004"/>
    <x v="0"/>
    <n v="2500"/>
    <n v="21117"/>
    <n v="24605"/>
    <n v="24605"/>
    <n v="9.8420000000000005"/>
    <n v="117"/>
    <m/>
    <m/>
    <m/>
    <s v="yes"/>
    <n v="25"/>
    <n v="12000"/>
    <n v="5391"/>
    <n v="6307.4699999999993"/>
    <m/>
    <m/>
    <m/>
    <m/>
    <m/>
    <m/>
    <n v="500"/>
    <m/>
    <m/>
    <m/>
    <m/>
    <n v="0"/>
    <m/>
    <m/>
    <m/>
    <m/>
    <m/>
    <m/>
    <m/>
    <m/>
    <m/>
    <m/>
  </r>
  <r>
    <n v="477"/>
    <s v="Mauritania"/>
    <x v="1"/>
    <d v="2007-08-01T00:00:00"/>
    <d v="2008-03-01T00:00:00"/>
    <x v="4"/>
    <x v="1"/>
    <x v="1"/>
    <s v="DREF operation no. MDRMR002"/>
    <x v="0"/>
    <n v="2500"/>
    <n v="123911"/>
    <n v="89595"/>
    <n v="89595"/>
    <n v="35.838000000000001"/>
    <n v="72"/>
    <m/>
    <s v="missing data"/>
    <m/>
    <m/>
    <m/>
    <n v="15000"/>
    <n v="54510"/>
    <n v="24684"/>
    <m/>
    <m/>
    <m/>
    <m/>
    <m/>
    <m/>
    <n v="300"/>
    <m/>
    <m/>
    <m/>
    <m/>
    <n v="0"/>
    <m/>
    <m/>
    <m/>
    <m/>
    <m/>
    <m/>
    <m/>
    <m/>
    <s v="yes"/>
    <m/>
  </r>
  <r>
    <n v="478"/>
    <s v="Mexico"/>
    <x v="0"/>
    <d v="2007-09-01T00:00:00"/>
    <d v="2008-02-01T00:00:00"/>
    <x v="4"/>
    <x v="1"/>
    <x v="1"/>
    <s v="DREF operation n° MDRMX001"/>
    <x v="0"/>
    <n v="30000"/>
    <n v="100000"/>
    <n v="79600"/>
    <n v="79600"/>
    <n v="2.6533333333333333"/>
    <n v="8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79"/>
    <s v="Mexico"/>
    <x v="0"/>
    <d v="2007-11-01T00:00:00"/>
    <d v="2009-12-01T00:00:00"/>
    <x v="4"/>
    <x v="1"/>
    <x v="1"/>
    <s v="Emergency Appeal N° MDRMX002"/>
    <x v="1"/>
    <n v="44380"/>
    <n v="1898880"/>
    <n v="1898724"/>
    <n v="1898021"/>
    <n v="42.767485353762957"/>
    <n v="100"/>
    <n v="4800"/>
    <m/>
    <n v="4800"/>
    <m/>
    <n v="25"/>
    <s v="missing data"/>
    <n v="8820"/>
    <n v="20785"/>
    <n v="4.3302083333333332"/>
    <m/>
    <n v="500000"/>
    <n v="24"/>
    <m/>
    <m/>
    <n v="25996"/>
    <m/>
    <m/>
    <m/>
    <m/>
    <n v="500000"/>
    <n v="1365"/>
    <n v="1432"/>
    <m/>
    <m/>
    <m/>
    <m/>
    <m/>
    <m/>
    <m/>
    <m/>
  </r>
  <r>
    <n v="480"/>
    <s v="Middle East (Syria and Jordan)"/>
    <x v="3"/>
    <d v="2007-04-01T00:00:00"/>
    <d v="2009-12-01T00:00:00"/>
    <x v="4"/>
    <x v="109"/>
    <x v="3"/>
    <s v="Emergency appeal n°MDR81002"/>
    <x v="1"/>
    <n v="250000"/>
    <n v="17144179"/>
    <n v="14639256"/>
    <n v="14576980"/>
    <n v="58.307920000000003"/>
    <n v="85"/>
    <m/>
    <m/>
    <m/>
    <m/>
    <m/>
    <m/>
    <m/>
    <m/>
    <m/>
    <n v="11074"/>
    <m/>
    <n v="300"/>
    <m/>
    <m/>
    <m/>
    <m/>
    <m/>
    <m/>
    <m/>
    <n v="11074"/>
    <n v="3091690"/>
    <n v="2451369"/>
    <m/>
    <m/>
    <m/>
    <m/>
    <m/>
    <m/>
    <m/>
    <m/>
  </r>
  <r>
    <n v="481"/>
    <s v="Montenegro"/>
    <x v="2"/>
    <d v="2007-12-01T00:00:00"/>
    <d v="2008-03-01T00:00:00"/>
    <x v="4"/>
    <x v="1"/>
    <x v="1"/>
    <s v="DREF operation n° MDRME001"/>
    <x v="0"/>
    <n v="1086"/>
    <n v="62578"/>
    <n v="62578"/>
    <n v="62417"/>
    <n v="57.474217311233886"/>
    <n v="100"/>
    <n v="1086"/>
    <n v="1086"/>
    <n v="1086"/>
    <m/>
    <m/>
    <n v="1086"/>
    <n v="2146"/>
    <n v="2146"/>
    <n v="1.9760589318600368"/>
    <m/>
    <m/>
    <m/>
    <m/>
    <m/>
    <m/>
    <m/>
    <m/>
    <m/>
    <m/>
    <n v="0"/>
    <m/>
    <m/>
    <m/>
    <m/>
    <m/>
    <m/>
    <m/>
    <m/>
    <m/>
    <m/>
  </r>
  <r>
    <n v="482"/>
    <s v="Mozambique"/>
    <x v="1"/>
    <d v="2007-02-01T00:00:00"/>
    <d v="2007-08-01T00:00:00"/>
    <x v="4"/>
    <x v="209"/>
    <x v="7"/>
    <s v="Emergency appeal n° MDRMZ002"/>
    <x v="1"/>
    <n v="100000"/>
    <n v="20644994"/>
    <n v="8545574"/>
    <n v="8545574"/>
    <n v="85.455740000000006"/>
    <n v="41"/>
    <n v="59000"/>
    <n v="45000"/>
    <n v="59000"/>
    <s v="yes"/>
    <n v="100"/>
    <n v="45000"/>
    <n v="1042789"/>
    <n v="548226"/>
    <n v="9.291966101694916"/>
    <s v="Missing data"/>
    <n v="219700"/>
    <n v="600"/>
    <n v="600"/>
    <s v="N/A"/>
    <n v="36000"/>
    <s v="N/A"/>
    <n v="35000"/>
    <n v="14500"/>
    <s v="N/A"/>
    <n v="234200"/>
    <n v="766016"/>
    <n v="171808"/>
    <m/>
    <s v="N/A"/>
    <s v="N/A"/>
    <s v="N/A"/>
    <s v="N/A"/>
    <n v="1"/>
    <s v="N/A"/>
    <s v="N/A"/>
  </r>
  <r>
    <n v="483"/>
    <s v="Namibia"/>
    <x v="1"/>
    <d v="2007-01-01T00:00:00"/>
    <d v="2008-10-01T00:00:00"/>
    <x v="4"/>
    <x v="210"/>
    <x v="1"/>
    <s v="Emergency appeal n° MDRNA003"/>
    <x v="1"/>
    <n v="15000"/>
    <n v="877479"/>
    <n v="434377"/>
    <n v="434377"/>
    <n v="28.958466666666666"/>
    <n v="50"/>
    <n v="15000"/>
    <n v="15000"/>
    <n v="15000"/>
    <s v="No "/>
    <n v="20"/>
    <n v="15000"/>
    <n v="99965"/>
    <n v="49983"/>
    <n v="3.3321999999999998"/>
    <s v="N/A"/>
    <n v="15000"/>
    <n v="52"/>
    <s v="N/A"/>
    <s v="N/A"/>
    <n v="383"/>
    <s v="N/A"/>
    <s v="N/A"/>
    <s v="N/A"/>
    <s v="N/A"/>
    <n v="15000"/>
    <s v="N/A"/>
    <s v="N/A"/>
    <m/>
    <s v="N/A"/>
    <s v="N/A"/>
    <s v="N/A"/>
    <s v="N/A"/>
    <s v="N/A"/>
    <s v="yes"/>
    <s v="N/A"/>
  </r>
  <r>
    <n v="484"/>
    <s v="Nepal"/>
    <x v="4"/>
    <d v="2007-08-29T00:00:00"/>
    <d v="2009-02-03T00:00:00"/>
    <x v="4"/>
    <x v="14"/>
    <x v="1"/>
    <s v="Emergency appeal n° MDRNP001"/>
    <x v="1"/>
    <n v="150000"/>
    <n v="2344464"/>
    <n v="2171171"/>
    <n v="2171171"/>
    <n v="14.474473333333334"/>
    <n v="93"/>
    <n v="36755"/>
    <n v="35000"/>
    <n v="36755"/>
    <s v="no"/>
    <n v="447"/>
    <n v="35000"/>
    <s v="N/A"/>
    <s v="N/A"/>
    <m/>
    <s v="N/A"/>
    <s v="N/A"/>
    <n v="250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485"/>
    <s v="Niger"/>
    <x v="1"/>
    <d v="2007-02-01T00:00:00"/>
    <d v="2008-04-01T00:00:00"/>
    <x v="4"/>
    <x v="211"/>
    <x v="6"/>
    <s v="DREF operation n° MDRNE001"/>
    <x v="0"/>
    <n v="3000"/>
    <n v="48800"/>
    <n v="44877"/>
    <n v="44877"/>
    <n v="14.959"/>
    <n v="92"/>
    <s v="N/A"/>
    <s v="N/A"/>
    <s v="N/A"/>
    <s v="No "/>
    <s v="N/A"/>
    <s v="N/A"/>
    <n v="4400"/>
    <n v="4048"/>
    <m/>
    <s v="N/A"/>
    <s v="N/A"/>
    <n v="20"/>
    <n v="20"/>
    <s v="N/A"/>
    <s v="N/A"/>
    <s v="N/A"/>
    <s v="N/A"/>
    <s v="N/A"/>
    <s v="N/A"/>
    <n v="0"/>
    <n v="200"/>
    <n v="184"/>
    <m/>
    <s v="N/A"/>
    <s v="N/A"/>
    <s v="N/A"/>
    <s v="N/A"/>
    <s v="N/A"/>
    <s v="N/A"/>
    <s v="N/A"/>
  </r>
  <r>
    <n v="486"/>
    <s v="Niger "/>
    <x v="1"/>
    <d v="2007-08-01T00:00:00"/>
    <d v="2008-04-01T00:00:00"/>
    <x v="4"/>
    <x v="1"/>
    <x v="1"/>
    <s v="DREF operation n° MDRNE002"/>
    <x v="0"/>
    <n v="2500"/>
    <n v="69941"/>
    <n v="54222"/>
    <n v="54222"/>
    <n v="21.688800000000001"/>
    <n v="78"/>
    <m/>
    <m/>
    <m/>
    <m/>
    <m/>
    <m/>
    <n v="1250"/>
    <n v="975"/>
    <m/>
    <m/>
    <m/>
    <m/>
    <m/>
    <m/>
    <n v="1500"/>
    <m/>
    <m/>
    <m/>
    <m/>
    <n v="0"/>
    <s v="-"/>
    <s v="-"/>
    <m/>
    <m/>
    <m/>
    <m/>
    <m/>
    <m/>
    <m/>
    <m/>
  </r>
  <r>
    <n v="487"/>
    <s v="Nigeria"/>
    <x v="1"/>
    <d v="2007-06-01T00:00:00"/>
    <d v="2008-04-01T00:00:00"/>
    <x v="4"/>
    <x v="1"/>
    <x v="1"/>
    <s v="DREF operation n° MDRNG004"/>
    <x v="0"/>
    <n v="3045"/>
    <n v="200035"/>
    <n v="200000"/>
    <n v="165853"/>
    <n v="54.467323481116587"/>
    <n v="100"/>
    <s v="N/A"/>
    <s v="N/A"/>
    <n v="3000"/>
    <s v="No "/>
    <s v="N/A"/>
    <n v="3000"/>
    <n v="54988"/>
    <n v="54988"/>
    <n v="18.329333333333334"/>
    <s v="N/A"/>
    <n v="3000"/>
    <n v="238"/>
    <s v="N/A"/>
    <s v="N/A"/>
    <n v="600"/>
    <s v="N/A"/>
    <s v="N/A"/>
    <s v="N/A"/>
    <s v="N/A"/>
    <n v="3000"/>
    <s v="N/A"/>
    <s v="N/A"/>
    <m/>
    <s v="N/A"/>
    <s v="N/A"/>
    <s v="N/A"/>
    <s v="N/A"/>
    <s v="N/A"/>
    <s v="N/A"/>
    <s v="N/A"/>
  </r>
  <r>
    <n v="488"/>
    <s v="Nigeria"/>
    <x v="1"/>
    <d v="2007-12-01T00:00:00"/>
    <d v="2008-11-01T00:00:00"/>
    <x v="4"/>
    <x v="212"/>
    <x v="10"/>
    <s v="DREF operation n° MDRNG005"/>
    <x v="0"/>
    <n v="1500000"/>
    <n v="153189"/>
    <n v="151915"/>
    <n v="151915"/>
    <n v="0.10127666666666667"/>
    <n v="99"/>
    <s v="N/A"/>
    <s v="N/A"/>
    <s v="N/A"/>
    <s v="No "/>
    <s v="N/A"/>
    <s v="N/A"/>
    <s v="N/A"/>
    <s v="N/A"/>
    <m/>
    <s v="N/A"/>
    <n v="1500000"/>
    <n v="500"/>
    <s v="N/A"/>
    <s v="N/A"/>
    <s v="N/A"/>
    <s v="N/A"/>
    <s v="N/A"/>
    <s v="N/A"/>
    <s v="N/A"/>
    <n v="1500000"/>
    <s v="N/A"/>
    <s v="N/A"/>
    <m/>
    <s v="N/A"/>
    <s v="N/A"/>
    <s v="N/A"/>
    <s v="N/A"/>
    <s v="N/A"/>
    <s v="N/A"/>
    <s v="N/A"/>
  </r>
  <r>
    <n v="489"/>
    <s v="Nigeria"/>
    <x v="1"/>
    <d v="2007-03-01T00:00:00"/>
    <d v="2008-04-01T00:00:00"/>
    <x v="4"/>
    <x v="213"/>
    <x v="3"/>
    <s v="DREF operation n° MDRNG003"/>
    <x v="0"/>
    <n v="90000"/>
    <n v="100000"/>
    <n v="99985"/>
    <n v="99985"/>
    <n v="1.1109444444444445"/>
    <n v="100"/>
    <m/>
    <m/>
    <m/>
    <m/>
    <m/>
    <m/>
    <m/>
    <m/>
    <m/>
    <m/>
    <m/>
    <n v="480"/>
    <m/>
    <m/>
    <m/>
    <m/>
    <m/>
    <m/>
    <m/>
    <n v="0"/>
    <n v="22500"/>
    <n v="36000"/>
    <m/>
    <m/>
    <m/>
    <m/>
    <m/>
    <m/>
    <m/>
    <m/>
  </r>
  <r>
    <n v="490"/>
    <s v="Pakistan "/>
    <x v="4"/>
    <d v="2007-07-01T00:00:00"/>
    <d v="2011-12-01T00:00:00"/>
    <x v="4"/>
    <x v="214"/>
    <x v="7"/>
    <s v=" Emergency appeal n° MDRPK001 "/>
    <x v="1"/>
    <n v="360500"/>
    <n v="14105138"/>
    <n v="7999558"/>
    <n v="7548375"/>
    <n v="20.938626907073509"/>
    <n v="57"/>
    <m/>
    <m/>
    <n v="160000"/>
    <m/>
    <m/>
    <m/>
    <n v="116630"/>
    <n v="695716"/>
    <n v="4.3482250000000002"/>
    <m/>
    <m/>
    <m/>
    <n v="100"/>
    <m/>
    <m/>
    <m/>
    <m/>
    <n v="67228"/>
    <m/>
    <n v="67228"/>
    <n v="157308"/>
    <n v="148539"/>
    <m/>
    <n v="1"/>
    <n v="1"/>
    <n v="1"/>
    <m/>
    <n v="1"/>
    <m/>
    <m/>
  </r>
  <r>
    <n v="491"/>
    <s v="Palestine"/>
    <x v="3"/>
    <d v="2007-05-01T00:00:00"/>
    <d v="2007-08-01T00:00:00"/>
    <x v="4"/>
    <x v="215"/>
    <x v="3"/>
    <s v="DREF Bulletin no. MDRPS002"/>
    <x v="0"/>
    <n v="42642"/>
    <n v="67597"/>
    <n v="67597"/>
    <n v="67597"/>
    <n v="1.5852211434735706"/>
    <n v="100"/>
    <s v="N/A"/>
    <s v="N/A"/>
    <s v="N/A"/>
    <s v="no"/>
    <m/>
    <s v="missing data"/>
    <s v="-"/>
    <s v="-"/>
    <m/>
    <n v="50"/>
    <m/>
    <m/>
    <n v="23"/>
    <m/>
    <m/>
    <s v="N/A"/>
    <s v="N/A"/>
    <n v="42642"/>
    <n v="1473"/>
    <n v="42692"/>
    <s v="-"/>
    <s v="-"/>
    <m/>
    <s v="N/A"/>
    <s v="N/A"/>
    <s v="N/A"/>
    <s v="N/A"/>
    <s v="N/A"/>
    <s v="N/A"/>
    <s v="N/A"/>
  </r>
  <r>
    <n v="492"/>
    <s v="Panama "/>
    <x v="0"/>
    <d v="2007-03-01T00:00:00"/>
    <d v="2007-06-01T00:00:00"/>
    <x v="4"/>
    <x v="120"/>
    <x v="6"/>
    <s v="DREF Bulletin no. MDRPA003 Final Report"/>
    <x v="0"/>
    <n v="750"/>
    <n v="7500"/>
    <n v="7500"/>
    <n v="5532"/>
    <n v="7.3760000000000003"/>
    <n v="100"/>
    <m/>
    <m/>
    <m/>
    <m/>
    <m/>
    <m/>
    <m/>
    <m/>
    <m/>
    <m/>
    <m/>
    <n v="30"/>
    <m/>
    <m/>
    <m/>
    <m/>
    <m/>
    <m/>
    <m/>
    <n v="0"/>
    <m/>
    <m/>
    <m/>
    <m/>
    <m/>
    <m/>
    <m/>
    <m/>
    <m/>
    <m/>
  </r>
  <r>
    <n v="493"/>
    <s v="Papua New Guinea"/>
    <x v="4"/>
    <d v="2007-11-20T00:00:00"/>
    <d v="2008-12-31T00:00:00"/>
    <x v="4"/>
    <x v="216"/>
    <x v="0"/>
    <s v="Emergency appeal n° MDRPG002"/>
    <x v="1"/>
    <n v="13000"/>
    <n v="740642"/>
    <n v="562566"/>
    <n v="562566"/>
    <n v="43.274307692307694"/>
    <n v="76"/>
    <n v="20000"/>
    <s v="Missing data"/>
    <n v="20000"/>
    <s v="no"/>
    <n v="200"/>
    <n v="2140"/>
    <n v="41000"/>
    <n v="24886"/>
    <n v="1.2443"/>
    <s v="N/A"/>
    <s v="N/A"/>
    <s v="N/A"/>
    <s v="N/A"/>
    <s v="N/A"/>
    <n v="12292"/>
    <s v="N/A"/>
    <s v="N/A"/>
    <s v="N/A"/>
    <s v="N/A"/>
    <n v="0"/>
    <s v="N/A"/>
    <s v="N/A"/>
    <m/>
    <s v="N/A"/>
    <s v="N/A"/>
    <s v="N/A"/>
    <s v="N/A"/>
    <s v="N/A"/>
    <s v="N/A"/>
    <s v="N/A"/>
  </r>
  <r>
    <n v="494"/>
    <s v="Paraguay"/>
    <x v="0"/>
    <d v="2007-01-01T00:00:00"/>
    <d v="2007-04-01T00:00:00"/>
    <x v="4"/>
    <x v="45"/>
    <x v="10"/>
    <s v="Final Report DREF Bulletin no. MDRPY001"/>
    <x v="0"/>
    <n v="23029"/>
    <n v="68000"/>
    <n v="67994"/>
    <n v="67994"/>
    <n v="2.9525381041295757"/>
    <n v="100"/>
    <m/>
    <m/>
    <m/>
    <m/>
    <n v="608"/>
    <n v="23029"/>
    <m/>
    <m/>
    <m/>
    <m/>
    <n v="23029"/>
    <n v="608"/>
    <m/>
    <m/>
    <n v="861"/>
    <m/>
    <m/>
    <n v="194"/>
    <m/>
    <n v="23223"/>
    <n v="9656"/>
    <n v="2338"/>
    <m/>
    <m/>
    <m/>
    <m/>
    <m/>
    <m/>
    <m/>
    <s v="yes"/>
  </r>
  <r>
    <n v="495"/>
    <s v="Paraguay"/>
    <x v="0"/>
    <d v="2007-09-01T00:00:00"/>
    <d v="2008-05-01T00:00:00"/>
    <x v="4"/>
    <x v="120"/>
    <x v="6"/>
    <s v="DREF operation n° MDRPY002"/>
    <x v="0"/>
    <n v="11532"/>
    <n v="120000"/>
    <n v="115771"/>
    <n v="115771"/>
    <n v="10.039108567464448"/>
    <n v="96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496"/>
    <s v="Peru"/>
    <x v="0"/>
    <d v="2007-08-01T00:00:00"/>
    <d v="2010-02-01T00:00:00"/>
    <x v="4"/>
    <x v="23"/>
    <x v="8"/>
    <s v="Emergency Appeal n° MDRPE003"/>
    <x v="1"/>
    <n v="37500"/>
    <n v="10532683"/>
    <n v="10539123"/>
    <n v="10536800"/>
    <n v="280.98133333333334"/>
    <n v="100"/>
    <s v="Missing data"/>
    <s v="Missing data"/>
    <s v="Missing data"/>
    <m/>
    <m/>
    <m/>
    <n v="85072"/>
    <n v="85072"/>
    <m/>
    <m/>
    <m/>
    <m/>
    <m/>
    <m/>
    <m/>
    <m/>
    <m/>
    <m/>
    <m/>
    <n v="0"/>
    <m/>
    <n v="80"/>
    <m/>
    <m/>
    <m/>
    <m/>
    <m/>
    <m/>
    <m/>
    <m/>
  </r>
  <r>
    <n v="497"/>
    <s v="Peru"/>
    <x v="0"/>
    <d v="2007-06-01T00:00:00"/>
    <d v="2008-05-01T00:00:00"/>
    <x v="4"/>
    <x v="191"/>
    <x v="6"/>
    <s v="DREF operation n° MDRPE002"/>
    <x v="0"/>
    <n v="6570"/>
    <n v="188000"/>
    <n v="167054"/>
    <n v="167054"/>
    <n v="25.426788432267884"/>
    <n v="89"/>
    <m/>
    <m/>
    <m/>
    <m/>
    <m/>
    <n v="8180"/>
    <m/>
    <m/>
    <m/>
    <m/>
    <m/>
    <m/>
    <m/>
    <m/>
    <m/>
    <m/>
    <m/>
    <m/>
    <m/>
    <n v="0"/>
    <n v="374"/>
    <n v="332.86"/>
    <m/>
    <m/>
    <m/>
    <m/>
    <m/>
    <m/>
    <s v="Yes "/>
    <m/>
  </r>
  <r>
    <n v="498"/>
    <s v="Republic of Congo"/>
    <x v="1"/>
    <d v="2007-11-01T00:00:00"/>
    <d v="2007-11-01T00:00:00"/>
    <x v="4"/>
    <x v="43"/>
    <x v="1"/>
    <s v="DREF operation n° MDRCG003"/>
    <x v="0"/>
    <n v="5000"/>
    <n v="67600"/>
    <n v="67395.67"/>
    <n v="67395.67"/>
    <n v="13.479134"/>
    <n v="99.697736686390527"/>
    <m/>
    <m/>
    <n v="5000"/>
    <m/>
    <m/>
    <n v="5000"/>
    <m/>
    <m/>
    <n v="0"/>
    <m/>
    <m/>
    <m/>
    <m/>
    <m/>
    <m/>
    <m/>
    <m/>
    <m/>
    <m/>
    <n v="0"/>
    <m/>
    <m/>
    <m/>
    <m/>
    <m/>
    <m/>
    <m/>
    <m/>
    <m/>
    <m/>
  </r>
  <r>
    <n v="499"/>
    <s v="Russia"/>
    <x v="2"/>
    <d v="2007-03-01T00:00:00"/>
    <d v="2007-11-01T00:00:00"/>
    <x v="4"/>
    <x v="217"/>
    <x v="12"/>
    <s v="DREF operation n° MDRRU002"/>
    <x v="0"/>
    <n v="1500"/>
    <n v="105000"/>
    <n v="105000"/>
    <n v="105000"/>
    <n v="70"/>
    <n v="100"/>
    <m/>
    <m/>
    <m/>
    <m/>
    <m/>
    <m/>
    <s v="-"/>
    <n v="152"/>
    <m/>
    <n v="1500"/>
    <m/>
    <m/>
    <m/>
    <m/>
    <m/>
    <m/>
    <m/>
    <m/>
    <m/>
    <n v="1500"/>
    <n v="621"/>
    <n v="620"/>
    <m/>
    <m/>
    <m/>
    <m/>
    <m/>
    <m/>
    <m/>
    <m/>
  </r>
  <r>
    <n v="500"/>
    <s v="Rwanda"/>
    <x v="1"/>
    <d v="2007-10-01T00:00:00"/>
    <d v="2008-11-01T00:00:00"/>
    <x v="4"/>
    <x v="1"/>
    <x v="1"/>
    <s v="DREF operation n° MDRRW003"/>
    <x v="0"/>
    <n v="5100"/>
    <n v="188899"/>
    <n v="190366"/>
    <n v="190366"/>
    <n v="37.326666666666668"/>
    <n v="101"/>
    <n v="5100"/>
    <n v="5100"/>
    <n v="5100"/>
    <s v="yes"/>
    <n v="26"/>
    <n v="5100"/>
    <n v="3883"/>
    <n v="3921.83"/>
    <n v="0.76898627450980395"/>
    <s v="N/A"/>
    <s v="N/A"/>
    <s v="N/A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501"/>
    <s v="Senegal"/>
    <x v="1"/>
    <d v="2007-10-01T00:00:00"/>
    <d v="2008-08-01T00:00:00"/>
    <x v="4"/>
    <x v="29"/>
    <x v="10"/>
    <s v="DREF Operation no. MDRSN001"/>
    <x v="0"/>
    <n v="2324"/>
    <n v="40000"/>
    <n v="39451"/>
    <n v="39451"/>
    <n v="16.975473321858864"/>
    <n v="99"/>
    <n v="5882"/>
    <n v="5882"/>
    <n v="5882"/>
    <s v="No "/>
    <n v="240"/>
    <n v="5882"/>
    <s v="Missing data"/>
    <n v="11038"/>
    <n v="1.8765725943556613"/>
    <s v="N/A"/>
    <n v="5882"/>
    <n v="240"/>
    <s v="N/A"/>
    <s v="N/A"/>
    <s v="N/A"/>
    <s v="N/A"/>
    <s v="N/A"/>
    <s v="N/A"/>
    <s v="N/A"/>
    <n v="5882"/>
    <s v="N/A"/>
    <s v="N/A"/>
    <m/>
    <s v="N/A"/>
    <s v="N/A"/>
    <s v="N/A"/>
    <s v="N/A"/>
    <s v="N/A"/>
    <s v="N/A"/>
    <s v="N/A"/>
  </r>
  <r>
    <n v="502"/>
    <s v="Serbia"/>
    <x v="2"/>
    <d v="2007-10-01T00:00:00"/>
    <d v="2008-02-01T00:00:00"/>
    <x v="4"/>
    <x v="1"/>
    <x v="1"/>
    <s v="DREF operation n° MDRRS001"/>
    <x v="0"/>
    <n v="4200"/>
    <n v="111080"/>
    <n v="111080"/>
    <n v="111080"/>
    <n v="26.447619047619046"/>
    <n v="100"/>
    <n v="3919.9999999999995"/>
    <m/>
    <n v="3919.9999999999995"/>
    <m/>
    <m/>
    <n v="20000"/>
    <n v="16700"/>
    <n v="16468"/>
    <n v="4.2010204081632656"/>
    <m/>
    <m/>
    <m/>
    <m/>
    <m/>
    <m/>
    <m/>
    <m/>
    <m/>
    <m/>
    <n v="0"/>
    <s v="-"/>
    <s v="-"/>
    <m/>
    <m/>
    <m/>
    <m/>
    <m/>
    <m/>
    <m/>
    <m/>
  </r>
  <r>
    <n v="503"/>
    <s v="Serbia/Kosovo"/>
    <x v="2"/>
    <d v="2007-11-01T00:00:00"/>
    <d v="2008-04-01T00:00:00"/>
    <x v="4"/>
    <x v="1"/>
    <x v="1"/>
    <s v="DREF operation n° MDRKV002"/>
    <x v="0"/>
    <n v="3336"/>
    <n v="123597"/>
    <n v="123597"/>
    <n v="123597"/>
    <n v="37.049460431654673"/>
    <n v="100"/>
    <m/>
    <m/>
    <m/>
    <m/>
    <m/>
    <m/>
    <n v="6683"/>
    <n v="6683"/>
    <m/>
    <m/>
    <m/>
    <m/>
    <m/>
    <m/>
    <m/>
    <m/>
    <m/>
    <m/>
    <m/>
    <n v="0"/>
    <s v="-"/>
    <s v="-"/>
    <m/>
    <m/>
    <m/>
    <m/>
    <m/>
    <m/>
    <m/>
    <m/>
  </r>
  <r>
    <n v="504"/>
    <s v="Solomon Islands"/>
    <x v="4"/>
    <d v="2007-04-14T00:00:00"/>
    <d v="2009-09-14T00:00:00"/>
    <x v="4"/>
    <x v="218"/>
    <x v="8"/>
    <s v="Emergency appeal n° MDRSB001"/>
    <x v="1"/>
    <n v="9000"/>
    <n v="1776895"/>
    <n v="1776061"/>
    <n v="1776061"/>
    <n v="197.3401111111111"/>
    <n v="100"/>
    <n v="7500"/>
    <n v="7500"/>
    <n v="7500"/>
    <s v="no"/>
    <n v="30"/>
    <n v="2382"/>
    <n v="314000"/>
    <n v="186495"/>
    <n v="24.866"/>
    <s v="N/A"/>
    <s v="N/A"/>
    <n v="20"/>
    <n v="434"/>
    <s v="N/A"/>
    <n v="540"/>
    <s v="N/A"/>
    <s v="N/A"/>
    <s v="N/A"/>
    <s v="N/A"/>
    <n v="0"/>
    <n v="1354"/>
    <n v="674"/>
    <m/>
    <s v="N/A"/>
    <s v="N/A"/>
    <s v="N/A"/>
    <s v="N/A"/>
    <s v="N/A"/>
    <s v="N/A"/>
    <s v="N/A"/>
  </r>
  <r>
    <n v="505"/>
    <s v="Southern Africa (Lesotho, Malawi, Mozambique, Namibia, Swaziland, Zambia and Zimbabwe)"/>
    <x v="1"/>
    <d v="2007-01-01T00:00:00"/>
    <d v="2008-07-01T00:00:00"/>
    <x v="4"/>
    <x v="1"/>
    <x v="1"/>
    <s v="Emergency appeal n° MDR63001"/>
    <x v="1"/>
    <n v="154150"/>
    <n v="8223204"/>
    <n v="5490949"/>
    <n v="5490949"/>
    <n v="35.620817385663315"/>
    <n v="67"/>
    <n v="37500"/>
    <n v="37500"/>
    <n v="37500"/>
    <s v="no"/>
    <n v="160"/>
    <n v="50000"/>
    <n v="1815873"/>
    <n v="353230"/>
    <n v="9.4194666666666667"/>
    <n v="39000"/>
    <n v="39275"/>
    <s v="N/A"/>
    <s v="N/A"/>
    <s v="N/A"/>
    <n v="21491"/>
    <s v="N/A"/>
    <s v="N/A"/>
    <s v="N/A"/>
    <s v="N/A"/>
    <n v="78275"/>
    <n v="20170"/>
    <n v="21124"/>
    <m/>
    <s v="N/A"/>
    <s v="N/A"/>
    <s v="N/A"/>
    <s v="N/A"/>
    <s v="N/A"/>
    <s v="N/A"/>
    <s v="yes"/>
  </r>
  <r>
    <n v="506"/>
    <s v="Sudan"/>
    <x v="1"/>
    <d v="2007-07-01T00:00:00"/>
    <d v="2008-04-01T00:00:00"/>
    <x v="4"/>
    <x v="1"/>
    <x v="1"/>
    <s v="Emergency appeal n° MDRSD004"/>
    <x v="1"/>
    <n v="1500000"/>
    <n v="7384145"/>
    <n v="5918478"/>
    <n v="5918415"/>
    <n v="3.9456099999999998"/>
    <n v="80"/>
    <n v="1300000"/>
    <m/>
    <n v="1300000"/>
    <s v="yes"/>
    <n v="1500"/>
    <n v="760550"/>
    <n v="772334"/>
    <n v="342728"/>
    <n v="0.2636369230769231"/>
    <m/>
    <n v="760550"/>
    <n v="400"/>
    <s v="yes"/>
    <m/>
    <n v="100125"/>
    <m/>
    <m/>
    <m/>
    <m/>
    <n v="760550"/>
    <n v="71711"/>
    <n v="85781"/>
    <m/>
    <m/>
    <m/>
    <n v="1"/>
    <m/>
    <m/>
    <m/>
    <m/>
  </r>
  <r>
    <n v="507"/>
    <s v="Sudan"/>
    <x v="1"/>
    <d v="2007-07-01T00:00:00"/>
    <d v="2008-01-01T00:00:00"/>
    <x v="4"/>
    <x v="91"/>
    <x v="10"/>
    <s v="DREF operation n° MDRSD003"/>
    <x v="0"/>
    <n v="900000"/>
    <n v="218289"/>
    <n v="214172"/>
    <n v="214172"/>
    <n v="0.2379688888888889"/>
    <n v="98"/>
    <m/>
    <m/>
    <m/>
    <m/>
    <m/>
    <m/>
    <s v="-"/>
    <s v="-"/>
    <m/>
    <m/>
    <n v="500000"/>
    <n v="303"/>
    <m/>
    <m/>
    <m/>
    <m/>
    <m/>
    <n v="5800"/>
    <m/>
    <n v="505800"/>
    <n v="20000"/>
    <n v="12966"/>
    <m/>
    <m/>
    <m/>
    <m/>
    <m/>
    <m/>
    <m/>
    <m/>
  </r>
  <r>
    <n v="508"/>
    <s v="Swaziland"/>
    <x v="1"/>
    <d v="2007-02-01T00:00:00"/>
    <d v="2008-03-01T00:00:00"/>
    <x v="4"/>
    <x v="219"/>
    <x v="1"/>
    <s v="DREF operation n° MDRSZ002"/>
    <x v="0"/>
    <n v="3344"/>
    <n v="51535"/>
    <n v="48117"/>
    <n v="48117"/>
    <n v="14.389055023923445"/>
    <n v="93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509"/>
    <s v="Tajikistan"/>
    <x v="2"/>
    <d v="2007-04-01T00:00:00"/>
    <d v="2007-05-01T00:00:00"/>
    <x v="4"/>
    <x v="220"/>
    <x v="1"/>
    <s v="DREF Bulletin no. MDRTJ002"/>
    <x v="0"/>
    <n v="17184"/>
    <n v="85115"/>
    <n v="81701"/>
    <n v="81701"/>
    <n v="4.7544809124767227"/>
    <n v="96"/>
    <m/>
    <m/>
    <m/>
    <s v="no"/>
    <m/>
    <s v="N/A"/>
    <s v="-"/>
    <s v="-"/>
    <m/>
    <m/>
    <m/>
    <m/>
    <m/>
    <m/>
    <m/>
    <s v="N/A"/>
    <s v="N/A"/>
    <m/>
    <m/>
    <n v="0"/>
    <s v="-"/>
    <s v="-"/>
    <m/>
    <s v="N/A"/>
    <s v="N/A"/>
    <s v="N/A"/>
    <s v="N/A"/>
    <s v="N/A"/>
    <s v="N/A"/>
    <s v="N/A"/>
  </r>
  <r>
    <n v="510"/>
    <s v="Tajikistan"/>
    <x v="2"/>
    <d v="2007-07-01T00:00:00"/>
    <d v="2007-12-01T00:00:00"/>
    <x v="4"/>
    <x v="23"/>
    <x v="8"/>
    <s v="DREF operation n°MDRTJ003"/>
    <x v="0"/>
    <n v="720"/>
    <n v="55000"/>
    <n v="50393"/>
    <n v="50393"/>
    <n v="69.990277777777777"/>
    <n v="91.623636363636365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511"/>
    <s v="Caribbean and Mexico"/>
    <x v="0"/>
    <d v="2007-12-14T00:00:00"/>
    <d v="2008-06-30T00:00:00"/>
    <x v="4"/>
    <x v="221"/>
    <x v="0"/>
    <s v="Emergency appeal n° MDR49001"/>
    <x v="1"/>
    <n v="108550"/>
    <n v="2927000"/>
    <n v="2843771"/>
    <n v="2843771"/>
    <n v="26.197798249654536"/>
    <n v="98"/>
    <s v="N/A"/>
    <s v="N/A"/>
    <m/>
    <s v="no"/>
    <s v="N/A"/>
    <n v="5000"/>
    <n v="5458"/>
    <n v="5096"/>
    <m/>
    <s v="N/A"/>
    <n v="1000"/>
    <s v="N/A"/>
    <s v="N/A"/>
    <s v="N/A"/>
    <n v="2450"/>
    <s v="N/A"/>
    <s v="N/A"/>
    <s v="N/A"/>
    <s v="N/A"/>
    <n v="1000"/>
    <s v="Missing data"/>
    <n v="90"/>
    <m/>
    <s v="N/A"/>
    <s v="N/A"/>
    <s v="N/A"/>
    <s v="N/A"/>
    <s v="N/A"/>
    <s v="N/A"/>
    <s v="yes"/>
  </r>
  <r>
    <n v="512"/>
    <s v="Timor-Leste"/>
    <x v="4"/>
    <d v="2007-01-01T00:00:00"/>
    <d v="2008-04-30T00:00:00"/>
    <x v="4"/>
    <x v="222"/>
    <x v="1"/>
    <s v="DREF operation n° MDRTP002"/>
    <x v="0"/>
    <n v="947"/>
    <n v="145212"/>
    <n v="135854"/>
    <n v="135854"/>
    <n v="143.4572333685322"/>
    <n v="94"/>
    <s v="N/A"/>
    <s v="N/A"/>
    <s v="N/A"/>
    <s v="No "/>
    <s v="N/A"/>
    <s v="N/A"/>
    <s v="N/A"/>
    <s v="N/A"/>
    <m/>
    <s v="N/A"/>
    <s v="N/A"/>
    <s v="N/A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513"/>
    <s v="Togo"/>
    <x v="1"/>
    <d v="2007-02-01T00:00:00"/>
    <d v="2007-12-01T00:00:00"/>
    <x v="4"/>
    <x v="46"/>
    <x v="10"/>
    <s v="DREF operation n° MDRTG001"/>
    <x v="0"/>
    <n v="1300000"/>
    <n v="0"/>
    <n v="48928"/>
    <n v="48928"/>
    <n v="3.7636923076923075E-2"/>
    <n v="0"/>
    <s v="N/A"/>
    <s v="N/A"/>
    <s v="N/A"/>
    <s v="No "/>
    <s v="N/A"/>
    <s v="N/A"/>
    <s v="N/A"/>
    <s v="N/A"/>
    <m/>
    <s v="N/A"/>
    <n v="677135"/>
    <n v="1016"/>
    <s v="N/A"/>
    <s v="N/A"/>
    <s v="N/A"/>
    <s v="N/A"/>
    <s v="N/A"/>
    <s v="N/A"/>
    <s v="N/A"/>
    <n v="677135"/>
    <s v="N/A"/>
    <s v="N/A"/>
    <m/>
    <s v="N/A"/>
    <s v="N/A"/>
    <s v="N/A"/>
    <s v="N/A"/>
    <s v="N/A"/>
    <s v="N/A"/>
    <s v="N/A"/>
  </r>
  <r>
    <n v="514"/>
    <s v="Tunisia"/>
    <x v="3"/>
    <d v="2007-04-01T00:00:00"/>
    <d v="2007-07-01T00:00:00"/>
    <x v="4"/>
    <x v="1"/>
    <x v="1"/>
    <s v="DREF Bulletin no. MDRTN001"/>
    <x v="0"/>
    <n v="1875"/>
    <n v="45000"/>
    <n v="45000"/>
    <n v="45000"/>
    <n v="24"/>
    <n v="100"/>
    <m/>
    <m/>
    <m/>
    <s v="no"/>
    <s v="N/A"/>
    <s v="N/A"/>
    <s v="-"/>
    <s v="-"/>
    <m/>
    <m/>
    <m/>
    <m/>
    <m/>
    <m/>
    <m/>
    <s v="N/A"/>
    <s v="N/A"/>
    <m/>
    <m/>
    <n v="0"/>
    <s v="-"/>
    <s v="-"/>
    <m/>
    <s v="N/A"/>
    <s v="N/A"/>
    <s v="N/A"/>
    <s v="N/A"/>
    <s v="N/A"/>
    <s v="N/A"/>
    <s v="N/A"/>
  </r>
  <r>
    <n v="515"/>
    <s v="Tunisia"/>
    <x v="3"/>
    <d v="2007-10-01T00:00:00"/>
    <d v="2007-12-01T00:00:00"/>
    <x v="4"/>
    <x v="7"/>
    <x v="1"/>
    <s v="DREF operation n° MDRTN002"/>
    <x v="0"/>
    <n v="2500"/>
    <n v="105000"/>
    <n v="105000"/>
    <n v="105000"/>
    <n v="42"/>
    <n v="100"/>
    <m/>
    <m/>
    <m/>
    <m/>
    <m/>
    <m/>
    <m/>
    <m/>
    <m/>
    <n v="2500"/>
    <m/>
    <m/>
    <m/>
    <m/>
    <m/>
    <m/>
    <m/>
    <m/>
    <m/>
    <n v="2500"/>
    <m/>
    <m/>
    <m/>
    <m/>
    <m/>
    <m/>
    <m/>
    <m/>
    <m/>
    <m/>
  </r>
  <r>
    <n v="516"/>
    <s v="Uganda"/>
    <x v="1"/>
    <d v="2007-09-01T00:00:00"/>
    <d v="2008-07-01T00:00:00"/>
    <x v="4"/>
    <x v="1"/>
    <x v="1"/>
    <s v="Emergency appeal n° MDRUG006"/>
    <x v="1"/>
    <n v="100000"/>
    <n v="11413603"/>
    <n v="7863044"/>
    <n v="7863044"/>
    <n v="78.630439999999993"/>
    <n v="69"/>
    <n v="16500"/>
    <n v="15705"/>
    <n v="16500"/>
    <s v="yes"/>
    <n v="18"/>
    <n v="100000"/>
    <n v="1572838"/>
    <n v="2"/>
    <n v="1.2121212121212121E-4"/>
    <m/>
    <m/>
    <m/>
    <m/>
    <m/>
    <n v="40863"/>
    <m/>
    <m/>
    <m/>
    <m/>
    <n v="0"/>
    <n v="184600"/>
    <n v="47083"/>
    <m/>
    <m/>
    <m/>
    <m/>
    <m/>
    <m/>
    <m/>
    <m/>
  </r>
  <r>
    <n v="517"/>
    <s v="Uganda"/>
    <x v="1"/>
    <d v="2007-02-01T00:00:00"/>
    <d v="2007-05-01T00:00:00"/>
    <x v="4"/>
    <x v="223"/>
    <x v="10"/>
    <s v="DREF operation n° MDRUG004"/>
    <x v="0"/>
    <n v="500000"/>
    <n v="0"/>
    <n v="66122"/>
    <n v="66122"/>
    <n v="0.132244"/>
    <n v="100"/>
    <m/>
    <m/>
    <m/>
    <m/>
    <m/>
    <m/>
    <m/>
    <m/>
    <m/>
    <m/>
    <n v="857182"/>
    <n v="300"/>
    <m/>
    <m/>
    <m/>
    <m/>
    <m/>
    <m/>
    <m/>
    <n v="857182"/>
    <m/>
    <m/>
    <m/>
    <m/>
    <m/>
    <m/>
    <m/>
    <m/>
    <m/>
    <m/>
  </r>
  <r>
    <n v="518"/>
    <s v="Uganda"/>
    <x v="1"/>
    <d v="2007-11-01T00:00:00"/>
    <d v="2008-02-01T00:00:00"/>
    <x v="4"/>
    <x v="224"/>
    <x v="10"/>
    <s v="DREF Operation no. MDRUG007"/>
    <x v="0"/>
    <s v="missing data"/>
    <n v="152756"/>
    <n v="149548"/>
    <n v="149548"/>
    <m/>
    <n v="98"/>
    <m/>
    <m/>
    <m/>
    <m/>
    <m/>
    <m/>
    <m/>
    <m/>
    <m/>
    <m/>
    <m/>
    <n v="306"/>
    <m/>
    <m/>
    <m/>
    <m/>
    <m/>
    <m/>
    <m/>
    <n v="0"/>
    <m/>
    <m/>
    <m/>
    <m/>
    <m/>
    <m/>
    <m/>
    <m/>
    <m/>
    <m/>
  </r>
  <r>
    <n v="519"/>
    <s v="Uganda"/>
    <x v="1"/>
    <d v="2007-08-01T00:00:00"/>
    <d v="2008-04-01T00:00:00"/>
    <x v="4"/>
    <x v="225"/>
    <x v="10"/>
    <s v="DREF operation n° MDRUG005"/>
    <x v="0"/>
    <n v="1300000"/>
    <n v="129276"/>
    <n v="126066"/>
    <n v="126066"/>
    <n v="9.697384615384616E-2"/>
    <n v="98"/>
    <s v="N/A"/>
    <s v="N/A"/>
    <s v="N/A"/>
    <s v="No "/>
    <s v="N/A"/>
    <n v="126100"/>
    <s v="N/A"/>
    <s v="N/A"/>
    <m/>
    <s v="N/A"/>
    <n v="332413"/>
    <n v="450"/>
    <s v="N/A"/>
    <s v="N/A"/>
    <s v="N/A"/>
    <s v="N/A"/>
    <s v="N/A"/>
    <s v="N/A"/>
    <s v="N/A"/>
    <n v="332413"/>
    <s v="N/A"/>
    <s v="N/A"/>
    <m/>
    <s v="N/A"/>
    <s v="N/A"/>
    <s v="N/A"/>
    <s v="N/A"/>
    <s v="N/A"/>
    <s v="N/A"/>
    <s v="N/A"/>
  </r>
  <r>
    <n v="520"/>
    <s v="Ukraine"/>
    <x v="2"/>
    <d v="2007-08-01T00:00:00"/>
    <d v="2007-10-01T00:00:00"/>
    <x v="4"/>
    <x v="226"/>
    <x v="1"/>
    <s v="DREF operation n° MDRUA002"/>
    <x v="0"/>
    <n v="4951"/>
    <n v="80000"/>
    <n v="79908"/>
    <n v="79908"/>
    <n v="16.139769743486163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521"/>
    <s v="Ukraine"/>
    <x v="2"/>
    <d v="2007-11-01T00:00:00"/>
    <d v="2008-05-01T00:00:00"/>
    <x v="4"/>
    <x v="117"/>
    <x v="12"/>
    <s v="DREF operation n° MDRUA003"/>
    <x v="0"/>
    <n v="800"/>
    <n v="37132"/>
    <n v="37132"/>
    <n v="37132"/>
    <n v="46.414999999999999"/>
    <n v="100"/>
    <m/>
    <m/>
    <m/>
    <m/>
    <m/>
    <m/>
    <m/>
    <m/>
    <m/>
    <n v="800"/>
    <m/>
    <m/>
    <m/>
    <m/>
    <m/>
    <m/>
    <m/>
    <m/>
    <m/>
    <n v="800"/>
    <n v="252"/>
    <n v="252"/>
    <m/>
    <m/>
    <m/>
    <m/>
    <m/>
    <m/>
    <m/>
    <m/>
  </r>
  <r>
    <n v="522"/>
    <s v="Uruguay"/>
    <x v="0"/>
    <d v="2007-05-01T00:00:00"/>
    <d v="2007-09-01T00:00:00"/>
    <x v="4"/>
    <x v="1"/>
    <x v="1"/>
    <s v="Final Report for DREF MDRUY001"/>
    <x v="0"/>
    <n v="3750"/>
    <n v="140000"/>
    <n v="138320"/>
    <n v="138320"/>
    <n v="36.885333333333335"/>
    <n v="99"/>
    <m/>
    <m/>
    <m/>
    <m/>
    <m/>
    <m/>
    <m/>
    <m/>
    <m/>
    <n v="3750"/>
    <m/>
    <n v="45"/>
    <m/>
    <m/>
    <m/>
    <m/>
    <m/>
    <m/>
    <m/>
    <n v="3750"/>
    <n v="4840"/>
    <n v="529"/>
    <m/>
    <m/>
    <m/>
    <m/>
    <m/>
    <m/>
    <m/>
    <m/>
  </r>
  <r>
    <n v="523"/>
    <s v="Vietnam"/>
    <x v="4"/>
    <d v="2007-03-01T00:00:00"/>
    <d v="2008-10-01T00:00:00"/>
    <x v="4"/>
    <x v="227"/>
    <x v="0"/>
    <s v="Emergency appeal n° MDRVN002"/>
    <x v="1"/>
    <n v="193000"/>
    <n v="3231507"/>
    <n v="2453420"/>
    <n v="2453420"/>
    <n v="12.712020725388602"/>
    <n v="76"/>
    <s v="N/A"/>
    <s v="N/A"/>
    <m/>
    <s v="no"/>
    <s v="N/A"/>
    <s v="N/A"/>
    <s v="N/A"/>
    <s v="N/A"/>
    <m/>
    <s v="N/A"/>
    <s v="N/A"/>
    <s v="N/A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524"/>
    <s v="West Africa (Togo, Ghana, Burkina Faso)"/>
    <x v="1"/>
    <d v="2007-09-01T00:00:00"/>
    <d v="2008-09-01T00:00:00"/>
    <x v="4"/>
    <x v="1"/>
    <x v="1"/>
    <s v="Emergency appeal n° MDR61002"/>
    <x v="1"/>
    <n v="82000"/>
    <n v="4408754"/>
    <n v="4188895"/>
    <n v="4188895"/>
    <n v="51.08408536585366"/>
    <n v="95"/>
    <n v="38585"/>
    <n v="320"/>
    <n v="38585"/>
    <s v="No "/>
    <n v="115"/>
    <n v="38585"/>
    <n v="132142"/>
    <n v="110206"/>
    <n v="2.8561876376830373"/>
    <s v="N/A"/>
    <n v="36305"/>
    <n v="80"/>
    <s v="N/A"/>
    <s v="N/A"/>
    <n v="8522"/>
    <s v="N/A"/>
    <s v="N/A"/>
    <s v="N/A"/>
    <s v="N/A"/>
    <n v="36305"/>
    <n v="18998"/>
    <n v="4400"/>
    <m/>
    <s v="N/A"/>
    <s v="N/A"/>
    <s v="N/A"/>
    <s v="N/A"/>
    <s v="N/A"/>
    <s v="yes"/>
    <s v="N/A"/>
  </r>
  <r>
    <n v="525"/>
    <s v="West and Central Africa (Benin, Burkina Faso, Côte d'Ivoire, Ghana, Mali, Niger, Nigeria and Chad)"/>
    <x v="1"/>
    <d v="2007-03-01T00:00:00"/>
    <d v="2007-11-01T00:00:00"/>
    <x v="4"/>
    <x v="223"/>
    <x v="10"/>
    <s v="DREF operation n° MDR61001_x000a_1 April 2008"/>
    <x v="0"/>
    <n v="1000000"/>
    <n v="0"/>
    <n v="179077"/>
    <n v="179077"/>
    <n v="0.17907699999999999"/>
    <s v="-"/>
    <m/>
    <m/>
    <m/>
    <m/>
    <m/>
    <m/>
    <n v="0"/>
    <n v="3"/>
    <m/>
    <m/>
    <n v="1000000"/>
    <n v="2000"/>
    <m/>
    <m/>
    <m/>
    <m/>
    <m/>
    <m/>
    <m/>
    <n v="1000000"/>
    <s v="-"/>
    <s v="-"/>
    <m/>
    <m/>
    <m/>
    <m/>
    <m/>
    <m/>
    <m/>
    <m/>
  </r>
  <r>
    <n v="526"/>
    <s v="Zambia"/>
    <x v="1"/>
    <d v="2007-01-01T00:00:00"/>
    <d v="2007-09-01T00:00:00"/>
    <x v="4"/>
    <x v="228"/>
    <x v="1"/>
    <s v="Emergency appeal n° MDRZM004"/>
    <x v="1"/>
    <n v="6250"/>
    <n v="798072"/>
    <n v="297531"/>
    <n v="297531"/>
    <n v="47.604959999999998"/>
    <n v="37"/>
    <n v="1000"/>
    <n v="2030"/>
    <n v="2030"/>
    <s v="No "/>
    <n v="40"/>
    <n v="6225"/>
    <n v="137250"/>
    <n v="32319"/>
    <n v="15.920689655172414"/>
    <s v="N/A"/>
    <n v="6225"/>
    <s v="N/A"/>
    <s v="N/A"/>
    <s v="N/A"/>
    <s v="N/A"/>
    <s v="N/A"/>
    <s v="N/A"/>
    <s v="N/A"/>
    <s v="N/A"/>
    <n v="6225"/>
    <s v="N/A"/>
    <s v="N/A"/>
    <m/>
    <s v="N/A"/>
    <s v="N/A"/>
    <s v="N/A"/>
    <s v="N/A"/>
    <s v="N/A"/>
    <s v="N/A"/>
    <s v="N/A"/>
  </r>
  <r>
    <n v="527"/>
    <s v="Zimbabwe"/>
    <x v="1"/>
    <d v="2007-05-01T00:00:00"/>
    <d v="2007-07-01T00:00:00"/>
    <x v="4"/>
    <x v="229"/>
    <x v="10"/>
    <s v="DREF operation n° MDRZW001"/>
    <x v="0"/>
    <n v="100000"/>
    <n v="258404"/>
    <n v="258404"/>
    <n v="258404"/>
    <n v="2.5840399999999999"/>
    <n v="100"/>
    <n v="100000"/>
    <m/>
    <m/>
    <m/>
    <m/>
    <n v="100000"/>
    <n v="184540"/>
    <n v="97150"/>
    <m/>
    <m/>
    <m/>
    <n v="100"/>
    <m/>
    <m/>
    <m/>
    <m/>
    <m/>
    <m/>
    <m/>
    <n v="0"/>
    <s v="-"/>
    <n v="29126"/>
    <m/>
    <m/>
    <m/>
    <m/>
    <m/>
    <m/>
    <m/>
    <m/>
  </r>
  <r>
    <n v="528"/>
    <s v="Central America (Guatemala, Honduras and Nicaragua)"/>
    <x v="0"/>
    <d v="2007-09-01T00:00:00"/>
    <d v="2008-12-01T00:00:00"/>
    <x v="4"/>
    <x v="230"/>
    <x v="0"/>
    <s v="Emergency appeal n° MDR43002"/>
    <x v="1"/>
    <n v="31658"/>
    <n v="1371000"/>
    <n v="1310495"/>
    <n v="1310495"/>
    <n v="41.395381893992038"/>
    <n v="96"/>
    <n v="40000"/>
    <n v="700"/>
    <n v="40000"/>
    <m/>
    <m/>
    <n v="31658"/>
    <n v="127"/>
    <n v="2029"/>
    <n v="5.0724999999999999E-2"/>
    <n v="31658"/>
    <n v="166"/>
    <n v="40"/>
    <m/>
    <m/>
    <m/>
    <m/>
    <m/>
    <m/>
    <m/>
    <n v="31824"/>
    <n v="2051"/>
    <n v="2809"/>
    <m/>
    <m/>
    <m/>
    <m/>
    <m/>
    <m/>
    <m/>
    <m/>
  </r>
  <r>
    <n v="529"/>
    <s v="Angola"/>
    <x v="1"/>
    <d v="2006-05-01T00:00:00"/>
    <d v="2007-12-01T00:00:00"/>
    <x v="5"/>
    <x v="29"/>
    <x v="10"/>
    <s v="Emergency appeal n° MDRAO001"/>
    <x v="1"/>
    <n v="247000"/>
    <n v="2305164"/>
    <n v="763557"/>
    <n v="763557"/>
    <n v="3.0913238866396759"/>
    <n v="33"/>
    <n v="102500"/>
    <s v="Missing data "/>
    <n v="102500"/>
    <s v="yes"/>
    <s v="Missing data"/>
    <n v="247000"/>
    <n v="521095"/>
    <n v="60462"/>
    <n v="0.58987317073170731"/>
    <s v="N/A"/>
    <n v="247000"/>
    <n v="700"/>
    <s v="N/A"/>
    <s v="N/A"/>
    <s v="N/A"/>
    <s v="N/A"/>
    <s v="N/A"/>
    <s v="N/A"/>
    <s v="N/A"/>
    <n v="247000"/>
    <n v="131596"/>
    <n v="36653"/>
    <m/>
    <s v="N/A"/>
    <s v="N/A"/>
    <s v="N/A"/>
    <s v="N/A"/>
    <s v="N/A"/>
    <s v="N/A"/>
    <s v="N/A"/>
  </r>
  <r>
    <n v="530"/>
    <s v="Argentine"/>
    <x v="0"/>
    <d v="2006-04-01T00:00:00"/>
    <d v="2006-08-01T00:00:00"/>
    <x v="5"/>
    <x v="1"/>
    <x v="1"/>
    <s v="Final Report for DREF Bulletin no. MDRAR001"/>
    <x v="0"/>
    <n v="13670"/>
    <n v="100000"/>
    <n v="100000"/>
    <n v="98390"/>
    <n v="7.1975128017556695"/>
    <n v="100"/>
    <m/>
    <s v="N/A"/>
    <s v="N/A"/>
    <s v="no"/>
    <n v="35"/>
    <n v="4800"/>
    <s v="-"/>
    <s v="-"/>
    <m/>
    <n v="997"/>
    <n v="997"/>
    <n v="95"/>
    <s v="N/A"/>
    <s v="N/A"/>
    <s v="N/A"/>
    <s v="N/A"/>
    <s v="N/A"/>
    <s v="N/A"/>
    <s v="N/A"/>
    <n v="1994"/>
    <s v="-"/>
    <s v="-"/>
    <m/>
    <m/>
    <m/>
    <m/>
    <m/>
    <m/>
    <s v="N/A"/>
    <s v="N/A"/>
  </r>
  <r>
    <n v="531"/>
    <s v="Belarus, Moldova, Russia and Ukraine"/>
    <x v="2"/>
    <d v="2006-02-01T00:00:00"/>
    <d v="2006-03-01T00:00:00"/>
    <x v="5"/>
    <x v="231"/>
    <x v="6"/>
    <s v="DREF Bulletin no. MDR67001"/>
    <x v="0"/>
    <n v="26827"/>
    <n v="200000"/>
    <n v="200000"/>
    <n v="200140"/>
    <n v="7.4603943787974805"/>
    <n v="100"/>
    <s v="N/A"/>
    <s v="N/A"/>
    <s v="N/A"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n v="365"/>
    <n v="330"/>
    <m/>
    <s v="N/A"/>
    <s v="N/A"/>
    <s v="N/A"/>
    <s v="N/A"/>
    <s v="N/A"/>
    <s v="N/A"/>
    <s v="N/A"/>
  </r>
  <r>
    <n v="532"/>
    <s v="Bolivia"/>
    <x v="0"/>
    <d v="2006-02-01T00:00:00"/>
    <d v="2006-05-01T00:00:00"/>
    <x v="5"/>
    <x v="1"/>
    <x v="1"/>
    <s v="Final Report for DREF Bulletin no. MDRBO001"/>
    <x v="0"/>
    <n v="9500"/>
    <n v="106832"/>
    <n v="106832"/>
    <n v="106832"/>
    <n v="11.245473684210527"/>
    <n v="100"/>
    <s v="N/A"/>
    <s v="N/A"/>
    <s v="N/A"/>
    <s v="no"/>
    <s v="N/A"/>
    <s v="N/A"/>
    <n v="741"/>
    <n v="741"/>
    <m/>
    <s v="N/A"/>
    <s v="N/A"/>
    <s v="N/A"/>
    <s v="N/A"/>
    <s v="N/A"/>
    <s v="N/A"/>
    <s v="N/A"/>
    <s v="N/A"/>
    <s v="N/A"/>
    <s v="N/A"/>
    <n v="0"/>
    <s v="-"/>
    <s v="-"/>
    <m/>
    <m/>
    <m/>
    <m/>
    <m/>
    <m/>
    <s v="yes"/>
    <s v="yes"/>
  </r>
  <r>
    <n v="533"/>
    <s v="Burkina Faso"/>
    <x v="1"/>
    <d v="2006-08-01T00:00:00"/>
    <d v="2007-06-01T00:00:00"/>
    <x v="5"/>
    <x v="1"/>
    <x v="1"/>
    <s v="DREF operation n° MDRBF002"/>
    <x v="0"/>
    <n v="6000"/>
    <n v="59111"/>
    <n v="56166"/>
    <n v="56166"/>
    <n v="9.3610000000000007"/>
    <n v="95"/>
    <n v="1000"/>
    <m/>
    <n v="1000"/>
    <s v="no"/>
    <n v="100"/>
    <n v="22100"/>
    <n v="4950"/>
    <n v="3600"/>
    <n v="3.6"/>
    <s v="N/A"/>
    <s v="N/A"/>
    <s v="N/A"/>
    <s v="N/A"/>
    <s v="N/A"/>
    <n v="1300"/>
    <s v="N/A"/>
    <s v="N/A"/>
    <s v="N/A"/>
    <s v="N/A"/>
    <n v="0"/>
    <n v="11308"/>
    <n v="10742.6"/>
    <m/>
    <s v="N/A"/>
    <s v="N/A"/>
    <s v="N/A"/>
    <s v="N/A"/>
    <s v="N/A"/>
    <s v="N/A"/>
    <s v="N/A"/>
  </r>
  <r>
    <n v="534"/>
    <s v="Burkina Faso"/>
    <x v="1"/>
    <d v="2006-03-01T00:00:00"/>
    <d v="2006-05-01T00:00:00"/>
    <x v="5"/>
    <x v="223"/>
    <x v="10"/>
    <s v="DREF Bulletin No. MDRBF001"/>
    <x v="0"/>
    <n v="862923"/>
    <n v="0"/>
    <n v="30000"/>
    <n v="30000"/>
    <n v="3.4765558456548266E-2"/>
    <s v="-"/>
    <s v="N/A"/>
    <s v="N/A"/>
    <s v="N/A"/>
    <s v="N/A"/>
    <s v="N/A"/>
    <s v="N/A"/>
    <s v="-"/>
    <s v="-"/>
    <m/>
    <s v="N/A"/>
    <n v="862923"/>
    <n v="2080"/>
    <s v="missing data"/>
    <s v="N/A"/>
    <s v="N/A"/>
    <s v="N/A"/>
    <s v="N/A"/>
    <s v="N/A"/>
    <s v="N/A"/>
    <n v="862923"/>
    <s v="-"/>
    <s v="-"/>
    <m/>
    <s v="N/A"/>
    <s v="N/A"/>
    <s v="N/A"/>
    <s v="N/A"/>
    <s v="N/A"/>
    <s v="N/A"/>
    <s v="N/A"/>
  </r>
  <r>
    <n v="535"/>
    <s v="Burundi"/>
    <x v="1"/>
    <d v="2006-01-01T00:00:00"/>
    <d v="2009-07-01T00:00:00"/>
    <x v="5"/>
    <x v="232"/>
    <x v="3"/>
    <s v="Emergency appeal n° MDRBI001"/>
    <x v="1"/>
    <n v="15000"/>
    <n v="1580239"/>
    <n v="753891"/>
    <n v="753891"/>
    <n v="50.259399999999999"/>
    <n v="48"/>
    <n v="9000"/>
    <m/>
    <n v="9000"/>
    <s v="yes"/>
    <n v="30"/>
    <n v="9000"/>
    <n v="33851"/>
    <n v="6005"/>
    <n v="0.66722222222222227"/>
    <s v="N/A"/>
    <n v="2000"/>
    <s v="N/A"/>
    <s v="yes"/>
    <s v="N/A"/>
    <n v="2000"/>
    <s v="N/A"/>
    <s v="N/A"/>
    <s v="N/A"/>
    <s v="N/A"/>
    <n v="2000"/>
    <n v="4913"/>
    <n v="2430"/>
    <m/>
    <s v="N/A"/>
    <s v="N/A"/>
    <s v="N/A"/>
    <s v="N/A"/>
    <s v="N/A"/>
    <s v="N/A"/>
    <s v="N/A"/>
  </r>
  <r>
    <n v="536"/>
    <s v="Burundi"/>
    <x v="1"/>
    <d v="2006-01-01T00:00:00"/>
    <d v="2007-01-01T00:00:00"/>
    <x v="5"/>
    <x v="233"/>
    <x v="1"/>
    <s v="DREF operation n° MDRBI002"/>
    <x v="0"/>
    <n v="2100"/>
    <n v="122000"/>
    <n v="115550"/>
    <n v="115550"/>
    <n v="55.023809523809526"/>
    <n v="95"/>
    <n v="4220"/>
    <m/>
    <n v="4220"/>
    <m/>
    <m/>
    <m/>
    <m/>
    <n v="7455"/>
    <n v="1.7665876777251184"/>
    <m/>
    <n v="4500"/>
    <m/>
    <m/>
    <m/>
    <n v="2100"/>
    <m/>
    <m/>
    <m/>
    <m/>
    <n v="4500"/>
    <m/>
    <n v="1092"/>
    <m/>
    <m/>
    <m/>
    <m/>
    <m/>
    <m/>
    <m/>
    <m/>
  </r>
  <r>
    <n v="537"/>
    <s v="Cameroon"/>
    <x v="1"/>
    <d v="2006-05-01T00:00:00"/>
    <d v="2006-07-01T00:00:00"/>
    <x v="5"/>
    <x v="234"/>
    <x v="10"/>
    <s v="DREF Bulletin No. MDRCM002"/>
    <x v="0"/>
    <n v="2750"/>
    <n v="36878"/>
    <n v="37999"/>
    <n v="37999"/>
    <n v="13.817818181818183"/>
    <n v="100"/>
    <n v="2750"/>
    <s v="Missing data "/>
    <n v="2750"/>
    <s v="no"/>
    <s v="missing data"/>
    <s v="missing data"/>
    <n v="20387"/>
    <n v="18730"/>
    <n v="6.8109090909090906"/>
    <s v="N/A"/>
    <s v="missing data"/>
    <s v="Missing data "/>
    <s v="Missing data "/>
    <s v="Missing data "/>
    <s v="N/A"/>
    <s v="N/A"/>
    <s v="N/A"/>
    <s v="missing data"/>
    <s v="N/A"/>
    <n v="0"/>
    <n v="331"/>
    <n v="331"/>
    <m/>
    <s v="N/A"/>
    <s v="N/A"/>
    <s v="N/A"/>
    <s v="N/A"/>
    <s v="N/A"/>
    <s v="N/A"/>
    <s v="N/A"/>
  </r>
  <r>
    <n v="538"/>
    <s v="Cameroon "/>
    <x v="1"/>
    <d v="2006-04-01T00:00:00"/>
    <d v="2007-07-01T00:00:00"/>
    <x v="5"/>
    <x v="235"/>
    <x v="3"/>
    <s v="DREF Bulletin No. MDRCM001"/>
    <x v="0"/>
    <n v="10000"/>
    <n v="0"/>
    <n v="35000"/>
    <n v="35000"/>
    <n v="3.5"/>
    <s v="-"/>
    <s v="N/A"/>
    <s v="N/A"/>
    <s v="N/A"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n v="3317"/>
    <n v="3317"/>
    <m/>
    <s v="N/A"/>
    <s v="N/A"/>
    <s v="N/A"/>
    <s v="N/A"/>
    <s v="N/A"/>
    <s v="N/A"/>
    <s v="N/A"/>
  </r>
  <r>
    <n v="539"/>
    <s v="Central Africa "/>
    <x v="1"/>
    <d v="2006-02-01T00:00:00"/>
    <d v="2007-08-01T00:00:00"/>
    <x v="5"/>
    <x v="236"/>
    <x v="3"/>
    <s v="DREF operation n° MDR62001"/>
    <x v="0"/>
    <n v="20000"/>
    <m/>
    <m/>
    <m/>
    <n v="0"/>
    <m/>
    <m/>
    <m/>
    <m/>
    <s v="Yes "/>
    <n v="120"/>
    <m/>
    <m/>
    <m/>
    <m/>
    <m/>
    <m/>
    <m/>
    <m/>
    <m/>
    <n v="1000"/>
    <m/>
    <m/>
    <m/>
    <m/>
    <n v="0"/>
    <m/>
    <m/>
    <m/>
    <m/>
    <m/>
    <m/>
    <m/>
    <m/>
    <m/>
    <m/>
  </r>
  <r>
    <n v="540"/>
    <s v="Central Africa (Democratic Republic of the Congo (DRC), Gabon, Sao Tome and Principe and the Central African Republic (CAR))"/>
    <x v="1"/>
    <d v="2006-12-01T00:00:00"/>
    <d v="2007-08-01T00:00:00"/>
    <x v="5"/>
    <x v="43"/>
    <x v="1"/>
    <s v="DREF operation n° MDR62002"/>
    <x v="0"/>
    <n v="15000"/>
    <n v="169209"/>
    <n v="165746"/>
    <n v="165746"/>
    <n v="11.049733333333334"/>
    <n v="98"/>
    <m/>
    <m/>
    <m/>
    <s v="no"/>
    <m/>
    <m/>
    <n v="47992"/>
    <n v="25576"/>
    <m/>
    <m/>
    <n v="5224"/>
    <n v="141"/>
    <m/>
    <m/>
    <m/>
    <m/>
    <n v="68"/>
    <m/>
    <m/>
    <n v="5224"/>
    <n v="14731"/>
    <n v="15785"/>
    <m/>
    <m/>
    <m/>
    <m/>
    <m/>
    <m/>
    <m/>
    <m/>
  </r>
  <r>
    <n v="541"/>
    <s v="Chad"/>
    <x v="1"/>
    <d v="2006-06-01T00:00:00"/>
    <d v="2007-03-01T00:00:00"/>
    <x v="5"/>
    <x v="1"/>
    <x v="1"/>
    <s v="DREF operation n° MDRTD002"/>
    <x v="0"/>
    <n v="150000"/>
    <n v="0"/>
    <n v="90000"/>
    <n v="90000"/>
    <n v="0.6"/>
    <n v="0"/>
    <s v="Missing data"/>
    <s v="Missing data "/>
    <s v="Missing data"/>
    <s v="No "/>
    <s v="N/A"/>
    <s v="N/A"/>
    <m/>
    <n v="1709"/>
    <m/>
    <s v="N/A"/>
    <s v="N/A"/>
    <n v="330"/>
    <s v="yes"/>
    <s v="N/A"/>
    <n v="1600"/>
    <s v="N/A"/>
    <s v="N/A"/>
    <s v="N/A"/>
    <s v="N/A"/>
    <n v="0"/>
    <s v="N/A"/>
    <s v="N/A"/>
    <m/>
    <s v="N/A"/>
    <s v="N/A"/>
    <s v="N/A"/>
    <s v="N/A"/>
    <s v="N/A"/>
    <s v="N/A"/>
    <s v="N/A"/>
  </r>
  <r>
    <n v="542"/>
    <s v="Chad "/>
    <x v="1"/>
    <d v="2006-07-01T00:00:00"/>
    <d v="2006-07-01T00:00:00"/>
    <x v="5"/>
    <x v="29"/>
    <x v="10"/>
    <s v="DREF Bulletin No. MDRTD001"/>
    <x v="0"/>
    <s v="missing data"/>
    <n v="0"/>
    <n v="13426"/>
    <n v="13426"/>
    <m/>
    <s v="-"/>
    <s v="missing data "/>
    <s v="Missing data "/>
    <s v="missing data "/>
    <s v="missing data"/>
    <n v="85"/>
    <s v="missing data"/>
    <s v="-"/>
    <s v="-"/>
    <m/>
    <s v="N/A"/>
    <s v="missing data"/>
    <n v="85"/>
    <s v="N/A"/>
    <s v="N/A"/>
    <s v="N/A"/>
    <s v="N/A"/>
    <s v="N/A"/>
    <s v="missing data "/>
    <s v="N/A"/>
    <n v="0"/>
    <n v="0"/>
    <n v="287"/>
    <m/>
    <s v="N/A"/>
    <s v="N/A"/>
    <s v="N/A"/>
    <s v="N/A"/>
    <s v="N/A"/>
    <s v="N/A"/>
    <s v="N/A"/>
  </r>
  <r>
    <n v="543"/>
    <s v="Chile"/>
    <x v="0"/>
    <d v="2006-01-01T00:00:00"/>
    <d v="2007-04-01T00:00:00"/>
    <x v="5"/>
    <x v="1"/>
    <x v="1"/>
    <s v="DREF Bulletin no. MDRCL001"/>
    <x v="0"/>
    <n v="62416"/>
    <n v="130000"/>
    <n v="130000"/>
    <n v="130000"/>
    <n v="2.0827992822353241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544"/>
    <s v="China"/>
    <x v="4"/>
    <d v="2006-08-01T00:00:00"/>
    <d v="2007-07-01T00:00:00"/>
    <x v="5"/>
    <x v="78"/>
    <x v="1"/>
    <s v="Appeal No. MDRCN001"/>
    <x v="1"/>
    <n v="240000"/>
    <n v="5950200"/>
    <n v="1345065"/>
    <n v="1345065"/>
    <n v="5.6044375000000004"/>
    <n v="26"/>
    <n v="34560"/>
    <m/>
    <n v="34560"/>
    <s v="no"/>
    <m/>
    <m/>
    <s v="-"/>
    <s v="-"/>
    <m/>
    <s v="yes"/>
    <m/>
    <m/>
    <m/>
    <m/>
    <m/>
    <s v="N/A"/>
    <s v="N/A"/>
    <m/>
    <m/>
    <n v="0"/>
    <s v="-"/>
    <s v="-"/>
    <m/>
    <s v="N/A"/>
    <s v="N/A"/>
    <s v="N/A"/>
    <s v="N/A"/>
    <s v="N/A"/>
    <s v="N/A"/>
    <s v="N/A"/>
  </r>
  <r>
    <n v="545"/>
    <s v="Colombia"/>
    <x v="0"/>
    <d v="2006-01-01T00:00:00"/>
    <d v="2007-11-01T00:00:00"/>
    <x v="5"/>
    <x v="1"/>
    <x v="1"/>
    <s v="DREF Bulletin no. MDRCO001"/>
    <x v="0"/>
    <n v="5810"/>
    <n v="160000"/>
    <n v="160000"/>
    <n v="160000"/>
    <n v="27.538726333907057"/>
    <n v="100"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546"/>
    <s v="Cote d'Ivoire"/>
    <x v="1"/>
    <d v="2006-09-01T00:00:00"/>
    <d v="2006-11-01T00:00:00"/>
    <x v="5"/>
    <x v="237"/>
    <x v="4"/>
    <s v="DREF Bulletin No. MDRCI001"/>
    <x v="0"/>
    <n v="150000"/>
    <n v="120000"/>
    <n v="119016"/>
    <n v="119016"/>
    <n v="0.79344000000000003"/>
    <n v="99.18"/>
    <s v="missing data"/>
    <s v="missing data"/>
    <s v="missing data"/>
    <s v="no"/>
    <m/>
    <s v="yes"/>
    <s v="-"/>
    <s v="-"/>
    <m/>
    <m/>
    <m/>
    <n v="160"/>
    <m/>
    <m/>
    <m/>
    <s v="N/A"/>
    <s v="N/A"/>
    <n v="7786"/>
    <m/>
    <n v="7786"/>
    <n v="53520"/>
    <n v="4800"/>
    <m/>
    <s v="N/A"/>
    <s v="N/A"/>
    <s v="N/A"/>
    <s v="N/A"/>
    <s v="N/A"/>
    <s v="N/A"/>
    <s v="N/A"/>
  </r>
  <r>
    <n v="547"/>
    <s v="Democratic Republic of Congo"/>
    <x v="1"/>
    <d v="2006-03-01T00:00:00"/>
    <d v="2006-05-01T00:00:00"/>
    <x v="5"/>
    <x v="238"/>
    <x v="10"/>
    <s v="DREF Bulletin No. MDRZR001"/>
    <x v="0"/>
    <n v="948"/>
    <n v="49000"/>
    <n v="48991"/>
    <n v="48991"/>
    <n v="51.678270042194093"/>
    <n v="100"/>
    <n v="24500"/>
    <s v="missing data"/>
    <n v="24500"/>
    <s v="no"/>
    <n v="300"/>
    <s v="missing data"/>
    <n v="22376"/>
    <n v="21395"/>
    <n v="0.87326530612244901"/>
    <s v="N/A"/>
    <m/>
    <n v="300"/>
    <s v="N/A"/>
    <s v="N/A"/>
    <s v="N/A"/>
    <s v="N/A"/>
    <s v="N/A"/>
    <s v="missing data"/>
    <s v="N/A"/>
    <n v="0"/>
    <s v="-"/>
    <s v="-"/>
    <m/>
    <s v="N/A"/>
    <s v="N/A"/>
    <s v="N/A"/>
    <s v="N/A"/>
    <s v="N/A"/>
    <s v="N/A"/>
    <s v="N/A"/>
  </r>
  <r>
    <n v="548"/>
    <s v="Democratic Republic of Congo"/>
    <x v="1"/>
    <d v="2006-03-01T00:00:00"/>
    <d v="2006-05-01T00:00:00"/>
    <x v="5"/>
    <x v="239"/>
    <x v="1"/>
    <s v="DREF Bulletin No. MDRZR002"/>
    <x v="0"/>
    <n v="34000"/>
    <n v="0"/>
    <n v="28700"/>
    <n v="28700"/>
    <n v="0.84411764705882353"/>
    <s v="-"/>
    <n v="32000"/>
    <m/>
    <n v="32000"/>
    <s v="no"/>
    <n v="29"/>
    <s v="missing data"/>
    <n v="0"/>
    <n v="1294"/>
    <n v="4.0437500000000001E-2"/>
    <s v="yes"/>
    <s v="missing data"/>
    <n v="29"/>
    <s v="N/A"/>
    <s v="N/A"/>
    <n v="1065"/>
    <s v="N/A"/>
    <s v="N/A"/>
    <s v="N/A"/>
    <s v="N/A"/>
    <n v="0"/>
    <s v="-"/>
    <s v="-"/>
    <m/>
    <s v="N/A"/>
    <s v="N/A"/>
    <s v="N/A"/>
    <s v="N/A"/>
    <s v="N/A"/>
    <s v="N/A"/>
    <s v="N/A"/>
  </r>
  <r>
    <n v="549"/>
    <s v="Eastern Africa (Kenya, Ethiopia, Tanzania, Southern Sudan, Eritreia)"/>
    <x v="1"/>
    <d v="2006-01-01T00:00:00"/>
    <d v="2008-05-01T00:00:00"/>
    <x v="5"/>
    <x v="240"/>
    <x v="1"/>
    <s v="DREF operation n° MDR64001"/>
    <x v="0"/>
    <n v="350000"/>
    <n v="250000"/>
    <n v="250000"/>
    <n v="250000"/>
    <n v="0.7142857142857143"/>
    <n v="100"/>
    <n v="28000"/>
    <m/>
    <n v="28000"/>
    <s v="yes"/>
    <n v="167"/>
    <n v="72000"/>
    <m/>
    <m/>
    <n v="0"/>
    <m/>
    <m/>
    <m/>
    <m/>
    <m/>
    <m/>
    <m/>
    <m/>
    <m/>
    <m/>
    <n v="0"/>
    <m/>
    <m/>
    <m/>
    <m/>
    <m/>
    <m/>
    <m/>
    <m/>
    <m/>
    <m/>
  </r>
  <r>
    <n v="550"/>
    <s v="Ecuador"/>
    <x v="0"/>
    <d v="2006-08-01T00:00:00"/>
    <d v="2007-01-01T00:00:00"/>
    <x v="5"/>
    <x v="174"/>
    <x v="8"/>
    <s v="Appeal No. MDREC002"/>
    <x v="1"/>
    <n v="5475"/>
    <n v="632064"/>
    <n v="410460"/>
    <n v="410272"/>
    <n v="74.935525114155254"/>
    <n v="100"/>
    <n v="5475"/>
    <m/>
    <n v="5475"/>
    <s v="no"/>
    <m/>
    <m/>
    <n v="49320"/>
    <n v="5924"/>
    <n v="1.0820091324200913"/>
    <n v="2500"/>
    <m/>
    <m/>
    <m/>
    <m/>
    <m/>
    <s v="N/A"/>
    <s v="N/A"/>
    <n v="2995"/>
    <s v="N/A"/>
    <n v="5495"/>
    <n v="49419"/>
    <n v="8860"/>
    <m/>
    <s v="N/A"/>
    <s v="N/A"/>
    <s v="N/A"/>
    <s v="N/A"/>
    <s v="N/A"/>
    <s v="N/A"/>
    <s v="N/A"/>
  </r>
  <r>
    <n v="551"/>
    <s v="Ecuador"/>
    <x v="0"/>
    <d v="2006-01-01T00:00:00"/>
    <d v="2007-04-01T00:00:00"/>
    <x v="5"/>
    <x v="1"/>
    <x v="1"/>
    <s v="DREF Bulletin no. MDREC001"/>
    <x v="0"/>
    <n v="26000"/>
    <n v="80000"/>
    <n v="80000"/>
    <n v="80000"/>
    <n v="3.0769230769230771"/>
    <n v="100"/>
    <m/>
    <m/>
    <m/>
    <s v="no"/>
    <m/>
    <m/>
    <m/>
    <m/>
    <m/>
    <m/>
    <m/>
    <m/>
    <m/>
    <m/>
    <m/>
    <m/>
    <m/>
    <m/>
    <m/>
    <n v="0"/>
    <n v="911"/>
    <n v="911"/>
    <m/>
    <m/>
    <m/>
    <m/>
    <m/>
    <m/>
    <m/>
    <s v="yes"/>
  </r>
  <r>
    <n v="552"/>
    <s v="Egypt"/>
    <x v="3"/>
    <d v="2006-02-01T00:00:00"/>
    <d v="2006-08-01T00:00:00"/>
    <x v="5"/>
    <x v="241"/>
    <x v="3"/>
    <s v="DREF operation n° MDREG001"/>
    <x v="0"/>
    <n v="2518"/>
    <n v="50000"/>
    <n v="50000"/>
    <n v="50000"/>
    <n v="19.857029388403493"/>
    <n v="100"/>
    <m/>
    <m/>
    <m/>
    <s v="no"/>
    <m/>
    <m/>
    <m/>
    <m/>
    <m/>
    <n v="2518"/>
    <m/>
    <n v="40"/>
    <m/>
    <m/>
    <m/>
    <m/>
    <m/>
    <m/>
    <m/>
    <n v="2518"/>
    <m/>
    <m/>
    <m/>
    <m/>
    <m/>
    <m/>
    <m/>
    <m/>
    <m/>
    <m/>
  </r>
  <r>
    <n v="553"/>
    <s v="Egypt"/>
    <x v="3"/>
    <d v="2006-02-01T00:00:00"/>
    <d v="2006-09-01T00:00:00"/>
    <x v="5"/>
    <x v="242"/>
    <x v="10"/>
    <s v="DREF operation n° MDREG002"/>
    <x v="0"/>
    <n v="1267"/>
    <n v="39936"/>
    <n v="39936"/>
    <n v="39936"/>
    <n v="31.520126282557221"/>
    <n v="100"/>
    <m/>
    <m/>
    <m/>
    <s v="no"/>
    <m/>
    <m/>
    <m/>
    <m/>
    <m/>
    <m/>
    <n v="1267"/>
    <n v="50"/>
    <m/>
    <m/>
    <m/>
    <m/>
    <m/>
    <m/>
    <m/>
    <n v="1267"/>
    <n v="831"/>
    <n v="6336"/>
    <m/>
    <m/>
    <m/>
    <m/>
    <m/>
    <m/>
    <m/>
    <m/>
  </r>
  <r>
    <n v="554"/>
    <s v="Egypt"/>
    <x v="3"/>
    <d v="2006-05-01T00:00:00"/>
    <d v="2006-09-01T00:00:00"/>
    <x v="5"/>
    <x v="243"/>
    <x v="3"/>
    <s v="DREF operation n° MDREG003"/>
    <x v="0"/>
    <n v="150"/>
    <n v="30000"/>
    <n v="30000"/>
    <n v="30000"/>
    <n v="200"/>
    <n v="100"/>
    <m/>
    <m/>
    <m/>
    <s v="no"/>
    <m/>
    <m/>
    <m/>
    <m/>
    <m/>
    <n v="150"/>
    <m/>
    <n v="38"/>
    <m/>
    <m/>
    <m/>
    <m/>
    <m/>
    <m/>
    <m/>
    <n v="150"/>
    <m/>
    <m/>
    <m/>
    <m/>
    <m/>
    <m/>
    <m/>
    <m/>
    <m/>
    <m/>
  </r>
  <r>
    <n v="555"/>
    <s v="Ethiopia"/>
    <x v="1"/>
    <d v="2006-08-01T00:00:00"/>
    <d v="2007-09-01T00:00:00"/>
    <x v="5"/>
    <x v="1"/>
    <x v="1"/>
    <s v="Emergency appeal no. MDRET003"/>
    <x v="1"/>
    <n v="45000"/>
    <n v="3578292"/>
    <n v="2457549"/>
    <n v="2457549"/>
    <n v="54.612200000000001"/>
    <n v="72"/>
    <n v="22400"/>
    <n v="7500"/>
    <n v="22400"/>
    <s v="yes"/>
    <n v="119"/>
    <n v="42250"/>
    <n v="899258"/>
    <n v="57929"/>
    <n v="2.5861160714285716"/>
    <s v="N/A"/>
    <n v="42500"/>
    <s v="N/A"/>
    <s v="N/A"/>
    <s v="N/A"/>
    <n v="16900"/>
    <s v="N/A"/>
    <s v="N/A"/>
    <s v="N/A"/>
    <s v="N/A"/>
    <n v="42500"/>
    <n v="135823"/>
    <n v="135823"/>
    <m/>
    <s v="N/A"/>
    <s v="N/A"/>
    <s v="N/A"/>
    <s v="N/A"/>
    <s v="N/A"/>
    <s v="yes"/>
    <s v="N/A"/>
  </r>
  <r>
    <n v="556"/>
    <s v="Ethiopia"/>
    <x v="1"/>
    <d v="2006-08-01T00:00:00"/>
    <d v="2007-01-01T00:00:00"/>
    <x v="5"/>
    <x v="244"/>
    <x v="10"/>
    <s v="DREF operation n° MDRET002"/>
    <x v="0"/>
    <n v="18520"/>
    <n v="56000"/>
    <n v="56000"/>
    <n v="56000"/>
    <n v="3.0237580993520519"/>
    <n v="100"/>
    <n v="18520"/>
    <m/>
    <n v="18520"/>
    <s v="No "/>
    <s v="N/A"/>
    <n v="18520"/>
    <s v="N/A"/>
    <s v="N/A"/>
    <m/>
    <s v="N/A"/>
    <s v="N/A"/>
    <s v="N/A"/>
    <s v="N/A"/>
    <s v="N/A"/>
    <s v="N/A"/>
    <s v="N/A"/>
    <s v="N/A"/>
    <s v="N/A"/>
    <s v="N/A"/>
    <n v="0"/>
    <n v="11533"/>
    <n v="11533"/>
    <m/>
    <s v="N/A"/>
    <s v="N/A"/>
    <s v="N/A"/>
    <s v="N/A"/>
    <s v="N/A"/>
    <s v="N/A"/>
    <s v="N/A"/>
  </r>
  <r>
    <n v="557"/>
    <s v="Ethiopia"/>
    <x v="1"/>
    <d v="2006-01-01T00:00:00"/>
    <d v="2007-12-01T00:00:00"/>
    <x v="5"/>
    <x v="50"/>
    <x v="1"/>
    <s v="Emergency appeal n° MDRET001"/>
    <x v="1"/>
    <n v="36341"/>
    <n v="1877033"/>
    <n v="1216102"/>
    <n v="1216102"/>
    <n v="33.463636113480639"/>
    <n v="65"/>
    <n v="25000"/>
    <n v="9400"/>
    <n v="25000"/>
    <s v="yes"/>
    <n v="465"/>
    <n v="72000"/>
    <n v="680222"/>
    <n v="25291"/>
    <n v="1.0116400000000001"/>
    <m/>
    <n v="72000"/>
    <m/>
    <s v="Yes"/>
    <m/>
    <n v="18300"/>
    <m/>
    <m/>
    <m/>
    <m/>
    <n v="72000"/>
    <n v="164977"/>
    <n v="107235.05"/>
    <m/>
    <m/>
    <m/>
    <m/>
    <m/>
    <m/>
    <m/>
    <m/>
  </r>
  <r>
    <n v="558"/>
    <s v="Gambia"/>
    <x v="1"/>
    <d v="2006-09-01T00:00:00"/>
    <d v="2007-10-01T00:00:00"/>
    <x v="5"/>
    <x v="4"/>
    <x v="3"/>
    <s v="DREF no. MDRGM001"/>
    <x v="0"/>
    <n v="5600"/>
    <n v="45001"/>
    <n v="44751"/>
    <n v="44751"/>
    <n v="7.99125"/>
    <n v="99"/>
    <s v="N/A"/>
    <s v="N/A"/>
    <n v="5600"/>
    <s v="no"/>
    <n v="120"/>
    <n v="5600"/>
    <s v="N/A"/>
    <s v="N/A"/>
    <m/>
    <s v="N/A"/>
    <s v="N/A"/>
    <s v="N/A"/>
    <s v="N/A"/>
    <s v="N/A"/>
    <n v="552"/>
    <s v="N/A"/>
    <s v="N/A"/>
    <s v="N/A"/>
    <s v="N/A"/>
    <n v="0"/>
    <s v="N/A"/>
    <s v="N/A"/>
    <m/>
    <s v="N/A"/>
    <s v="N/A"/>
    <s v="N/A"/>
    <s v="N/A"/>
    <s v="N/A"/>
    <s v="N/A"/>
    <s v="N/A"/>
  </r>
  <r>
    <n v="559"/>
    <s v="Gambia"/>
    <x v="1"/>
    <d v="2006-11-01T00:00:00"/>
    <d v="2007-10-01T00:00:00"/>
    <x v="5"/>
    <x v="120"/>
    <x v="12"/>
    <s v="DREF operation n° MDRGM002"/>
    <x v="0"/>
    <n v="2000"/>
    <n v="20325"/>
    <n v="20189"/>
    <n v="20189"/>
    <n v="10.0945"/>
    <n v="99"/>
    <s v="N/A"/>
    <s v="N/A"/>
    <s v="N/A"/>
    <s v="No "/>
    <s v="N/A"/>
    <s v="N/A"/>
    <s v="N/A"/>
    <s v="N/A"/>
    <m/>
    <s v="N/A"/>
    <s v="N/A"/>
    <n v="45"/>
    <s v="N/A"/>
    <s v="N/A"/>
    <s v="N/A"/>
    <s v="N/A"/>
    <s v="N/A"/>
    <s v="N/A"/>
    <s v="N/A"/>
    <n v="0"/>
    <n v="10488"/>
    <n v="10383.120000000001"/>
    <m/>
    <s v="N/A"/>
    <s v="N/A"/>
    <s v="N/A"/>
    <s v="N/A"/>
    <s v="N/A"/>
    <s v="N/A"/>
    <s v="N/A"/>
  </r>
  <r>
    <n v="560"/>
    <s v="Guinea"/>
    <x v="1"/>
    <d v="2006-06-01T00:00:00"/>
    <d v="2006-07-01T00:00:00"/>
    <x v="5"/>
    <x v="29"/>
    <x v="10"/>
    <s v="DREF Bulletin No. MDRGN001"/>
    <x v="0"/>
    <n v="110085"/>
    <n v="20000"/>
    <n v="18562"/>
    <n v="18562"/>
    <n v="0.16861516101194532"/>
    <n v="92.81"/>
    <m/>
    <m/>
    <m/>
    <s v="no"/>
    <s v="N/A"/>
    <n v="110085"/>
    <n v="0"/>
    <n v="332"/>
    <m/>
    <m/>
    <n v="110085"/>
    <n v="135"/>
    <m/>
    <m/>
    <m/>
    <s v="N/A"/>
    <s v="N/A"/>
    <m/>
    <m/>
    <n v="110085"/>
    <n v="420"/>
    <n v="130"/>
    <m/>
    <s v="N/A"/>
    <s v="N/A"/>
    <s v="N/A"/>
    <s v="N/A"/>
    <s v="N/A"/>
    <s v="N/A"/>
    <s v="N/A"/>
  </r>
  <r>
    <n v="561"/>
    <s v="Haiti"/>
    <x v="0"/>
    <d v="2006-12-01T00:00:00"/>
    <d v="2007-04-01T00:00:00"/>
    <x v="5"/>
    <x v="1"/>
    <x v="1"/>
    <s v="Appeal No. MDRHT002"/>
    <x v="1"/>
    <n v="11845"/>
    <n v="418501"/>
    <n v="397680"/>
    <n v="395230"/>
    <n v="33.366821443647112"/>
    <n v="95"/>
    <m/>
    <m/>
    <s v="yes"/>
    <s v="no"/>
    <n v="100"/>
    <m/>
    <n v="56000"/>
    <n v="22542"/>
    <m/>
    <m/>
    <m/>
    <m/>
    <m/>
    <m/>
    <n v="4738"/>
    <s v="N/A"/>
    <s v="N/A"/>
    <m/>
    <m/>
    <n v="0"/>
    <s v="-"/>
    <s v="-"/>
    <m/>
    <s v="N/A"/>
    <s v="N/A"/>
    <s v="N/A"/>
    <s v="N/A"/>
    <s v="N/A"/>
    <s v="yes (type not specified)"/>
    <m/>
  </r>
  <r>
    <n v="562"/>
    <s v="Haiti"/>
    <x v="0"/>
    <d v="2006-01-01T00:00:00"/>
    <d v="2007-07-01T00:00:00"/>
    <x v="5"/>
    <x v="245"/>
    <x v="1"/>
    <s v="DREF Bulletin no. MDRHT001"/>
    <x v="0"/>
    <n v="3325"/>
    <n v="90000"/>
    <n v="64062"/>
    <n v="64062"/>
    <n v="19.266766917293232"/>
    <n v="71"/>
    <n v="15000"/>
    <n v="15000"/>
    <n v="15000"/>
    <s v="no"/>
    <n v="150"/>
    <m/>
    <n v="2838"/>
    <n v="298"/>
    <n v="1.9866666666666668E-2"/>
    <m/>
    <m/>
    <m/>
    <m/>
    <m/>
    <n v="1100"/>
    <m/>
    <m/>
    <m/>
    <m/>
    <n v="0"/>
    <m/>
    <m/>
    <m/>
    <m/>
    <m/>
    <m/>
    <m/>
    <m/>
    <m/>
    <m/>
  </r>
  <r>
    <n v="563"/>
    <s v="Indonesia"/>
    <x v="4"/>
    <d v="2006-05-01T00:00:00"/>
    <d v="2011-10-01T00:00:00"/>
    <x v="5"/>
    <x v="92"/>
    <x v="8"/>
    <s v="Emergency appeal n° MDRID001"/>
    <x v="1"/>
    <n v="325000"/>
    <n v="32667430"/>
    <n v="30526980"/>
    <n v="30526980"/>
    <n v="93.929169230769233"/>
    <n v="105"/>
    <n v="601000"/>
    <n v="601000"/>
    <n v="601000"/>
    <s v="no"/>
    <s v="N/A"/>
    <n v="511580"/>
    <n v="117050"/>
    <n v="117050"/>
    <n v="0.19475873544093178"/>
    <s v="missing data"/>
    <s v="missing data"/>
    <s v="missing data"/>
    <s v="yes"/>
    <s v="N/A"/>
    <s v="N/A"/>
    <s v="N/A"/>
    <s v="N/A"/>
    <n v="343"/>
    <s v="N/A"/>
    <n v="343"/>
    <n v="732467"/>
    <n v="731561"/>
    <m/>
    <m/>
    <m/>
    <m/>
    <m/>
    <m/>
    <s v="N/A"/>
    <s v="N/A"/>
  </r>
  <r>
    <n v="564"/>
    <s v="Indonesia"/>
    <x v="4"/>
    <d v="2006-01-01T00:00:00"/>
    <d v="2009-05-31T00:00:00"/>
    <x v="5"/>
    <x v="246"/>
    <x v="1"/>
    <s v="Emergency appeal n° MDRID002"/>
    <x v="1"/>
    <n v="100000"/>
    <n v="520632"/>
    <n v="520632"/>
    <n v="520632"/>
    <n v="5.2063199999999998"/>
    <n v="100"/>
    <n v="1500"/>
    <s v="Missing data"/>
    <n v="7500"/>
    <s v="no"/>
    <s v="N/A"/>
    <s v="N/A"/>
    <n v="940"/>
    <n v="940"/>
    <n v="0.12533333333333332"/>
    <s v="N/A"/>
    <s v="N/A"/>
    <s v="N/A"/>
    <s v="N/A"/>
    <s v="N/A"/>
    <n v="1500"/>
    <s v="N/A"/>
    <s v="N/A"/>
    <s v="N/A"/>
    <s v="N/A"/>
    <n v="0"/>
    <n v="4025"/>
    <n v="4025"/>
    <m/>
    <s v="N/A"/>
    <s v="N/A"/>
    <s v="N/A"/>
    <s v="N/A"/>
    <s v="N/A"/>
    <s v="N/A"/>
    <s v="N/A"/>
  </r>
  <r>
    <n v="565"/>
    <s v="Iraq"/>
    <x v="3"/>
    <d v="2006-02-01T00:00:00"/>
    <d v="2006-04-01T00:00:00"/>
    <x v="5"/>
    <x v="1"/>
    <x v="1"/>
    <s v="Appeal No. MDRIQ001"/>
    <x v="1"/>
    <n v="25000"/>
    <n v="1802139"/>
    <n v="952357"/>
    <n v="898501"/>
    <n v="35.940040000000003"/>
    <n v="53"/>
    <s v="N/A"/>
    <s v="N/A"/>
    <m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n v="65000"/>
    <n v="34450"/>
    <m/>
    <s v="N/A"/>
    <s v="N/A"/>
    <s v="N/A"/>
    <s v="N/A"/>
    <s v="N/A"/>
    <s v="N/A"/>
    <s v="N/A"/>
  </r>
  <r>
    <n v="566"/>
    <s v="Kenya"/>
    <x v="1"/>
    <d v="2006-11-17T00:00:00"/>
    <d v="2009-06-08T00:00:00"/>
    <x v="5"/>
    <x v="1"/>
    <x v="1"/>
    <s v="Emergency appeal n° MDRKE003"/>
    <x v="1"/>
    <n v="300000"/>
    <n v="9646293"/>
    <n v="10524106"/>
    <n v="10524106"/>
    <n v="35.080353333333335"/>
    <n v="109"/>
    <n v="60000"/>
    <n v="15400"/>
    <n v="60000"/>
    <s v="yes"/>
    <n v="32"/>
    <n v="131"/>
    <n v="1260158"/>
    <n v="1373572"/>
    <n v="22.892866666666666"/>
    <s v="N/A"/>
    <s v="N/A"/>
    <s v="N/A"/>
    <n v="99"/>
    <s v="N/A"/>
    <n v="900"/>
    <s v="N/A"/>
    <s v="N/A"/>
    <n v="3336"/>
    <s v="N/A"/>
    <n v="3336"/>
    <n v="546911"/>
    <n v="233169"/>
    <m/>
    <n v="1"/>
    <n v="1"/>
    <s v="N/A"/>
    <s v="N/A"/>
    <n v="3"/>
    <s v="N/A"/>
    <s v="N/A"/>
  </r>
  <r>
    <n v="567"/>
    <s v="Kenya"/>
    <x v="1"/>
    <d v="2006-01-01T00:00:00"/>
    <d v="2007-01-01T00:00:00"/>
    <x v="5"/>
    <x v="50"/>
    <x v="6"/>
    <s v="Emergency Appeal No. MDRKE001"/>
    <x v="1"/>
    <n v="329000"/>
    <n v="16840847"/>
    <n v="5334511"/>
    <n v="4694035"/>
    <n v="14.26758358662614"/>
    <n v="31.7"/>
    <n v="10000"/>
    <n v="2000"/>
    <s v="yes"/>
    <s v="yes"/>
    <m/>
    <m/>
    <n v="3785073"/>
    <n v="134960"/>
    <m/>
    <m/>
    <m/>
    <m/>
    <n v="90"/>
    <m/>
    <n v="1700000"/>
    <s v="N/A"/>
    <s v="N/A"/>
    <n v="2000"/>
    <s v="yes"/>
    <n v="2000"/>
    <n v="1226305"/>
    <n v="392417.6"/>
    <m/>
    <s v="N/A"/>
    <s v="N/A"/>
    <s v="N/A"/>
    <s v="N/A"/>
    <s v="N/A"/>
    <s v="N/A"/>
    <s v="N/A"/>
  </r>
  <r>
    <n v="568"/>
    <s v="Malasya"/>
    <x v="4"/>
    <d v="2006-12-01T00:00:00"/>
    <d v="2007-03-01T00:00:00"/>
    <x v="5"/>
    <x v="1"/>
    <x v="1"/>
    <s v="DREF Bulletin no. MDRMY001"/>
    <x v="0"/>
    <n v="42000"/>
    <n v="50000"/>
    <n v="49168"/>
    <n v="49168"/>
    <n v="1.1706666666666667"/>
    <n v="98.3"/>
    <s v="missing data"/>
    <m/>
    <s v="missing data"/>
    <s v="no"/>
    <m/>
    <s v="yes"/>
    <s v="-"/>
    <s v="-"/>
    <m/>
    <m/>
    <m/>
    <m/>
    <m/>
    <m/>
    <m/>
    <s v="N/A"/>
    <s v="N/A"/>
    <n v="1826"/>
    <m/>
    <n v="1826"/>
    <s v="-"/>
    <s v="-"/>
    <m/>
    <s v="N/A"/>
    <s v="N/A"/>
    <s v="N/A"/>
    <s v="N/A"/>
    <s v="N/A"/>
    <s v="23 (not specified)"/>
    <m/>
  </r>
  <r>
    <n v="569"/>
    <s v="Malawi"/>
    <x v="1"/>
    <d v="2006-01-01T00:00:00"/>
    <d v="2006-05-01T00:00:00"/>
    <x v="5"/>
    <x v="1"/>
    <x v="1"/>
    <s v="DREF Bulletin No. MDRMW001"/>
    <x v="0"/>
    <n v="9500"/>
    <n v="99827"/>
    <n v="96773"/>
    <n v="96773"/>
    <n v="10.186631578947368"/>
    <n v="96.9"/>
    <s v="N/A"/>
    <n v="9500"/>
    <n v="9500"/>
    <s v="no"/>
    <s v="missing data"/>
    <s v="missing data"/>
    <n v="2745"/>
    <n v="2001"/>
    <n v="0.21063157894736842"/>
    <s v="N/A"/>
    <s v="missing data"/>
    <s v="missing data"/>
    <s v="N/A"/>
    <s v="N/A"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570"/>
    <s v="Mali"/>
    <x v="1"/>
    <d v="2006-08-01T00:00:00"/>
    <d v="2007-10-01T00:00:00"/>
    <x v="5"/>
    <x v="50"/>
    <x v="6"/>
    <s v="DREF operation n° MDRML002"/>
    <x v="0"/>
    <n v="25000"/>
    <n v="0"/>
    <n v="151306"/>
    <n v="151306"/>
    <n v="6.0522400000000003"/>
    <s v="-"/>
    <s v="N/A"/>
    <s v="N/A"/>
    <s v="N/A"/>
    <s v="No "/>
    <s v="N/A"/>
    <s v="N/A"/>
    <s v="N/A"/>
    <s v="N/A"/>
    <m/>
    <s v="N/A"/>
    <s v="N/A"/>
    <s v="N/A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571"/>
    <s v="Mali"/>
    <x v="1"/>
    <d v="2006-12-01T00:00:00"/>
    <d v="2007-11-01T00:00:00"/>
    <x v="5"/>
    <x v="120"/>
    <x v="12"/>
    <s v="DREF operation n° MDRML003"/>
    <x v="0"/>
    <n v="5000"/>
    <n v="53044"/>
    <n v="52919"/>
    <n v="52919"/>
    <n v="10.5838"/>
    <n v="100"/>
    <s v="N/A"/>
    <s v="N/A"/>
    <s v="N/A"/>
    <s v="No "/>
    <s v="N/A"/>
    <s v="N/A"/>
    <s v="N/A"/>
    <s v="N/A"/>
    <m/>
    <s v="N/A"/>
    <s v="N/A"/>
    <s v="N/A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572"/>
    <s v="Mali "/>
    <x v="1"/>
    <d v="2006-04-01T00:00:00"/>
    <d v="2006-06-01T00:00:00"/>
    <x v="5"/>
    <x v="223"/>
    <x v="10"/>
    <s v="DREF Bulletin No. MDRML001"/>
    <x v="0"/>
    <n v="2295499"/>
    <n v="27000"/>
    <n v="26463"/>
    <n v="26463"/>
    <n v="1.1528212384322537E-2"/>
    <n v="98"/>
    <s v="N/A"/>
    <s v="N/A"/>
    <s v="N/A"/>
    <s v="no"/>
    <s v="N/A"/>
    <s v="N/A"/>
    <s v="-"/>
    <s v="-"/>
    <m/>
    <s v="N/A"/>
    <n v="79339"/>
    <n v="1000"/>
    <s v="N/A"/>
    <m/>
    <s v="N/A"/>
    <s v="N/A"/>
    <s v="N/A"/>
    <s v="N/A"/>
    <s v="N/A"/>
    <n v="79339"/>
    <s v="-"/>
    <s v="-"/>
    <m/>
    <s v="N/A"/>
    <s v="N/A"/>
    <s v="N/A"/>
    <s v="N/A"/>
    <s v="N/A"/>
    <s v="N/A"/>
    <s v="N/A"/>
  </r>
  <r>
    <n v="573"/>
    <s v="Mauritania"/>
    <x v="1"/>
    <d v="2006-07-01T00:00:00"/>
    <d v="2007-06-01T00:00:00"/>
    <x v="5"/>
    <x v="1"/>
    <x v="1"/>
    <s v="DREF operation no. MDRMR001"/>
    <x v="0"/>
    <n v="2000"/>
    <n v="0"/>
    <n v="58727"/>
    <n v="58727"/>
    <n v="29.363499999999998"/>
    <n v="0"/>
    <s v="N/A"/>
    <s v="N/A"/>
    <s v="N/A"/>
    <s v="No "/>
    <s v="N/A"/>
    <s v="N/A"/>
    <n v="24370"/>
    <n v="24370"/>
    <m/>
    <s v="N/A"/>
    <n v="2000"/>
    <n v="30"/>
    <s v="N/A"/>
    <s v="N/A"/>
    <n v="400"/>
    <s v="N/A"/>
    <s v="N/A"/>
    <s v="N/A"/>
    <s v="N/A"/>
    <n v="2000"/>
    <s v="N/A"/>
    <s v="N/A"/>
    <m/>
    <s v="N/A"/>
    <s v="N/A"/>
    <s v="N/A"/>
    <s v="N/A"/>
    <s v="N/A"/>
    <s v="N/A"/>
    <s v="N/A"/>
  </r>
  <r>
    <n v="574"/>
    <s v="Middle East (Lebanon, Syria, Egypt and Cyprus)"/>
    <x v="3"/>
    <d v="2006-07-21T00:00:00"/>
    <d v="2009-03-31T00:00:00"/>
    <x v="5"/>
    <x v="204"/>
    <x v="3"/>
    <s v="Emergency appeal n° MDR81001"/>
    <x v="1"/>
    <n v="50000"/>
    <n v="5037019"/>
    <n v="4014458"/>
    <n v="4014458"/>
    <n v="80.289159999999995"/>
    <n v="80"/>
    <s v="N/A"/>
    <s v="N/A"/>
    <s v="N/A"/>
    <s v="no"/>
    <s v="N/A"/>
    <s v="N/A"/>
    <n v="86590"/>
    <n v="85705"/>
    <m/>
    <s v="N/A"/>
    <s v="N/A"/>
    <s v="N/A"/>
    <s v="N/A"/>
    <s v="N/A"/>
    <s v="N/A"/>
    <s v="N/A"/>
    <s v="N/A"/>
    <s v="N/A"/>
    <s v="N/A"/>
    <n v="0"/>
    <n v="3607"/>
    <n v="222347"/>
    <m/>
    <s v="N/A"/>
    <s v="N/A"/>
    <s v="N/A"/>
    <s v="N/A"/>
    <s v="N/A"/>
    <s v="N/A"/>
    <s v="N/A"/>
  </r>
  <r>
    <n v="575"/>
    <s v="Namibia"/>
    <x v="1"/>
    <d v="2006-03-01T00:00:00"/>
    <d v="2006-05-01T00:00:00"/>
    <x v="5"/>
    <x v="247"/>
    <x v="1"/>
    <s v="DREF Bulletin No. MDRNA001"/>
    <x v="0"/>
    <n v="2100"/>
    <n v="89968"/>
    <n v="83944"/>
    <n v="83944"/>
    <n v="39.973333333333336"/>
    <n v="93.3"/>
    <n v="14000"/>
    <s v="N/A"/>
    <n v="14000"/>
    <s v="no"/>
    <n v="20"/>
    <s v="missing data"/>
    <n v="6270"/>
    <n v="22112"/>
    <n v="1.5794285714285714"/>
    <s v="yes"/>
    <s v="missing data"/>
    <n v="20"/>
    <s v="N/A"/>
    <s v="N/A"/>
    <n v="630"/>
    <s v="missing data"/>
    <n v="1440"/>
    <s v="missing data"/>
    <s v="N/A"/>
    <n v="0"/>
    <s v="-"/>
    <s v="-"/>
    <m/>
    <s v="N/A"/>
    <s v="N/A"/>
    <s v="N/A"/>
    <s v="N/A"/>
    <s v="N/A"/>
    <s v="N/A"/>
    <s v="N/A"/>
  </r>
  <r>
    <n v="576"/>
    <s v="Nigeria"/>
    <x v="1"/>
    <d v="2006-02-01T00:00:00"/>
    <d v="2006-10-01T00:00:00"/>
    <x v="5"/>
    <x v="242"/>
    <x v="10"/>
    <s v="DREF Bulletin no. MDRNG001"/>
    <x v="0"/>
    <n v="500000"/>
    <n v="100000"/>
    <n v="99899"/>
    <n v="99899"/>
    <n v="0.199798"/>
    <n v="100"/>
    <m/>
    <m/>
    <m/>
    <s v="no"/>
    <m/>
    <m/>
    <s v="-"/>
    <s v="-"/>
    <m/>
    <m/>
    <n v="500000"/>
    <n v="30"/>
    <m/>
    <m/>
    <m/>
    <s v="N/A"/>
    <s v="N/A"/>
    <n v="50"/>
    <m/>
    <n v="500050"/>
    <s v="-"/>
    <s v="-"/>
    <m/>
    <s v="N/A"/>
    <s v="N/A"/>
    <s v="N/A"/>
    <s v="N/A"/>
    <s v="N/A"/>
    <s v="N/A"/>
    <s v="N/A"/>
  </r>
  <r>
    <n v="577"/>
    <s v="Nigeria"/>
    <x v="1"/>
    <d v="2006-12-01T00:00:00"/>
    <d v="2007-11-01T00:00:00"/>
    <x v="5"/>
    <x v="248"/>
    <x v="4"/>
    <s v="DREF operation n° MDRNG002"/>
    <x v="0"/>
    <n v="2000"/>
    <n v="0"/>
    <n v="94255"/>
    <n v="94255"/>
    <n v="47.127499999999998"/>
    <s v="-"/>
    <s v="N/A"/>
    <s v="N/A"/>
    <s v="N/A"/>
    <s v="no"/>
    <s v="N/A"/>
    <s v="N/A"/>
    <s v="-"/>
    <s v="-"/>
    <m/>
    <n v="2000"/>
    <s v="missing data"/>
    <s v="missing data"/>
    <s v="N/A"/>
    <s v="N/A"/>
    <s v="N/A"/>
    <s v="N/A"/>
    <s v="N/A"/>
    <s v="missing data"/>
    <s v="N/A"/>
    <n v="2000"/>
    <n v="0"/>
    <n v="11542"/>
    <m/>
    <s v="N/A"/>
    <s v="N/A"/>
    <s v="N/A"/>
    <s v="N/A"/>
    <s v="N/A"/>
    <s v="N/A"/>
    <s v="N/A"/>
  </r>
  <r>
    <n v="578"/>
    <s v="PADRU"/>
    <x v="0"/>
    <d v="2006-01-01T00:00:00"/>
    <d v="2007-12-01T00:00:00"/>
    <x v="5"/>
    <x v="249"/>
    <x v="0"/>
    <s v="Final Report for DREF Bulletin no. MDR42001"/>
    <x v="0"/>
    <m/>
    <n v="98732"/>
    <n v="98732"/>
    <n v="98732"/>
    <m/>
    <n v="100"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579"/>
    <s v="Palestine"/>
    <x v="3"/>
    <d v="2006-05-01T00:00:00"/>
    <d v="2007-03-01T00:00:00"/>
    <x v="5"/>
    <x v="250"/>
    <x v="10"/>
    <s v="Appeal No. MDRPS001"/>
    <x v="1"/>
    <n v="1000000"/>
    <n v="6589593"/>
    <n v="4532513"/>
    <n v="4532513"/>
    <n v="4.5325129999999998"/>
    <n v="69"/>
    <s v="N/A"/>
    <s v="N/A"/>
    <s v="N/A"/>
    <s v="no"/>
    <s v="N/A"/>
    <s v="N/A"/>
    <s v="-"/>
    <s v="-"/>
    <m/>
    <n v="2794"/>
    <s v="missing data"/>
    <s v="missing data"/>
    <s v="N/A"/>
    <s v="N/A"/>
    <s v="N/A"/>
    <s v="N/A"/>
    <s v="N/A"/>
    <s v="missing data"/>
    <s v="N/A"/>
    <n v="2794"/>
    <s v="-"/>
    <s v="-"/>
    <m/>
    <s v="N/A"/>
    <s v="N/A"/>
    <s v="N/A"/>
    <s v="N/A"/>
    <s v="N/A"/>
    <s v="N/A"/>
    <s v="N/A"/>
  </r>
  <r>
    <n v="580"/>
    <s v="Peru"/>
    <x v="0"/>
    <d v="2006-03-01T00:00:00"/>
    <d v="2007-05-01T00:00:00"/>
    <x v="5"/>
    <x v="1"/>
    <x v="1"/>
    <s v="Final Report for DREF Bulletin no. MDRPE001"/>
    <x v="0"/>
    <n v="180000"/>
    <n v="53299"/>
    <n v="53299"/>
    <n v="53299"/>
    <n v="0.29610555555555557"/>
    <n v="106.5"/>
    <n v="5980"/>
    <s v="N/A"/>
    <n v="5980"/>
    <s v="no"/>
    <n v="12"/>
    <n v="3270"/>
    <n v="15630"/>
    <n v="15630"/>
    <n v="2.6137123745819397"/>
    <s v="N/A"/>
    <n v="3270"/>
    <n v="12"/>
    <s v="N/A"/>
    <s v="N/A"/>
    <n v="931"/>
    <s v="N/A"/>
    <s v="N/A"/>
    <s v="N/A"/>
    <s v="N/A"/>
    <n v="3270"/>
    <n v="62"/>
    <n v="62"/>
    <m/>
    <m/>
    <m/>
    <m/>
    <m/>
    <m/>
    <s v="yes"/>
    <s v="yes"/>
  </r>
  <r>
    <n v="581"/>
    <s v="Philippines"/>
    <x v="4"/>
    <d v="2006-10-01T00:00:00"/>
    <d v="2008-12-01T00:00:00"/>
    <x v="5"/>
    <x v="251"/>
    <x v="0"/>
    <s v="Emergency appeal n° MDRPH002"/>
    <x v="1"/>
    <n v="126000"/>
    <n v="9878867"/>
    <n v="8500039"/>
    <n v="8500039"/>
    <n v="67.460626984126989"/>
    <n v="86"/>
    <s v="missing number"/>
    <n v="6500"/>
    <n v="6500"/>
    <s v="no"/>
    <s v="N/A"/>
    <n v="75000"/>
    <n v="82532"/>
    <n v="82532"/>
    <n v="12.697230769230769"/>
    <s v="Missing data"/>
    <n v="75000"/>
    <s v="N/A"/>
    <s v="N/A"/>
    <s v="N/A"/>
    <n v="20000"/>
    <s v="N/A"/>
    <s v="N/A"/>
    <s v="N/A"/>
    <s v="N/A"/>
    <n v="75000"/>
    <n v="82301"/>
    <n v="82301"/>
    <m/>
    <s v="N/A"/>
    <s v="N/A"/>
    <s v="N/A"/>
    <s v="N/A"/>
    <s v="N/A"/>
    <s v="N/A"/>
    <s v="N/A"/>
  </r>
  <r>
    <n v="582"/>
    <s v="Philippines"/>
    <x v="4"/>
    <d v="2006-02-01T00:00:00"/>
    <d v="2008-04-01T00:00:00"/>
    <x v="5"/>
    <x v="252"/>
    <x v="1"/>
    <s v="Emergency appeal n° MDRPH001"/>
    <x v="1"/>
    <n v="8000"/>
    <n v="2800437"/>
    <n v="2523513"/>
    <n v="2523513"/>
    <n v="315.43912499999999"/>
    <n v="90"/>
    <n v="955"/>
    <n v="955"/>
    <n v="955"/>
    <s v="No "/>
    <s v="N/A"/>
    <s v="N/A"/>
    <s v="N/A"/>
    <s v="N/A"/>
    <m/>
    <n v="915"/>
    <s v="N/A"/>
    <n v="114"/>
    <s v="N/A"/>
    <s v="N/A"/>
    <n v="3000"/>
    <s v="N/A"/>
    <s v="N/A"/>
    <s v="N/A"/>
    <s v="N/A"/>
    <n v="915"/>
    <s v="N/A"/>
    <s v="N/A"/>
    <m/>
    <s v="N/A"/>
    <s v="N/A"/>
    <s v="N/A"/>
    <s v="N/A"/>
    <s v="N/A"/>
    <s v="N/A"/>
    <s v="N/A"/>
  </r>
  <r>
    <n v="583"/>
    <s v="Republic of Congo"/>
    <x v="1"/>
    <d v="2006-11-01T00:00:00"/>
    <d v="2007-02-01T00:00:00"/>
    <x v="5"/>
    <x v="253"/>
    <x v="1"/>
    <s v="DREF Bulletin No. MDRCG001"/>
    <x v="0"/>
    <n v="60000"/>
    <n v="0"/>
    <n v="145912"/>
    <n v="145912"/>
    <n v="2.4318666666666666"/>
    <n v="100"/>
    <n v="60000"/>
    <n v="5000"/>
    <n v="60000"/>
    <s v="yes"/>
    <n v="60"/>
    <n v="3500"/>
    <s v="-"/>
    <s v="-"/>
    <m/>
    <m/>
    <m/>
    <m/>
    <n v="10"/>
    <m/>
    <n v="1100"/>
    <s v="N/A"/>
    <s v="N/A"/>
    <m/>
    <m/>
    <n v="0"/>
    <s v="-"/>
    <s v="-"/>
    <m/>
    <s v="N/A"/>
    <s v="N/A"/>
    <s v="N/A"/>
    <s v="N/A"/>
    <s v="N/A"/>
    <s v="N/A"/>
    <s v="N/A"/>
  </r>
  <r>
    <n v="584"/>
    <s v="Romania "/>
    <x v="2"/>
    <d v="2006-04-01T00:00:00"/>
    <d v="2007-04-01T00:00:00"/>
    <x v="5"/>
    <x v="1"/>
    <x v="1"/>
    <s v="Appeal No MDRRO001 "/>
    <x v="1"/>
    <n v="13000"/>
    <n v="631853"/>
    <n v="631896"/>
    <n v="619003"/>
    <n v="47.615615384615381"/>
    <n v="100"/>
    <s v="missing data"/>
    <n v="1040"/>
    <n v="1040"/>
    <s v="yes"/>
    <m/>
    <s v="yes"/>
    <n v="7733"/>
    <n v="7733"/>
    <n v="7.4355769230769226"/>
    <m/>
    <m/>
    <m/>
    <m/>
    <m/>
    <m/>
    <s v="N/A"/>
    <s v="N/A"/>
    <m/>
    <m/>
    <n v="0"/>
    <s v="-"/>
    <s v="-"/>
    <m/>
    <s v="N/A"/>
    <s v="N/A"/>
    <s v="N/A"/>
    <s v="N/A"/>
    <s v="N/A"/>
    <s v="yes"/>
    <m/>
  </r>
  <r>
    <n v="585"/>
    <s v="Russia"/>
    <x v="2"/>
    <d v="2006-04-01T00:00:00"/>
    <d v="2006-08-01T00:00:00"/>
    <x v="5"/>
    <x v="254"/>
    <x v="8"/>
    <s v="DREF Bulletin No. MDRRU001"/>
    <x v="0"/>
    <n v="4126"/>
    <n v="149984"/>
    <n v="150000"/>
    <n v="150000"/>
    <n v="36.354823073194375"/>
    <n v="100"/>
    <s v="N/A"/>
    <s v="N/A"/>
    <s v="N/A"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n v="900"/>
    <n v="834"/>
    <m/>
    <s v="N/A"/>
    <s v="N/A"/>
    <s v="N/A"/>
    <s v="N/A"/>
    <s v="N/A"/>
    <s v="N/A"/>
    <s v="N/A"/>
  </r>
  <r>
    <n v="586"/>
    <s v="Rwanda"/>
    <x v="1"/>
    <d v="2006-10-01T00:00:00"/>
    <d v="2007-09-01T00:00:00"/>
    <x v="5"/>
    <x v="4"/>
    <x v="3"/>
    <s v="Emergency Appeal n° MDRRW002"/>
    <x v="1"/>
    <n v="30000"/>
    <n v="1545713"/>
    <n v="157404"/>
    <n v="157404"/>
    <n v="5.2468000000000004"/>
    <n v="10"/>
    <n v="10000"/>
    <n v="10000"/>
    <n v="10000"/>
    <s v="No "/>
    <s v="N/A"/>
    <n v="10000"/>
    <n v="275357"/>
    <n v="27535.7"/>
    <n v="2.7535699999999999"/>
    <s v="N/A"/>
    <n v="10000"/>
    <n v="25"/>
    <s v="N/A"/>
    <s v="N/A"/>
    <s v="N/A"/>
    <s v="N/A"/>
    <s v="N/A"/>
    <s v="N/A"/>
    <s v="N/A"/>
    <n v="10000"/>
    <n v="2340"/>
    <n v="234"/>
    <m/>
    <s v="N/A"/>
    <s v="N/A"/>
    <s v="N/A"/>
    <s v="N/A"/>
    <s v="N/A"/>
    <s v="N/A"/>
    <s v="N/A"/>
  </r>
  <r>
    <n v="587"/>
    <s v="Rwanda"/>
    <x v="1"/>
    <d v="2006-03-01T00:00:00"/>
    <d v="2006-09-01T00:00:00"/>
    <x v="5"/>
    <x v="50"/>
    <x v="6"/>
    <s v="Emergency Appeal MDRRW001"/>
    <x v="1"/>
    <n v="114075"/>
    <n v="902799"/>
    <n v="601024"/>
    <n v="601024"/>
    <n v="5.2686741179048875"/>
    <n v="66.599999999999994"/>
    <n v="38100"/>
    <n v="9000"/>
    <n v="38100"/>
    <s v="yes"/>
    <n v="80"/>
    <m/>
    <n v="182028"/>
    <n v="121958"/>
    <n v="3.2009973753280838"/>
    <m/>
    <m/>
    <m/>
    <m/>
    <m/>
    <m/>
    <s v="N/A"/>
    <s v="N/A"/>
    <m/>
    <m/>
    <n v="0"/>
    <n v="9420"/>
    <n v="6311.4"/>
    <m/>
    <s v="N/A"/>
    <s v="N/A"/>
    <s v="N/A"/>
    <s v="N/A"/>
    <s v="N/A"/>
    <s v="N/A"/>
    <s v="N/A"/>
  </r>
  <r>
    <n v="588"/>
    <s v="Serbia and Montenegro"/>
    <x v="2"/>
    <d v="2006-04-01T00:00:00"/>
    <d v="2006-07-01T00:00:00"/>
    <x v="5"/>
    <x v="255"/>
    <x v="1"/>
    <s v="DREF Bulletin no. MDRYU001"/>
    <x v="0"/>
    <n v="20000"/>
    <n v="0"/>
    <n v="128150"/>
    <n v="128150"/>
    <n v="6.4074999999999998"/>
    <s v="-"/>
    <s v="N/A"/>
    <s v="N/A"/>
    <s v="N/A"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589"/>
    <s v="Serbia and Montenegro/Kosovo"/>
    <x v="2"/>
    <d v="2006-02-01T00:00:00"/>
    <d v="2006-04-01T00:00:00"/>
    <x v="5"/>
    <x v="1"/>
    <x v="1"/>
    <s v="DREF Bulletin no. MDRKV001"/>
    <x v="0"/>
    <n v="1624"/>
    <n v="131250"/>
    <n v="121463"/>
    <n v="121463"/>
    <n v="74.792487684729068"/>
    <n v="92.5"/>
    <s v="missing data"/>
    <s v="missing data"/>
    <m/>
    <s v="no"/>
    <s v="N/A"/>
    <s v="N/A"/>
    <n v="18000"/>
    <n v="13908"/>
    <m/>
    <s v="N/A"/>
    <s v="N/A"/>
    <s v="N/A"/>
    <s v="N/A"/>
    <s v="N/A"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590"/>
    <s v="Seychelles"/>
    <x v="1"/>
    <d v="2006-03-01T00:00:00"/>
    <d v="2006-06-01T00:00:00"/>
    <x v="5"/>
    <x v="102"/>
    <x v="10"/>
    <s v="DREF Bulletin no. MDRSC001"/>
    <x v="0"/>
    <s v="missing data"/>
    <n v="35518"/>
    <n v="34820"/>
    <n v="34820"/>
    <m/>
    <n v="98"/>
    <s v="N/A"/>
    <s v="N/A"/>
    <s v="N/A"/>
    <s v="no"/>
    <s v="N/A"/>
    <s v="N/A"/>
    <s v="-"/>
    <s v="-"/>
    <m/>
    <s v="N/A"/>
    <s v="missing data"/>
    <s v="missing data"/>
    <s v="N/A"/>
    <s v="missing data"/>
    <n v="2100"/>
    <s v="N/A"/>
    <s v="N/A"/>
    <s v="N/A"/>
    <s v="N/A"/>
    <n v="0"/>
    <n v="6585"/>
    <n v="6453.3"/>
    <m/>
    <s v="N/A"/>
    <s v="N/A"/>
    <s v="N/A"/>
    <s v="N/A"/>
    <s v="N/A"/>
    <s v="N/A"/>
    <s v="N/A"/>
  </r>
  <r>
    <n v="591"/>
    <s v="Sierra Leone"/>
    <x v="1"/>
    <d v="2006-10-01T00:00:00"/>
    <d v="2008-01-01T00:00:00"/>
    <x v="5"/>
    <x v="29"/>
    <x v="10"/>
    <s v="DREF operation n° MDRSL001"/>
    <x v="0"/>
    <n v="313765"/>
    <n v="148442"/>
    <n v="124833"/>
    <n v="124833"/>
    <n v="0.39785508262553182"/>
    <n v="84"/>
    <s v="N/A"/>
    <s v="N/A"/>
    <s v="N/A"/>
    <s v="yes"/>
    <n v="355"/>
    <s v="Missing data"/>
    <n v="14750"/>
    <n v="12390"/>
    <m/>
    <s v="N/A"/>
    <n v="313765"/>
    <n v="355"/>
    <s v="N/A"/>
    <s v="N/A"/>
    <s v="N/A"/>
    <s v="N/A"/>
    <s v="N/A"/>
    <n v="554"/>
    <s v="N/A"/>
    <n v="314319"/>
    <n v="66399"/>
    <n v="20174"/>
    <m/>
    <s v="N/A"/>
    <s v="N/A"/>
    <s v="N/A"/>
    <s v="N/A"/>
    <s v="N/A"/>
    <s v="N/A"/>
    <s v="N/A"/>
  </r>
  <r>
    <n v="592"/>
    <s v="Sudan"/>
    <x v="1"/>
    <d v="2006-01-01T00:00:00"/>
    <d v="2008-08-01T00:00:00"/>
    <x v="5"/>
    <x v="29"/>
    <x v="10"/>
    <s v="Emergency appeal n° MDRSD001"/>
    <x v="1"/>
    <n v="90000"/>
    <n v="1015000"/>
    <n v="313509"/>
    <n v="313509"/>
    <n v="3.4834333333333332"/>
    <n v="31"/>
    <n v="30000"/>
    <n v="54847"/>
    <n v="54847"/>
    <s v="yes"/>
    <n v="15"/>
    <n v="54847"/>
    <n v="484000"/>
    <n v="2313"/>
    <n v="4.2171859901179644E-2"/>
    <s v="N/A"/>
    <n v="40000"/>
    <n v="225"/>
    <s v="N/A"/>
    <s v="N/A"/>
    <s v="N/A"/>
    <s v="N/A"/>
    <s v="N/A"/>
    <s v="N/A"/>
    <s v="N/A"/>
    <n v="40000"/>
    <n v="45000"/>
    <n v="357"/>
    <m/>
    <s v="N/A"/>
    <s v="N/A"/>
    <s v="N/A"/>
    <s v="N/A"/>
    <s v="N/A"/>
    <s v="N/A"/>
    <s v="N/A"/>
  </r>
  <r>
    <n v="593"/>
    <s v="Sudan"/>
    <x v="1"/>
    <d v="2006-08-01T00:00:00"/>
    <d v="2007-04-01T00:00:00"/>
    <x v="5"/>
    <x v="1"/>
    <x v="1"/>
    <s v="Appeal no. MDRSD002"/>
    <x v="1"/>
    <n v="15000"/>
    <n v="1512497"/>
    <n v="1170264"/>
    <n v="1170264"/>
    <n v="78.017600000000002"/>
    <n v="77"/>
    <s v="Missing data"/>
    <n v="2600"/>
    <n v="2600"/>
    <s v="yes"/>
    <n v="183"/>
    <n v="17500"/>
    <n v="323438"/>
    <n v="159147"/>
    <n v="61.210384615384612"/>
    <s v="N/A"/>
    <n v="17500"/>
    <n v="98"/>
    <s v="N/A"/>
    <s v="N/A"/>
    <n v="22913"/>
    <s v="N/A"/>
    <s v="N/A"/>
    <s v="N/A"/>
    <s v="N/A"/>
    <n v="17500"/>
    <n v="74293"/>
    <n v="9546"/>
    <m/>
    <s v="N/A"/>
    <s v="N/A"/>
    <s v="N/A"/>
    <s v="N/A"/>
    <s v="N/A"/>
    <s v="N/A"/>
    <s v="N/A"/>
  </r>
  <r>
    <n v="594"/>
    <s v="Suriname"/>
    <x v="0"/>
    <d v="2006-05-01T00:00:00"/>
    <d v="2006-11-01T00:00:00"/>
    <x v="5"/>
    <x v="1"/>
    <x v="1"/>
    <s v="Appeal No. MDRSR001"/>
    <x v="1"/>
    <n v="20000"/>
    <n v="854305"/>
    <n v="904349"/>
    <n v="904349"/>
    <n v="45.217449999999999"/>
    <n v="105.85"/>
    <m/>
    <m/>
    <m/>
    <s v="missing data "/>
    <n v="20"/>
    <n v="2270"/>
    <n v="30000"/>
    <n v="6652"/>
    <m/>
    <s v="N/A"/>
    <s v="missing data"/>
    <s v="missing data"/>
    <s v="missing data"/>
    <s v="N/A"/>
    <s v="N/A"/>
    <s v="N/A"/>
    <s v="N/A"/>
    <s v="N/A"/>
    <s v="N/A"/>
    <n v="0"/>
    <n v="0"/>
    <n v="479"/>
    <m/>
    <s v="N/A"/>
    <s v="N/A"/>
    <s v="N/A"/>
    <s v="N/A"/>
    <s v="N/A"/>
    <s v="yes"/>
    <s v="yes"/>
  </r>
  <r>
    <n v="595"/>
    <s v="Tajikistan"/>
    <x v="2"/>
    <d v="2006-07-01T00:00:00"/>
    <d v="2006-10-01T00:00:00"/>
    <x v="5"/>
    <x v="23"/>
    <x v="8"/>
    <s v="DREF Bulletin no. MDRTJ001"/>
    <x v="0"/>
    <n v="21057"/>
    <n v="100000"/>
    <n v="79167"/>
    <n v="79167"/>
    <n v="3.7596523721327824"/>
    <n v="79"/>
    <s v="missing data"/>
    <s v="missing data"/>
    <s v="missing data"/>
    <s v="No "/>
    <s v="N/A"/>
    <n v="1000"/>
    <s v="-"/>
    <s v="-"/>
    <m/>
    <s v="N/A"/>
    <n v="1000"/>
    <s v="Missing data "/>
    <s v="N/A"/>
    <s v="N/A"/>
    <s v="N/A"/>
    <s v="N/A"/>
    <s v="N/A"/>
    <s v="N/A"/>
    <s v="N/A"/>
    <n v="1000"/>
    <s v="-"/>
    <s v="-"/>
    <m/>
    <s v="N/A"/>
    <s v="N/A"/>
    <s v="N/A"/>
    <s v="N/A"/>
    <s v="N/A"/>
    <s v="N/A"/>
    <s v="N/A"/>
  </r>
  <r>
    <n v="596"/>
    <s v="Tanzania"/>
    <x v="1"/>
    <d v="2006-03-15T00:00:00"/>
    <d v="2006-07-13T00:00:00"/>
    <x v="5"/>
    <x v="50"/>
    <x v="6"/>
    <s v="Emergency appeal n°MDRTZ001"/>
    <x v="1"/>
    <n v="74000"/>
    <n v="1862590"/>
    <n v="525182"/>
    <n v="525182"/>
    <n v="7.0970540540540537"/>
    <n v="28"/>
    <s v="N/A"/>
    <s v="N/A"/>
    <n v="74000"/>
    <s v="no"/>
    <s v="N/A"/>
    <m/>
    <s v="N/A"/>
    <s v="N/A"/>
    <m/>
    <s v="N/A"/>
    <s v="N/A"/>
    <s v="N/A"/>
    <s v="N/A"/>
    <s v="N/A"/>
    <s v="N/A"/>
    <s v="N/A"/>
    <s v="N/A"/>
    <s v="N/A"/>
    <s v="N/A"/>
    <n v="0"/>
    <s v="N/A"/>
    <s v="N/A"/>
    <m/>
    <s v="N/A"/>
    <s v="N/A"/>
    <s v="N/A"/>
    <s v="N/A"/>
    <s v="N/A"/>
    <s v="N/A"/>
    <s v="N/A"/>
  </r>
  <r>
    <n v="597"/>
    <s v="Tanzania"/>
    <x v="1"/>
    <d v="2006-11-01T00:00:00"/>
    <d v="2007-02-01T00:00:00"/>
    <x v="5"/>
    <x v="256"/>
    <x v="1"/>
    <s v="DREF Bullentin No. MDRTZ004"/>
    <x v="0"/>
    <n v="2500"/>
    <n v="30470"/>
    <n v="30469"/>
    <n v="30469"/>
    <n v="12.1876"/>
    <n v="100"/>
    <m/>
    <m/>
    <m/>
    <s v="no"/>
    <m/>
    <m/>
    <m/>
    <m/>
    <m/>
    <m/>
    <m/>
    <n v="25"/>
    <m/>
    <m/>
    <n v="1000"/>
    <s v="N/A"/>
    <s v="N/A"/>
    <m/>
    <m/>
    <n v="0"/>
    <m/>
    <m/>
    <m/>
    <s v="N/A"/>
    <s v="N/A"/>
    <s v="N/A"/>
    <s v="N/A"/>
    <s v="N/A"/>
    <s v="N/A"/>
    <s v="N/A"/>
  </r>
  <r>
    <n v="598"/>
    <s v="Tanzania"/>
    <x v="1"/>
    <d v="2006-05-01T00:00:00"/>
    <d v="2006-11-01T00:00:00"/>
    <x v="5"/>
    <x v="1"/>
    <x v="1"/>
    <s v="DREF Bulletin No. MDRTZ002"/>
    <x v="0"/>
    <n v="3000"/>
    <n v="73000"/>
    <n v="72771"/>
    <n v="72771"/>
    <n v="24.257000000000001"/>
    <n v="100"/>
    <n v="3000"/>
    <s v="missing data"/>
    <n v="3000"/>
    <s v="no"/>
    <s v="missing data"/>
    <s v="missing data"/>
    <s v="-"/>
    <s v="-"/>
    <m/>
    <s v="N/A"/>
    <s v="N/A"/>
    <s v="N/A"/>
    <s v="N/A"/>
    <s v="N/A"/>
    <n v="1200"/>
    <s v="N/A"/>
    <s v="N/A"/>
    <s v="N/A"/>
    <s v="N/A"/>
    <n v="0"/>
    <s v="-"/>
    <s v="-"/>
    <m/>
    <s v="N/A"/>
    <s v="N/A"/>
    <s v="N/A"/>
    <s v="N/A"/>
    <s v="N/A"/>
    <s v="N/A"/>
    <s v="N/A"/>
  </r>
  <r>
    <n v="599"/>
    <s v="Tanzania"/>
    <x v="1"/>
    <d v="2006-06-01T00:00:00"/>
    <d v="2006-10-01T00:00:00"/>
    <x v="5"/>
    <x v="257"/>
    <x v="10"/>
    <s v="DREF Bulletin no. MDRTZ003"/>
    <x v="0"/>
    <n v="2330"/>
    <n v="42500"/>
    <n v="25760"/>
    <n v="25760"/>
    <n v="11.055793991416309"/>
    <n v="60.6"/>
    <s v="N/A"/>
    <s v="N/A"/>
    <s v="N/A"/>
    <s v="no"/>
    <s v="N/A"/>
    <s v="N/A"/>
    <s v="-"/>
    <s v="-"/>
    <m/>
    <s v="N/A"/>
    <n v="2330"/>
    <s v="missing data"/>
    <s v="N/A"/>
    <s v="N/A"/>
    <n v="3000"/>
    <s v="N/A"/>
    <s v="N/A"/>
    <s v="N/A"/>
    <s v="N/A"/>
    <n v="2330"/>
    <s v="-"/>
    <s v="-"/>
    <m/>
    <s v="N/A"/>
    <s v="N/A"/>
    <s v="N/A"/>
    <s v="N/A"/>
    <s v="N/A"/>
    <s v="N/A"/>
    <s v="N/A"/>
  </r>
  <r>
    <n v="600"/>
    <s v="Tanzania"/>
    <x v="1"/>
    <d v="2007-05-01T00:00:00"/>
    <d v="2008-04-30T00:00:00"/>
    <x v="4"/>
    <x v="1"/>
    <x v="1"/>
    <s v="Emergency appeal n° MDRTZ005"/>
    <x v="1"/>
    <n v="53000"/>
    <n v="980269"/>
    <n v="164301"/>
    <n v="164301"/>
    <n v="3.1000188679245282"/>
    <n v="20"/>
    <s v="N/A"/>
    <s v="N/A"/>
    <s v="N/A"/>
    <s v="No "/>
    <s v="N/A"/>
    <n v="15000"/>
    <n v="15650"/>
    <n v="4696"/>
    <m/>
    <s v="N/A"/>
    <n v="50000"/>
    <n v="160"/>
    <s v="yes"/>
    <s v="N/A"/>
    <n v="12000"/>
    <s v="N/A"/>
    <s v="N/A"/>
    <s v="N/A"/>
    <s v="N/A"/>
    <n v="50000"/>
    <s v="N/A"/>
    <s v="N/A"/>
    <m/>
    <s v="N/A"/>
    <s v="N/A"/>
    <s v="N/A"/>
    <s v="N/A"/>
    <s v="N/A"/>
    <s v="N/A"/>
    <s v="N/A"/>
  </r>
  <r>
    <n v="601"/>
    <s v="Timor-Leste"/>
    <x v="4"/>
    <d v="2006-02-01T00:00:00"/>
    <d v="2007-02-01T00:00:00"/>
    <x v="5"/>
    <x v="258"/>
    <x v="7"/>
    <s v="Appeal No. MDRTP001"/>
    <x v="1"/>
    <n v="8400"/>
    <n v="709842"/>
    <n v="631674"/>
    <n v="631674"/>
    <n v="75.199285714285708"/>
    <n v="88.9"/>
    <n v="3000"/>
    <s v="N/A"/>
    <n v="3000"/>
    <s v="no"/>
    <s v="N/A"/>
    <s v="N/A"/>
    <s v="-"/>
    <s v="-"/>
    <m/>
    <s v="N/A"/>
    <s v="missing data"/>
    <s v="missing data"/>
    <s v="missing data"/>
    <s v="missing data"/>
    <n v="2000"/>
    <s v="N/A"/>
    <s v="N/A"/>
    <s v="N/A"/>
    <s v="N/A"/>
    <n v="0"/>
    <s v="-"/>
    <s v="-"/>
    <m/>
    <s v="N/A"/>
    <s v="N/A"/>
    <s v="N/A"/>
    <s v="N/A"/>
    <s v="N/A"/>
    <s v="yes not specified"/>
    <s v="yes not specified"/>
  </r>
  <r>
    <n v="602"/>
    <s v="Uganda"/>
    <x v="1"/>
    <d v="2006-08-01T00:00:00"/>
    <d v="2006-11-01T00:00:00"/>
    <x v="5"/>
    <x v="1"/>
    <x v="1"/>
    <s v="DREF Bulletin No. MDRUG002"/>
    <x v="0"/>
    <n v="2995"/>
    <n v="41393"/>
    <n v="41393"/>
    <n v="41393"/>
    <n v="13.820701168614358"/>
    <n v="100"/>
    <m/>
    <m/>
    <m/>
    <s v="no"/>
    <n v="25"/>
    <n v="5220"/>
    <s v="-"/>
    <s v="-"/>
    <m/>
    <m/>
    <m/>
    <m/>
    <m/>
    <m/>
    <n v="2515"/>
    <s v="N/A"/>
    <s v="N/A"/>
    <m/>
    <m/>
    <n v="0"/>
    <s v="-"/>
    <s v="-"/>
    <m/>
    <s v="N/A"/>
    <s v="N/A"/>
    <s v="N/A"/>
    <s v="N/A"/>
    <s v="N/A"/>
    <s v="N/A"/>
    <s v="N/A"/>
  </r>
  <r>
    <n v="603"/>
    <s v="Uganda"/>
    <x v="1"/>
    <d v="2006-06-01T00:00:00"/>
    <d v="2006-12-01T00:00:00"/>
    <x v="5"/>
    <x v="44"/>
    <x v="10"/>
    <s v="DREF Bulletin no. MDRUG001 "/>
    <x v="0"/>
    <n v="134655"/>
    <n v="35847"/>
    <n v="33328"/>
    <n v="33328"/>
    <n v="0.24750659091752999"/>
    <n v="93"/>
    <s v="N/A"/>
    <s v="N/A"/>
    <s v="N/A"/>
    <s v="no"/>
    <n v="100"/>
    <n v="26675"/>
    <s v="-"/>
    <s v="-"/>
    <m/>
    <s v="N/A"/>
    <s v="Missing data "/>
    <n v="250"/>
    <s v="Missing data "/>
    <m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604"/>
    <s v="Ukraine"/>
    <x v="2"/>
    <d v="2006-07-01T00:00:00"/>
    <d v="2006-12-01T00:00:00"/>
    <x v="5"/>
    <x v="1"/>
    <x v="1"/>
    <s v="DREF Bulletin no. MDRUA001"/>
    <x v="0"/>
    <n v="2776"/>
    <n v="98000"/>
    <n v="98000"/>
    <n v="98000"/>
    <n v="35.30259365994236"/>
    <n v="100"/>
    <n v="2776"/>
    <s v="N/A"/>
    <n v="2776"/>
    <s v="no"/>
    <s v="missing data"/>
    <s v="N/A"/>
    <n v="7500"/>
    <n v="7328"/>
    <n v="2.6397694524495678"/>
    <n v="267"/>
    <s v="Missing data "/>
    <s v="Missing data "/>
    <s v="N/A"/>
    <s v="N/A"/>
    <s v="N/A"/>
    <s v="N/A"/>
    <s v="N/A"/>
    <n v="267"/>
    <s v="N/A"/>
    <n v="534"/>
    <s v="-"/>
    <s v="-"/>
    <m/>
    <s v="N/A"/>
    <s v="N/A"/>
    <s v="N/A"/>
    <s v="N/A"/>
    <s v="N/A"/>
    <s v="N/A"/>
    <s v="N/A"/>
  </r>
  <r>
    <n v="605"/>
    <s v="Yemen"/>
    <x v="3"/>
    <d v="2006-02-01T00:00:00"/>
    <d v="2007-01-01T00:00:00"/>
    <x v="5"/>
    <x v="1"/>
    <x v="1"/>
    <s v="DREF Bulletin no. MDRYE001 "/>
    <x v="0"/>
    <n v="857"/>
    <n v="63900"/>
    <n v="63897"/>
    <n v="64897"/>
    <n v="75.725787631271885"/>
    <n v="101.5"/>
    <n v="200"/>
    <n v="200"/>
    <n v="200"/>
    <s v="no"/>
    <s v="missing data"/>
    <s v="missing data"/>
    <s v="-"/>
    <s v="-"/>
    <m/>
    <s v="Missing data "/>
    <s v="Missing data "/>
    <s v="Missing data "/>
    <s v="Missing data "/>
    <s v="N/A"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606"/>
    <s v="Zambia "/>
    <x v="1"/>
    <d v="2006-12-01T00:00:00"/>
    <d v="2007-02-01T00:00:00"/>
    <x v="5"/>
    <x v="29"/>
    <x v="10"/>
    <s v="DREF Bulletin no. MDRZM003"/>
    <x v="0"/>
    <n v="30000"/>
    <n v="57213"/>
    <n v="56569"/>
    <n v="56569"/>
    <n v="1.8856333333333333"/>
    <n v="98.8"/>
    <n v="30000"/>
    <n v="30000"/>
    <n v="30000"/>
    <s v="no"/>
    <s v="N/A"/>
    <s v="N/A"/>
    <n v="6000"/>
    <n v="6361"/>
    <n v="0.21203333333333332"/>
    <m/>
    <m/>
    <n v="60"/>
    <n v="60"/>
    <m/>
    <m/>
    <s v="N/A"/>
    <s v="N/A"/>
    <m/>
    <m/>
    <n v="0"/>
    <n v="1200"/>
    <n v="12514"/>
    <m/>
    <s v="N/A"/>
    <s v="N/A"/>
    <s v="N/A"/>
    <s v="N/A"/>
    <s v="N/A"/>
    <s v="N/A"/>
    <s v="N/A"/>
  </r>
  <r>
    <n v="607"/>
    <s v="Zambia "/>
    <x v="1"/>
    <d v="2006-01-01T00:00:00"/>
    <d v="2006-05-01T00:00:00"/>
    <x v="5"/>
    <x v="34"/>
    <x v="10"/>
    <s v="DREF Bulletin No. MDRZM001"/>
    <x v="0"/>
    <n v="8189"/>
    <n v="50000"/>
    <n v="49972"/>
    <n v="49972"/>
    <n v="6.1023323971180856"/>
    <n v="100"/>
    <s v="missing data"/>
    <s v="missing data"/>
    <s v="missing data"/>
    <s v="no"/>
    <s v="missing data"/>
    <n v="7389"/>
    <n v="9373"/>
    <n v="9373"/>
    <m/>
    <s v="N/A"/>
    <n v="7389"/>
    <n v="25"/>
    <s v="missing data "/>
    <s v="Missing data "/>
    <s v="N/A"/>
    <s v="N/A"/>
    <s v="N/A"/>
    <s v="missing data"/>
    <s v="N/A"/>
    <n v="7389"/>
    <n v="8604"/>
    <n v="8604"/>
    <m/>
    <s v="N/A"/>
    <s v="N/A"/>
    <s v="N/A"/>
    <s v="N/A"/>
    <s v="N/A"/>
    <s v="N/A"/>
    <s v="N/A"/>
  </r>
  <r>
    <n v="608"/>
    <s v="India"/>
    <x v="4"/>
    <d v="2006-08-01T00:00:00"/>
    <d v="2006-12-01T00:00:00"/>
    <x v="5"/>
    <x v="1"/>
    <x v="1"/>
    <s v="DREF Bulletin no. MDRIN001"/>
    <x v="0"/>
    <n v="10000"/>
    <n v="100000"/>
    <n v="82532"/>
    <n v="82532"/>
    <n v="8.2531999999999996"/>
    <n v="82"/>
    <m/>
    <m/>
    <m/>
    <s v="no"/>
    <m/>
    <m/>
    <m/>
    <n v="6025"/>
    <m/>
    <m/>
    <n v="10000"/>
    <m/>
    <m/>
    <m/>
    <n v="5500"/>
    <m/>
    <m/>
    <n v="600"/>
    <m/>
    <n v="10600"/>
    <n v="3000"/>
    <n v="2460"/>
    <m/>
    <m/>
    <m/>
    <m/>
    <m/>
    <m/>
    <m/>
    <m/>
  </r>
  <r>
    <n v="609"/>
    <s v="Iran"/>
    <x v="3"/>
    <d v="2006-04-01T00:00:00"/>
    <m/>
    <x v="5"/>
    <x v="259"/>
    <x v="1"/>
    <s v="Information Bulletin no. 3/2006 01-04-2006 (MDRIR001)"/>
    <x v="2"/>
    <m/>
    <m/>
    <m/>
    <m/>
    <m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10"/>
    <s v="Jamaica"/>
    <x v="0"/>
    <d v="2006-01-01T00:00:00"/>
    <d v="2007-04-01T00:00:00"/>
    <x v="5"/>
    <x v="1"/>
    <x v="1"/>
    <s v="DREF Bulletin no. MDRJM001"/>
    <x v="0"/>
    <n v="5015"/>
    <n v="25000"/>
    <n v="25000"/>
    <n v="24668"/>
    <n v="4.9188434695912262"/>
    <n v="100"/>
    <m/>
    <m/>
    <m/>
    <s v="no"/>
    <m/>
    <m/>
    <n v="1750"/>
    <m/>
    <m/>
    <n v="1000"/>
    <m/>
    <m/>
    <m/>
    <m/>
    <m/>
    <m/>
    <m/>
    <m/>
    <m/>
    <n v="1000"/>
    <n v="625"/>
    <n v="625"/>
    <m/>
    <m/>
    <m/>
    <m/>
    <m/>
    <m/>
    <m/>
    <m/>
  </r>
  <r>
    <n v="611"/>
    <s v="Kenya "/>
    <x v="1"/>
    <d v="2006-02-01T00:00:00"/>
    <m/>
    <x v="5"/>
    <x v="260"/>
    <x v="10"/>
    <s v="MDRKE002"/>
    <x v="3"/>
    <m/>
    <n v="21299"/>
    <m/>
    <m/>
    <m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12"/>
    <s v="Myanmar"/>
    <x v="4"/>
    <d v="2006-01-01T00:00:00"/>
    <d v="2006-12-01T00:00:00"/>
    <x v="5"/>
    <x v="261"/>
    <x v="1"/>
    <s v="DREF Bulletin no. MDRMM001"/>
    <x v="0"/>
    <n v="20000"/>
    <n v="50000"/>
    <n v="26839"/>
    <n v="26839"/>
    <m/>
    <n v="54"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s v="yes"/>
  </r>
  <r>
    <n v="613"/>
    <s v="Mozambique"/>
    <x v="1"/>
    <d v="2006-04-01T00:00:00"/>
    <d v="2006-07-01T00:00:00"/>
    <x v="5"/>
    <x v="29"/>
    <x v="10"/>
    <s v="No. MDRMZ001"/>
    <x v="0"/>
    <n v="19500"/>
    <n v="50000"/>
    <n v="50000"/>
    <n v="50000"/>
    <n v="2.5641025641025643"/>
    <n v="100"/>
    <m/>
    <n v="320"/>
    <n v="320"/>
    <s v="no"/>
    <m/>
    <m/>
    <m/>
    <m/>
    <n v="0"/>
    <m/>
    <n v="19500"/>
    <n v="55"/>
    <m/>
    <m/>
    <m/>
    <m/>
    <m/>
    <m/>
    <m/>
    <n v="19500"/>
    <m/>
    <m/>
    <m/>
    <m/>
    <m/>
    <m/>
    <m/>
    <m/>
    <m/>
    <m/>
  </r>
  <r>
    <n v="614"/>
    <s v="Namibia"/>
    <x v="1"/>
    <d v="2006-01-01T00:00:00"/>
    <d v="2008-04-01T00:00:00"/>
    <x v="5"/>
    <x v="61"/>
    <x v="10"/>
    <s v="DREF operation n° MDRNA002"/>
    <x v="0"/>
    <n v="17000"/>
    <n v="55247"/>
    <n v="35357"/>
    <n v="35357"/>
    <n v="2.0798235294117648"/>
    <n v="64"/>
    <m/>
    <m/>
    <m/>
    <s v="no"/>
    <m/>
    <m/>
    <m/>
    <m/>
    <m/>
    <m/>
    <n v="17000"/>
    <n v="300"/>
    <m/>
    <m/>
    <m/>
    <m/>
    <m/>
    <m/>
    <m/>
    <n v="17000"/>
    <m/>
    <m/>
    <m/>
    <m/>
    <m/>
    <m/>
    <m/>
    <m/>
    <m/>
    <m/>
  </r>
  <r>
    <n v="615"/>
    <s v="Panama"/>
    <x v="0"/>
    <d v="2006-01-01T00:00:00"/>
    <d v="2008-04-01T00:00:00"/>
    <x v="5"/>
    <x v="1"/>
    <x v="1"/>
    <s v="DREF Bulletin no. MDRPA001"/>
    <x v="0"/>
    <n v="1900"/>
    <n v="67912"/>
    <n v="68069"/>
    <n v="68069"/>
    <n v="35.82578947368421"/>
    <n v="100"/>
    <m/>
    <m/>
    <m/>
    <s v="no"/>
    <m/>
    <m/>
    <n v="5600"/>
    <n v="5555"/>
    <m/>
    <m/>
    <m/>
    <m/>
    <m/>
    <m/>
    <m/>
    <m/>
    <m/>
    <m/>
    <m/>
    <n v="0"/>
    <m/>
    <m/>
    <m/>
    <m/>
    <m/>
    <m/>
    <m/>
    <m/>
    <s v="yes"/>
    <m/>
  </r>
  <r>
    <n v="616"/>
    <s v="Panama"/>
    <x v="0"/>
    <d v="2006-01-01T00:00:00"/>
    <d v="2007-04-01T00:00:00"/>
    <x v="5"/>
    <x v="1"/>
    <x v="1"/>
    <s v="DREF Bulletin no. MDRPA002"/>
    <x v="0"/>
    <n v="13750"/>
    <n v="69508"/>
    <n v="66606"/>
    <n v="66606"/>
    <n v="4.8440727272727271"/>
    <n v="96"/>
    <m/>
    <m/>
    <m/>
    <s v="no"/>
    <m/>
    <m/>
    <n v="1350"/>
    <n v="1350"/>
    <m/>
    <m/>
    <m/>
    <m/>
    <m/>
    <m/>
    <m/>
    <m/>
    <m/>
    <m/>
    <m/>
    <n v="0"/>
    <n v="974"/>
    <n v="974"/>
    <m/>
    <m/>
    <m/>
    <m/>
    <m/>
    <m/>
    <m/>
    <m/>
  </r>
  <r>
    <n v="617"/>
    <s v="Guinea"/>
    <x v="4"/>
    <d v="2006-10-01T00:00:00"/>
    <d v="2007-07-01T00:00:00"/>
    <x v="5"/>
    <x v="262"/>
    <x v="1"/>
    <s v="DREF Bulletin no. MDRPG001"/>
    <x v="0"/>
    <n v="2000"/>
    <n v="18114"/>
    <n v="18114"/>
    <n v="18114"/>
    <n v="9.0570000000000004"/>
    <n v="100"/>
    <m/>
    <m/>
    <m/>
    <s v="no"/>
    <m/>
    <m/>
    <m/>
    <n v="2528"/>
    <m/>
    <m/>
    <m/>
    <m/>
    <m/>
    <m/>
    <m/>
    <m/>
    <m/>
    <m/>
    <m/>
    <n v="0"/>
    <m/>
    <m/>
    <m/>
    <m/>
    <m/>
    <m/>
    <m/>
    <m/>
    <m/>
    <m/>
  </r>
  <r>
    <n v="618"/>
    <s v="El Salvador"/>
    <x v="0"/>
    <d v="2006-01-01T00:00:00"/>
    <d v="2008-04-01T00:00:00"/>
    <x v="5"/>
    <x v="263"/>
    <x v="1"/>
    <s v="DREF Bulletin no. MDRSV001"/>
    <x v="0"/>
    <n v="3096"/>
    <n v="60001"/>
    <n v="55018"/>
    <n v="55018"/>
    <n v="17.770671834625322"/>
    <n v="92"/>
    <m/>
    <m/>
    <m/>
    <s v="no"/>
    <m/>
    <m/>
    <m/>
    <m/>
    <m/>
    <n v="2500"/>
    <m/>
    <n v="42"/>
    <m/>
    <m/>
    <m/>
    <m/>
    <m/>
    <m/>
    <m/>
    <n v="2500"/>
    <m/>
    <m/>
    <m/>
    <m/>
    <m/>
    <m/>
    <m/>
    <m/>
    <m/>
    <s v="yes"/>
  </r>
  <r>
    <n v="619"/>
    <s v="Swaziland"/>
    <x v="1"/>
    <d v="2006-01-01T00:00:00"/>
    <d v="2007-07-01T00:00:00"/>
    <x v="5"/>
    <x v="264"/>
    <x v="1"/>
    <s v="DREF operation n° MDRSZ001"/>
    <x v="0"/>
    <n v="15776"/>
    <n v="74251"/>
    <n v="74251"/>
    <n v="74251"/>
    <n v="4.7065796146044621"/>
    <n v="100"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20"/>
    <s v="Uganda"/>
    <x v="1"/>
    <d v="2006-12-01T00:00:00"/>
    <d v="2007-12-01T00:00:00"/>
    <x v="5"/>
    <x v="29"/>
    <x v="10"/>
    <s v="DREF operation n° MDRUG003"/>
    <x v="0"/>
    <n v="300000"/>
    <n v="150000"/>
    <n v="148326"/>
    <n v="148326"/>
    <n v="0.49442000000000003"/>
    <n v="99"/>
    <m/>
    <m/>
    <m/>
    <s v="no"/>
    <m/>
    <m/>
    <m/>
    <m/>
    <m/>
    <m/>
    <n v="50000"/>
    <n v="500"/>
    <m/>
    <m/>
    <m/>
    <m/>
    <m/>
    <m/>
    <m/>
    <n v="50000"/>
    <m/>
    <m/>
    <m/>
    <m/>
    <m/>
    <m/>
    <m/>
    <m/>
    <m/>
    <m/>
  </r>
  <r>
    <n v="621"/>
    <s v="VietNam"/>
    <x v="0"/>
    <d v="2006-10-01T00:00:00"/>
    <d v="2008-02-01T00:00:00"/>
    <x v="5"/>
    <x v="251"/>
    <x v="1"/>
    <s v="Emergency appeal n° MDRVN001"/>
    <x v="1"/>
    <n v="60750"/>
    <n v="1350061"/>
    <n v="1350062"/>
    <n v="1350062"/>
    <n v="22.223242798353908"/>
    <n v="100"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22"/>
    <s v="Zambia"/>
    <x v="1"/>
    <d v="2006-01-01T00:00:00"/>
    <d v="2008-12-01T00:00:00"/>
    <x v="5"/>
    <x v="265"/>
    <x v="1"/>
    <s v="DREF operation n° MDRZW002"/>
    <x v="0"/>
    <n v="1500"/>
    <n v="60000"/>
    <n v="60000"/>
    <n v="60000"/>
    <n v="40"/>
    <n v="100"/>
    <n v="1500"/>
    <n v="200"/>
    <n v="1500"/>
    <s v="yes"/>
    <n v="15"/>
    <n v="450"/>
    <n v="10137"/>
    <n v="10137"/>
    <n v="6.758"/>
    <m/>
    <n v="450"/>
    <m/>
    <m/>
    <m/>
    <n v="850"/>
    <m/>
    <m/>
    <m/>
    <m/>
    <n v="450"/>
    <m/>
    <m/>
    <m/>
    <m/>
    <m/>
    <m/>
    <m/>
    <m/>
    <m/>
    <m/>
  </r>
  <r>
    <n v="623"/>
    <s v="Kyrgyzstan"/>
    <x v="4"/>
    <d v="2006-12-01T00:00:00"/>
    <d v="2007-07-01T00:00:00"/>
    <x v="5"/>
    <x v="23"/>
    <x v="1"/>
    <s v="Appeal No. MDRKG001"/>
    <x v="1"/>
    <n v="6979"/>
    <n v="657055"/>
    <n v="461013"/>
    <n v="461013"/>
    <n v="66.057171514543626"/>
    <n v="70"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24"/>
    <s v="Afghanistan"/>
    <x v="4"/>
    <d v="2005-02-01T00:00:00"/>
    <d v="2005-08-01T00:00:00"/>
    <x v="6"/>
    <x v="18"/>
    <x v="6"/>
    <s v="Appeal No. 05EA003"/>
    <x v="1"/>
    <n v="22656"/>
    <n v="906913"/>
    <n v="853098"/>
    <n v="853098"/>
    <n v="37.654396186440678"/>
    <n v="98.5"/>
    <n v="4300"/>
    <n v="3440"/>
    <n v="4300"/>
    <s v="no"/>
    <n v="164"/>
    <n v="17690"/>
    <n v="17738"/>
    <n v="22621"/>
    <n v="5.2606976744186049"/>
    <s v="N/A"/>
    <n v="18254"/>
    <m/>
    <s v="yes"/>
    <s v="N/A"/>
    <s v="N/A"/>
    <s v="N/A"/>
    <s v="N/A"/>
    <n v="6934"/>
    <s v="N/A"/>
    <n v="25188"/>
    <n v="20694"/>
    <n v="16278"/>
    <m/>
    <s v="N/A"/>
    <s v="N/A"/>
    <s v="N/A"/>
    <s v="N/A"/>
    <s v="N/A"/>
    <s v="yes logistics"/>
    <s v="N/A"/>
  </r>
  <r>
    <n v="625"/>
    <s v="Angola"/>
    <x v="1"/>
    <d v="2005-04-01T00:00:00"/>
    <d v="2005-07-01T00:00:00"/>
    <x v="6"/>
    <x v="266"/>
    <x v="10"/>
    <s v="DREF Bulletin no. 05ME021"/>
    <x v="0"/>
    <n v="25430"/>
    <n v="0"/>
    <n v="235236"/>
    <n v="233238"/>
    <n v="9.1717656311443179"/>
    <s v="-"/>
    <s v="missing data"/>
    <s v="N/A"/>
    <m/>
    <s v="no"/>
    <n v="80"/>
    <n v="25430"/>
    <n v="0"/>
    <n v="2115"/>
    <m/>
    <n v="1775"/>
    <n v="25430"/>
    <n v="120"/>
    <s v="N/A"/>
    <s v="N/A"/>
    <n v="408"/>
    <s v="N/A"/>
    <s v="N/A"/>
    <s v="N/A"/>
    <s v="N/A"/>
    <n v="27205"/>
    <s v="-"/>
    <s v="-"/>
    <m/>
    <s v="N/A"/>
    <s v="N/A"/>
    <s v="N/A"/>
    <s v="N/A"/>
    <s v="N/A"/>
    <s v="N/A"/>
    <s v="N/A"/>
  </r>
  <r>
    <n v="626"/>
    <s v="Bahamas"/>
    <x v="0"/>
    <d v="2005-10-01T00:00:00"/>
    <d v="2006-12-01T00:00:00"/>
    <x v="6"/>
    <x v="267"/>
    <x v="0"/>
    <s v="Appeal No. M05EA024"/>
    <x v="1"/>
    <n v="70000"/>
    <n v="1918000"/>
    <n v="1517222"/>
    <n v="1483601"/>
    <n v="21.194299999999998"/>
    <n v="79"/>
    <s v="N/A"/>
    <s v="N/A"/>
    <s v="N/A"/>
    <s v="no"/>
    <s v="N/A"/>
    <s v="N/A"/>
    <n v="0"/>
    <n v="13542"/>
    <m/>
    <s v="yes"/>
    <m/>
    <m/>
    <m/>
    <m/>
    <m/>
    <s v="N/A"/>
    <s v="N/A"/>
    <m/>
    <m/>
    <n v="0"/>
    <n v="0"/>
    <n v="90980"/>
    <m/>
    <s v="N/A"/>
    <s v="N/A"/>
    <s v="N/A"/>
    <s v="N/A"/>
    <s v="N/A"/>
    <s v="1 (not specified)"/>
    <s v="2 (not specified)"/>
  </r>
  <r>
    <n v="627"/>
    <s v="Benin"/>
    <x v="1"/>
    <d v="2005-05-01T00:00:00"/>
    <d v="2007-06-01T00:00:00"/>
    <x v="6"/>
    <x v="268"/>
    <x v="3"/>
    <s v="Emergency appeal no. 05EA010"/>
    <x v="1"/>
    <n v="10000"/>
    <n v="1291067"/>
    <n v="766154"/>
    <n v="863408"/>
    <n v="86.340800000000002"/>
    <n v="59.342698713544685"/>
    <n v="10000"/>
    <m/>
    <n v="10000"/>
    <m/>
    <m/>
    <m/>
    <n v="1154"/>
    <n v="1154"/>
    <n v="0.1154"/>
    <m/>
    <m/>
    <m/>
    <n v="60"/>
    <m/>
    <m/>
    <m/>
    <m/>
    <m/>
    <m/>
    <n v="0"/>
    <n v="42096"/>
    <n v="8378"/>
    <m/>
    <m/>
    <m/>
    <m/>
    <m/>
    <m/>
    <m/>
    <m/>
  </r>
  <r>
    <n v="628"/>
    <s v="Bosnia and Herzegovina"/>
    <x v="2"/>
    <d v="2005-12-01T00:00:00"/>
    <d v="2006-02-01T00:00:00"/>
    <x v="6"/>
    <x v="1"/>
    <x v="1"/>
    <s v="DREF Bulletin no. 05ME074"/>
    <x v="0"/>
    <n v="4750"/>
    <n v="25093"/>
    <n v="25093"/>
    <n v="25093"/>
    <n v="5.2827368421052627"/>
    <n v="100"/>
    <s v="N/A"/>
    <s v="N/A"/>
    <s v="N/A"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629"/>
    <s v="Bulgaria"/>
    <x v="2"/>
    <d v="2005-08-01T00:00:00"/>
    <d v="2006-03-01T00:00:00"/>
    <x v="6"/>
    <x v="1"/>
    <x v="1"/>
    <s v="DREF Bulletin no. 05ME047"/>
    <x v="0"/>
    <n v="22520"/>
    <n v="219808"/>
    <n v="219810"/>
    <n v="217962"/>
    <n v="9.678596802841918"/>
    <s v="-"/>
    <s v="N/A"/>
    <s v="N/A"/>
    <m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630"/>
    <s v="Burkina Faso"/>
    <x v="1"/>
    <d v="2005-07-01T00:00:00"/>
    <d v="2006-07-01T00:00:00"/>
    <x v="6"/>
    <x v="16"/>
    <x v="3"/>
    <s v="Emergency Appeal No. 05EA015"/>
    <x v="1"/>
    <n v="536000"/>
    <n v="31563799"/>
    <n v="25440758"/>
    <n v="25879592"/>
    <n v="48.282820895522391"/>
    <n v="81.400000000000006"/>
    <s v="missing data"/>
    <s v="missing data"/>
    <s v="missing data"/>
    <s v="no"/>
    <s v="missing data"/>
    <s v="missing data"/>
    <n v="1050000"/>
    <n v="14994"/>
    <m/>
    <m/>
    <m/>
    <m/>
    <m/>
    <m/>
    <m/>
    <s v="N/A"/>
    <s v="N/A"/>
    <m/>
    <m/>
    <n v="0"/>
    <n v="45131"/>
    <n v="54960"/>
    <m/>
    <s v="N/A"/>
    <s v="N/A"/>
    <s v="N/A"/>
    <s v="N/A"/>
    <s v="N/A"/>
    <s v="yes (type not specified)"/>
    <s v="yes  (type not specified)"/>
  </r>
  <r>
    <n v="631"/>
    <s v="Mali"/>
    <x v="1"/>
    <d v="2005-07-02T00:00:00"/>
    <d v="2006-07-02T00:00:00"/>
    <x v="6"/>
    <x v="16"/>
    <x v="3"/>
    <s v="Emergency Appeal No. 05EA015"/>
    <x v="1"/>
    <m/>
    <m/>
    <m/>
    <m/>
    <m/>
    <m/>
    <s v="missing data"/>
    <s v="missing data"/>
    <s v="missing data"/>
    <s v="no"/>
    <s v="missing data"/>
    <s v="missing data"/>
    <m/>
    <m/>
    <m/>
    <m/>
    <m/>
    <m/>
    <m/>
    <m/>
    <m/>
    <m/>
    <m/>
    <m/>
    <m/>
    <n v="0"/>
    <m/>
    <m/>
    <m/>
    <m/>
    <m/>
    <m/>
    <m/>
    <m/>
    <s v="yes (type not specified)"/>
    <s v="yes  (type not specified)"/>
  </r>
  <r>
    <n v="632"/>
    <s v="Mauritania"/>
    <x v="1"/>
    <d v="2005-07-03T00:00:00"/>
    <d v="2006-07-03T00:00:00"/>
    <x v="6"/>
    <x v="16"/>
    <x v="3"/>
    <s v="Emergency Appeal No. 05EA015"/>
    <x v="1"/>
    <m/>
    <m/>
    <m/>
    <m/>
    <m/>
    <m/>
    <s v="missing data"/>
    <s v="missing data"/>
    <s v="missing data"/>
    <s v="no"/>
    <s v="missing data"/>
    <s v="missing data"/>
    <m/>
    <m/>
    <m/>
    <m/>
    <m/>
    <m/>
    <m/>
    <m/>
    <m/>
    <m/>
    <m/>
    <m/>
    <m/>
    <n v="0"/>
    <m/>
    <m/>
    <m/>
    <m/>
    <m/>
    <m/>
    <m/>
    <m/>
    <s v="yes (type not specified)"/>
    <s v="yes  (type not specified)"/>
  </r>
  <r>
    <n v="633"/>
    <s v="Niger"/>
    <x v="1"/>
    <d v="2005-07-04T00:00:00"/>
    <d v="2006-07-04T00:00:00"/>
    <x v="6"/>
    <x v="16"/>
    <x v="3"/>
    <s v="Emergency Appeal No. 05EA015"/>
    <x v="1"/>
    <m/>
    <m/>
    <m/>
    <m/>
    <m/>
    <m/>
    <s v="missing data"/>
    <s v="missing data"/>
    <s v="missing data"/>
    <s v="yes"/>
    <n v="80"/>
    <s v="missing data"/>
    <m/>
    <m/>
    <m/>
    <m/>
    <n v="18084"/>
    <n v="95"/>
    <m/>
    <m/>
    <m/>
    <m/>
    <m/>
    <n v="293056"/>
    <n v="2674"/>
    <n v="311140"/>
    <m/>
    <m/>
    <m/>
    <m/>
    <m/>
    <m/>
    <m/>
    <m/>
    <s v="yes (type not specified)"/>
    <s v="yes  (type not specified)"/>
  </r>
  <r>
    <n v="634"/>
    <s v="Caribbean (Haiti, Jamaica, Cuba, Grenada, St. Vincent and the Grenadines, Trinidad and Tobago and Cayman Islands)"/>
    <x v="0"/>
    <d v="2005-07-01T00:00:00"/>
    <d v="2005-10-01T00:00:00"/>
    <x v="6"/>
    <x v="269"/>
    <x v="0"/>
    <s v="Appeal No. 05EA014"/>
    <x v="1"/>
    <n v="29000"/>
    <n v="852612"/>
    <n v="641271"/>
    <n v="641271"/>
    <n v="22.112793103448276"/>
    <n v="75.2"/>
    <n v="15000"/>
    <m/>
    <n v="15000"/>
    <s v="no"/>
    <s v="N/A"/>
    <s v="N/A"/>
    <s v="-"/>
    <s v="-"/>
    <m/>
    <n v="360"/>
    <s v="N/A"/>
    <s v="missing data"/>
    <s v="N/A"/>
    <s v="N/A"/>
    <s v="N/A"/>
    <s v="N/A"/>
    <s v="N/A"/>
    <s v="N/A"/>
    <s v="N/A"/>
    <n v="360"/>
    <n v="2690"/>
    <n v="2432"/>
    <m/>
    <m/>
    <m/>
    <m/>
    <m/>
    <m/>
    <s v="N/A"/>
    <s v="N/A"/>
  </r>
  <r>
    <n v="635"/>
    <s v="Central African Republic"/>
    <x v="1"/>
    <d v="2005-08-01T00:00:00"/>
    <d v="2005-10-01T00:00:00"/>
    <x v="6"/>
    <x v="1"/>
    <x v="1"/>
    <s v="DREF Bulletin No. 05ME048"/>
    <x v="0"/>
    <n v="4500"/>
    <n v="0"/>
    <n v="32720"/>
    <n v="32720"/>
    <n v="7.2711111111111109"/>
    <s v="-"/>
    <n v="4000"/>
    <n v="4000"/>
    <n v="4000"/>
    <s v="no"/>
    <n v="45"/>
    <n v="4500"/>
    <s v="-"/>
    <s v="-"/>
    <m/>
    <s v="N/A"/>
    <s v="missing data"/>
    <n v="65"/>
    <n v="20"/>
    <s v="N/A"/>
    <s v="N/A"/>
    <s v="N/A"/>
    <s v="N/A"/>
    <s v="N/A"/>
    <s v="N/A"/>
    <n v="0"/>
    <n v="0"/>
    <n v="127"/>
    <m/>
    <s v="N/A"/>
    <s v="N/A"/>
    <s v="N/A"/>
    <s v="N/A"/>
    <s v="N/A"/>
    <s v="N/A"/>
    <s v="N/A"/>
  </r>
  <r>
    <n v="636"/>
    <s v="China"/>
    <x v="4"/>
    <d v="2005-03-01T00:00:00"/>
    <d v="2007-05-01T00:00:00"/>
    <x v="6"/>
    <x v="1"/>
    <x v="1"/>
    <s v="Appeal No. M05EA017"/>
    <x v="1"/>
    <n v="400000"/>
    <n v="5501605"/>
    <n v="2087125"/>
    <n v="2087125"/>
    <n v="5.2178125"/>
    <n v="34"/>
    <s v="N/A"/>
    <s v="N/A"/>
    <s v="N/A"/>
    <s v="no"/>
    <s v="N/A"/>
    <s v="N/A"/>
    <n v="99999"/>
    <n v="33999.660000000003"/>
    <m/>
    <s v="yes"/>
    <s v="missing data"/>
    <s v="missing data"/>
    <s v="N/A"/>
    <s v="N/A"/>
    <n v="6250"/>
    <s v="N/A"/>
    <s v="N/A"/>
    <s v="N/A"/>
    <s v="N/A"/>
    <n v="0"/>
    <s v="-"/>
    <s v="-"/>
    <m/>
    <s v="N/A"/>
    <s v="N/A"/>
    <s v="N/A"/>
    <s v="N/A"/>
    <s v="N/A"/>
    <s v="N/A"/>
    <s v="N/A"/>
  </r>
  <r>
    <n v="637"/>
    <s v="Bahamas, Cuba &amp; Mexico"/>
    <x v="0"/>
    <d v="2005-10-01T00:00:00"/>
    <d v="2006-12-01T00:00:00"/>
    <x v="6"/>
    <x v="267"/>
    <x v="0"/>
    <s v="Appeal No. M05EA024"/>
    <x v="1"/>
    <n v="70000"/>
    <n v="1918000"/>
    <n v="1517222"/>
    <n v="1483601"/>
    <n v="21.194299999999998"/>
    <n v="79.104379562043789"/>
    <m/>
    <n v="2000"/>
    <n v="2000"/>
    <s v="no"/>
    <s v="N/A"/>
    <s v="N/A"/>
    <s v="-"/>
    <n v="13542"/>
    <n v="6.7709999999999999"/>
    <m/>
    <m/>
    <m/>
    <m/>
    <m/>
    <m/>
    <m/>
    <m/>
    <m/>
    <m/>
    <n v="0"/>
    <s v="-"/>
    <n v="90980"/>
    <m/>
    <m/>
    <m/>
    <m/>
    <m/>
    <m/>
    <s v="1 (not specified)"/>
    <s v="2 (not specified)"/>
  </r>
  <r>
    <n v="638"/>
    <s v="Democratic People’s Republic of Korea"/>
    <x v="4"/>
    <d v="2005-07-01T00:00:00"/>
    <d v="2006-04-01T00:00:00"/>
    <x v="6"/>
    <x v="1"/>
    <x v="1"/>
    <s v="DREF Bulletin No. M05ME040"/>
    <x v="0"/>
    <n v="16093"/>
    <n v="345000"/>
    <n v="316117"/>
    <n v="316117"/>
    <n v="19.643136767538682"/>
    <n v="91.6"/>
    <n v="16093"/>
    <s v="N/A"/>
    <n v="16093"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639"/>
    <s v="Democratic Republic of Congo"/>
    <x v="1"/>
    <d v="2005-02-01T00:00:00"/>
    <d v="2005-08-01T00:00:00"/>
    <x v="6"/>
    <x v="270"/>
    <x v="10"/>
    <s v="Appeal  No. 05EA004"/>
    <x v="1"/>
    <n v="200000"/>
    <n v="258000"/>
    <n v="187229"/>
    <n v="187229"/>
    <n v="0.936145"/>
    <n v="72.569379844961247"/>
    <n v="1503500"/>
    <n v="160"/>
    <n v="1503500"/>
    <s v="missing data "/>
    <n v="146"/>
    <n v="250760"/>
    <n v="57002"/>
    <n v="37946"/>
    <n v="2.5238443631526438E-2"/>
    <s v="N/A"/>
    <s v="missing data"/>
    <n v="496"/>
    <s v="missing data"/>
    <m/>
    <s v="N/A"/>
    <s v="N/A"/>
    <s v="N/A"/>
    <s v="missing data"/>
    <s v="N/A"/>
    <n v="0"/>
    <n v="13000"/>
    <n v="1374"/>
    <m/>
    <s v="N/A"/>
    <s v="N/A"/>
    <s v="N/A"/>
    <s v="N/A"/>
    <s v="N/A"/>
    <s v="N/A"/>
    <s v="N/A"/>
  </r>
  <r>
    <n v="640"/>
    <s v="El Salvador"/>
    <x v="0"/>
    <d v="2005-10-01T00:00:00"/>
    <d v="2007-04-01T00:00:00"/>
    <x v="6"/>
    <x v="271"/>
    <x v="15"/>
    <s v="Appeal No. 05EA020"/>
    <x v="1"/>
    <n v="21000"/>
    <n v="1288326"/>
    <n v="712630"/>
    <n v="712630"/>
    <n v="33.934761904761906"/>
    <n v="55.3"/>
    <n v="5002"/>
    <m/>
    <n v="5002"/>
    <m/>
    <m/>
    <n v="5000"/>
    <n v="100000"/>
    <n v="174889"/>
    <n v="34.963814474210317"/>
    <s v="missing data"/>
    <s v="missing data"/>
    <s v="missing data"/>
    <m/>
    <m/>
    <m/>
    <m/>
    <m/>
    <n v="10061"/>
    <n v="134"/>
    <n v="10061"/>
    <n v="70000"/>
    <n v="47214"/>
    <m/>
    <m/>
    <m/>
    <m/>
    <m/>
    <m/>
    <m/>
    <m/>
  </r>
  <r>
    <n v="641"/>
    <s v="Eritrea"/>
    <x v="1"/>
    <d v="2005-01-01T00:00:00"/>
    <d v="2006-10-01T00:00:00"/>
    <x v="6"/>
    <x v="50"/>
    <x v="6"/>
    <s v="Emergency appeal n° 05EA002"/>
    <x v="1"/>
    <n v="40000"/>
    <n v="5210000"/>
    <n v="2733119"/>
    <n v="2733119"/>
    <n v="68.327974999999995"/>
    <n v="52.459097888675622"/>
    <n v="20350"/>
    <m/>
    <n v="20350"/>
    <m/>
    <m/>
    <m/>
    <n v="157000"/>
    <n v="46674"/>
    <n v="2.2935626535626534"/>
    <m/>
    <m/>
    <m/>
    <n v="80"/>
    <m/>
    <m/>
    <m/>
    <m/>
    <m/>
    <m/>
    <n v="0"/>
    <m/>
    <n v="11159"/>
    <m/>
    <m/>
    <m/>
    <m/>
    <m/>
    <m/>
    <m/>
    <m/>
  </r>
  <r>
    <n v="642"/>
    <s v="Ethiopia"/>
    <x v="1"/>
    <d v="2005-06-01T00:00:00"/>
    <d v="2008-08-01T00:00:00"/>
    <x v="6"/>
    <x v="1"/>
    <x v="1"/>
    <s v="Emergency Appeal n° 05EA013"/>
    <x v="1"/>
    <n v="43000"/>
    <n v="735000"/>
    <n v="405362"/>
    <n v="405362"/>
    <n v="9.4270232558139533"/>
    <n v="55.151292517006802"/>
    <n v="11285"/>
    <n v="11285"/>
    <n v="11285"/>
    <s v="yes"/>
    <s v="Missing data"/>
    <n v="13000"/>
    <n v="35000"/>
    <n v="19250"/>
    <n v="1.7058041648205582"/>
    <s v="N/A"/>
    <n v="13000"/>
    <n v="69"/>
    <s v="N/A"/>
    <s v="N/A"/>
    <n v="8000"/>
    <s v="N/A"/>
    <s v="N/A"/>
    <s v="N/A"/>
    <s v="N/A"/>
    <n v="13000"/>
    <n v="22000"/>
    <n v="12100.000000000002"/>
    <m/>
    <s v="N/A"/>
    <s v="N/A"/>
    <s v="N/A"/>
    <s v="N/A"/>
    <s v="N/A"/>
    <s v="N/A"/>
    <s v="N/A"/>
  </r>
  <r>
    <n v="643"/>
    <s v="Georgia"/>
    <x v="2"/>
    <d v="2005-05-01T00:00:00"/>
    <d v="2006-03-01T00:00:00"/>
    <x v="6"/>
    <x v="1"/>
    <x v="1"/>
    <s v="Appeal No. 05EA011"/>
    <x v="1"/>
    <n v="16000"/>
    <n v="403725"/>
    <n v="344894"/>
    <n v="344894"/>
    <n v="21.555875"/>
    <n v="85.427952195182371"/>
    <n v="3300"/>
    <s v="N/A"/>
    <n v="3300"/>
    <s v="no"/>
    <n v="20"/>
    <s v="N/A"/>
    <n v="0"/>
    <n v="129768"/>
    <n v="39.323636363636361"/>
    <s v="N/A"/>
    <s v="missing data"/>
    <n v="20"/>
    <s v="missing data"/>
    <s v="missing data"/>
    <s v="N/A"/>
    <s v="N/A"/>
    <s v="N/A"/>
    <s v="N/A"/>
    <s v="N/A"/>
    <n v="0"/>
    <n v="4299"/>
    <n v="4299"/>
    <m/>
    <s v="N/A"/>
    <s v="N/A"/>
    <s v="N/A"/>
    <s v="N/A"/>
    <s v="N/A"/>
    <s v="N/A"/>
    <s v="N/A"/>
  </r>
  <r>
    <n v="644"/>
    <s v="Ghana"/>
    <x v="1"/>
    <d v="2005-11-01T00:00:00"/>
    <d v="2006-01-01T00:00:00"/>
    <x v="6"/>
    <x v="29"/>
    <x v="10"/>
    <s v="DREF Bulletin no. 05ME069"/>
    <x v="0"/>
    <n v="343442"/>
    <n v="38000"/>
    <n v="38000"/>
    <n v="30511"/>
    <n v="8.8838872356904519E-2"/>
    <n v="100"/>
    <s v="N/A"/>
    <s v="N/A"/>
    <s v="N/A"/>
    <s v="no"/>
    <n v="285"/>
    <n v="343442"/>
    <s v="-"/>
    <s v="-"/>
    <m/>
    <s v="N/A"/>
    <n v="343442"/>
    <n v="285"/>
    <s v="Missing data "/>
    <s v="Missing data "/>
    <s v="N/A"/>
    <s v="N/A"/>
    <s v="N/A"/>
    <s v="N/A"/>
    <s v="N/A"/>
    <n v="343442"/>
    <s v="-"/>
    <s v="-"/>
    <m/>
    <s v="N/A"/>
    <s v="N/A"/>
    <s v="N/A"/>
    <s v="N/A"/>
    <s v="N/A"/>
    <s v="N/A"/>
    <s v="N/A"/>
  </r>
  <r>
    <n v="645"/>
    <s v="Guinea Bissau"/>
    <x v="1"/>
    <d v="2005-08-01T00:00:00"/>
    <d v="2006-02-01T00:00:00"/>
    <x v="6"/>
    <x v="29"/>
    <x v="10"/>
    <s v="DREF Bulletin no. 05ME046"/>
    <x v="0"/>
    <n v="201000"/>
    <n v="27838"/>
    <n v="27838"/>
    <n v="27838"/>
    <n v="0.13849751243781094"/>
    <n v="100"/>
    <s v="N/A"/>
    <s v="N/A"/>
    <s v="N/A"/>
    <s v="no"/>
    <n v="170"/>
    <n v="201000"/>
    <s v="-"/>
    <s v="-"/>
    <m/>
    <s v="N/A"/>
    <n v="201000"/>
    <n v="170"/>
    <s v="N/A"/>
    <s v="N/A"/>
    <s v="N/A"/>
    <s v="N/A"/>
    <s v="N/A"/>
    <s v="N/A"/>
    <s v="N/A"/>
    <n v="201000"/>
    <s v="-"/>
    <s v="-"/>
    <m/>
    <m/>
    <m/>
    <m/>
    <m/>
    <m/>
    <s v="N/A"/>
    <s v="N/A"/>
  </r>
  <r>
    <n v="646"/>
    <s v="Guyana"/>
    <x v="0"/>
    <d v="2005-01-01T00:00:00"/>
    <d v="2005-09-01T00:00:00"/>
    <x v="6"/>
    <x v="1"/>
    <x v="1"/>
    <s v="Appeal No. 05EA001"/>
    <x v="1"/>
    <n v="57500"/>
    <n v="1383356"/>
    <n v="1420284"/>
    <n v="1371860"/>
    <n v="23.858434782608697"/>
    <n v="102.66945023551422"/>
    <n v="30000"/>
    <m/>
    <n v="30000"/>
    <m/>
    <m/>
    <n v="30000"/>
    <n v="33907"/>
    <n v="16114"/>
    <n v="0.53713333333333335"/>
    <m/>
    <n v="1092"/>
    <n v="529"/>
    <n v="60"/>
    <m/>
    <n v="12000"/>
    <m/>
    <m/>
    <m/>
    <m/>
    <n v="1092"/>
    <n v="1500"/>
    <n v="1188"/>
    <m/>
    <m/>
    <m/>
    <m/>
    <m/>
    <m/>
    <n v="5"/>
    <m/>
  </r>
  <r>
    <n v="647"/>
    <s v="Iran "/>
    <x v="3"/>
    <d v="2005-04-01T00:00:00"/>
    <d v="2006-12-01T00:00:00"/>
    <x v="6"/>
    <x v="272"/>
    <x v="3"/>
    <s v="Appeal No. 05EA007"/>
    <x v="1"/>
    <n v="43315"/>
    <n v="495043"/>
    <n v="373202"/>
    <n v="373202"/>
    <n v="8.6159990765323791"/>
    <n v="75"/>
    <s v="missing data"/>
    <s v="missing data"/>
    <s v="missing data"/>
    <s v="missing data"/>
    <s v="missing data"/>
    <s v="missing data"/>
    <n v="321856"/>
    <n v="237052"/>
    <m/>
    <s v="Missing data "/>
    <s v="Missing data "/>
    <s v="Missing data "/>
    <s v="Missing data "/>
    <s v="Missing data "/>
    <s v="Missing data "/>
    <s v="Missing data "/>
    <s v="Missing data "/>
    <s v="missing data"/>
    <s v="missing data"/>
    <n v="0"/>
    <s v="-"/>
    <s v="-"/>
    <m/>
    <s v="N/A"/>
    <s v="N/A"/>
    <s v="N/A"/>
    <s v="N/A"/>
    <s v="N/A"/>
    <s v="N/A"/>
    <s v="N/A"/>
  </r>
  <r>
    <n v="648"/>
    <s v="Iraq"/>
    <x v="3"/>
    <d v="2005-11-01T00:00:00"/>
    <d v="2007-01-01T00:00:00"/>
    <x v="6"/>
    <x v="273"/>
    <x v="3"/>
    <s v="Appeal No. 05EA026"/>
    <x v="1"/>
    <n v="350000"/>
    <n v="7953524"/>
    <n v="3094067"/>
    <n v="3094067"/>
    <n v="8.840191428571428"/>
    <n v="50"/>
    <m/>
    <m/>
    <m/>
    <s v="no"/>
    <m/>
    <m/>
    <s v="-"/>
    <s v="-"/>
    <m/>
    <m/>
    <m/>
    <m/>
    <m/>
    <m/>
    <m/>
    <s v="N/A"/>
    <s v="N/A"/>
    <m/>
    <m/>
    <n v="0"/>
    <n v="77248"/>
    <n v="77248"/>
    <m/>
    <s v="N/A"/>
    <s v="N/A"/>
    <s v="N/A"/>
    <s v="N/A"/>
    <s v="N/A"/>
    <s v="N/A"/>
    <s v="N/A"/>
  </r>
  <r>
    <n v="649"/>
    <s v="Kenya"/>
    <x v="1"/>
    <d v="2005-06-01T00:00:00"/>
    <d v="2005-11-01T00:00:00"/>
    <x v="6"/>
    <x v="1"/>
    <x v="1"/>
    <s v="DREF Bulletin no. 05ME032"/>
    <x v="0"/>
    <n v="15168"/>
    <n v="100021"/>
    <n v="100021"/>
    <n v="100021"/>
    <n v="6.5942114978902957"/>
    <n v="100"/>
    <s v="N/A"/>
    <s v="N/A"/>
    <s v="N/A"/>
    <s v="N/A"/>
    <s v="N/A"/>
    <s v="N/A"/>
    <s v="-"/>
    <s v="-"/>
    <m/>
    <s v="N/A"/>
    <s v="N/A"/>
    <s v="N/A"/>
    <s v="N/A"/>
    <s v="N/A"/>
    <n v="300"/>
    <s v="N/A"/>
    <s v="N/A"/>
    <s v="N/A"/>
    <s v="N/A"/>
    <n v="0"/>
    <s v="-"/>
    <s v="-"/>
    <m/>
    <s v="N/A"/>
    <s v="N/A"/>
    <s v="N/A"/>
    <s v="N/A"/>
    <s v="N/A"/>
    <s v="N/A"/>
    <s v="N/A"/>
  </r>
  <r>
    <n v="650"/>
    <s v="Kenya"/>
    <x v="1"/>
    <d v="2005-07-01T00:00:00"/>
    <d v="2005-12-01T00:00:00"/>
    <x v="6"/>
    <x v="274"/>
    <x v="3"/>
    <s v="DREF Bulletin No. 05ME045"/>
    <x v="0"/>
    <n v="7500"/>
    <n v="0"/>
    <n v="200000"/>
    <n v="200000"/>
    <n v="26.666666666666668"/>
    <s v="-"/>
    <s v="missing data"/>
    <s v="N/A"/>
    <s v="N/A"/>
    <s v="no"/>
    <s v="N/A"/>
    <s v="N/A"/>
    <s v="-"/>
    <s v="-"/>
    <m/>
    <s v="N/A"/>
    <s v="N/A"/>
    <s v="missing data"/>
    <s v="N/A"/>
    <s v="N/A"/>
    <n v="2260"/>
    <s v="N/A"/>
    <s v="N/A"/>
    <s v="missing data "/>
    <s v="missing data "/>
    <n v="0"/>
    <s v="-"/>
    <s v="-"/>
    <m/>
    <s v="N/A"/>
    <s v="N/A"/>
    <s v="N/A"/>
    <s v="N/A"/>
    <s v="N/A"/>
    <s v="N/A"/>
    <s v="N/A"/>
  </r>
  <r>
    <n v="651"/>
    <s v="Lebanon"/>
    <x v="3"/>
    <d v="2005-04-01T00:00:00"/>
    <d v="2005-09-01T00:00:00"/>
    <x v="6"/>
    <x v="275"/>
    <x v="3"/>
    <s v="Appeal No. 05EA006"/>
    <x v="1"/>
    <s v="N/A"/>
    <n v="387000"/>
    <n v="193114"/>
    <n v="193114"/>
    <m/>
    <n v="49.9"/>
    <s v="N/A"/>
    <s v="N/A"/>
    <s v="N/A"/>
    <s v="N/A"/>
    <s v="N/A"/>
    <s v="N/A"/>
    <s v="-"/>
    <s v="-"/>
    <m/>
    <s v="N/A"/>
    <s v="N/A"/>
    <s v="N/A"/>
    <s v="N/A"/>
    <s v="N/A"/>
    <s v="N/A"/>
    <s v="N/A"/>
    <s v="N/A"/>
    <s v="N/A"/>
    <s v="N/A"/>
    <n v="0"/>
    <n v="18000"/>
    <s v="-"/>
    <m/>
    <s v="N/A"/>
    <s v="N/A"/>
    <s v="N/A"/>
    <s v="N/A"/>
    <s v="N/A"/>
    <s v="N/A"/>
    <s v="N/A"/>
  </r>
  <r>
    <n v="652"/>
    <s v="Lesotho"/>
    <x v="1"/>
    <d v="2005-10-01T00:00:00"/>
    <d v="2006-09-01T00:00:00"/>
    <x v="6"/>
    <x v="16"/>
    <x v="3"/>
    <s v="Emergency Appeal 05EA023"/>
    <x v="1"/>
    <n v="1500000"/>
    <n v="11067382"/>
    <n v="11180755"/>
    <n v="11181153"/>
    <n v="7.4541019999999998"/>
    <n v="100"/>
    <s v="yes"/>
    <s v="yes"/>
    <s v="missing data"/>
    <s v="no"/>
    <m/>
    <m/>
    <n v="488876"/>
    <n v="222562"/>
    <m/>
    <m/>
    <m/>
    <m/>
    <m/>
    <m/>
    <m/>
    <s v="N/A"/>
    <s v="N/A"/>
    <m/>
    <m/>
    <n v="0"/>
    <n v="0"/>
    <n v="5836"/>
    <m/>
    <s v="N/A"/>
    <s v="N/A"/>
    <s v="N/A"/>
    <s v="N/A"/>
    <s v="N/A"/>
    <s v="N/A"/>
    <s v="N/A"/>
  </r>
  <r>
    <n v="653"/>
    <s v="Malawi"/>
    <x v="1"/>
    <d v="2005-10-01T00:00:00"/>
    <d v="2006-09-01T00:00:00"/>
    <x v="6"/>
    <x v="16"/>
    <x v="3"/>
    <s v="Emergency Appeal 05EA023"/>
    <x v="1"/>
    <m/>
    <m/>
    <m/>
    <m/>
    <m/>
    <m/>
    <n v="29000"/>
    <s v="missing data"/>
    <n v="29000"/>
    <s v="yes"/>
    <m/>
    <m/>
    <m/>
    <m/>
    <n v="0"/>
    <m/>
    <m/>
    <m/>
    <m/>
    <m/>
    <m/>
    <m/>
    <m/>
    <m/>
    <m/>
    <n v="0"/>
    <m/>
    <m/>
    <m/>
    <m/>
    <m/>
    <m/>
    <m/>
    <m/>
    <m/>
    <m/>
  </r>
  <r>
    <n v="654"/>
    <s v="Mozambique "/>
    <x v="1"/>
    <d v="2005-10-01T00:00:00"/>
    <d v="2006-09-01T00:00:00"/>
    <x v="6"/>
    <x v="16"/>
    <x v="3"/>
    <s v="Emergency Appeal 05EA023"/>
    <x v="1"/>
    <m/>
    <m/>
    <m/>
    <m/>
    <m/>
    <m/>
    <n v="8500"/>
    <n v="10000"/>
    <n v="10000"/>
    <s v="yes"/>
    <m/>
    <m/>
    <m/>
    <m/>
    <n v="0"/>
    <m/>
    <m/>
    <m/>
    <m/>
    <m/>
    <m/>
    <m/>
    <m/>
    <m/>
    <m/>
    <n v="0"/>
    <m/>
    <m/>
    <m/>
    <m/>
    <m/>
    <m/>
    <m/>
    <m/>
    <m/>
    <m/>
  </r>
  <r>
    <n v="655"/>
    <s v="Namibia "/>
    <x v="1"/>
    <d v="2005-10-01T00:00:00"/>
    <d v="2006-09-01T00:00:00"/>
    <x v="6"/>
    <x v="16"/>
    <x v="3"/>
    <s v="Emergency Appeal 05EA023"/>
    <x v="1"/>
    <m/>
    <m/>
    <m/>
    <m/>
    <m/>
    <m/>
    <s v="missing data"/>
    <s v="missing data"/>
    <s v="missing data"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56"/>
    <s v="Swaziland"/>
    <x v="1"/>
    <d v="2005-10-01T00:00:00"/>
    <d v="2006-09-01T00:00:00"/>
    <x v="6"/>
    <x v="16"/>
    <x v="3"/>
    <s v="Emergency Appeal 05EA023"/>
    <x v="1"/>
    <m/>
    <m/>
    <m/>
    <m/>
    <m/>
    <m/>
    <s v="missing data"/>
    <s v="missing data"/>
    <s v="missing data"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57"/>
    <s v="Zambia "/>
    <x v="1"/>
    <d v="2005-10-01T00:00:00"/>
    <d v="2006-09-01T00:00:00"/>
    <x v="6"/>
    <x v="16"/>
    <x v="3"/>
    <s v="Emergency Appeal 05EA023"/>
    <x v="1"/>
    <m/>
    <m/>
    <m/>
    <m/>
    <m/>
    <m/>
    <n v="20000"/>
    <n v="20820"/>
    <n v="20820"/>
    <s v="yes"/>
    <n v="135"/>
    <m/>
    <m/>
    <m/>
    <n v="0"/>
    <m/>
    <m/>
    <m/>
    <m/>
    <m/>
    <m/>
    <m/>
    <m/>
    <m/>
    <m/>
    <n v="0"/>
    <m/>
    <m/>
    <m/>
    <m/>
    <m/>
    <m/>
    <m/>
    <m/>
    <m/>
    <m/>
  </r>
  <r>
    <n v="658"/>
    <s v="Zimbabwe"/>
    <x v="1"/>
    <d v="2005-10-01T00:00:00"/>
    <d v="2006-09-01T00:00:00"/>
    <x v="6"/>
    <x v="16"/>
    <x v="3"/>
    <s v="Emergency Appeal 05EA023"/>
    <x v="1"/>
    <m/>
    <m/>
    <m/>
    <m/>
    <m/>
    <m/>
    <n v="10500"/>
    <n v="5020"/>
    <n v="10500"/>
    <s v="yes"/>
    <n v="130"/>
    <m/>
    <m/>
    <m/>
    <n v="0"/>
    <m/>
    <m/>
    <m/>
    <m/>
    <m/>
    <m/>
    <m/>
    <m/>
    <m/>
    <m/>
    <n v="0"/>
    <m/>
    <m/>
    <m/>
    <m/>
    <m/>
    <m/>
    <m/>
    <m/>
    <m/>
    <m/>
  </r>
  <r>
    <n v="659"/>
    <s v="Mali"/>
    <x v="1"/>
    <d v="2005-11-01T00:00:00"/>
    <d v="2005-12-01T00:00:00"/>
    <x v="6"/>
    <x v="46"/>
    <x v="10"/>
    <s v="DREF Bulletin No. 05ME067"/>
    <x v="0"/>
    <n v="2000000"/>
    <n v="18408"/>
    <n v="18409"/>
    <n v="18409"/>
    <n v="9.2044999999999991E-3"/>
    <n v="100"/>
    <s v="N/A"/>
    <s v="N/A"/>
    <s v="N/A"/>
    <s v="N/A"/>
    <s v="N/A"/>
    <s v="N/A"/>
    <s v="-"/>
    <s v="-"/>
    <m/>
    <s v="N/A"/>
    <n v="2000000"/>
    <n v="800"/>
    <s v="N/A"/>
    <s v="missing data"/>
    <s v="Missing data "/>
    <s v="N/A"/>
    <s v="N/A"/>
    <s v="N/A"/>
    <s v="N/A"/>
    <n v="2000000"/>
    <s v="-"/>
    <s v="-"/>
    <m/>
    <s v="N/A"/>
    <s v="N/A"/>
    <s v="N/A"/>
    <s v="N/A"/>
    <s v="N/A"/>
    <s v="N/A"/>
    <s v="N/A"/>
  </r>
  <r>
    <n v="660"/>
    <s v="Moldova"/>
    <x v="2"/>
    <d v="2005-08-01T00:00:00"/>
    <d v="2005-12-01T00:00:00"/>
    <x v="6"/>
    <x v="1"/>
    <x v="1"/>
    <s v="DREF Bulletin Minor emergency no.05ME053"/>
    <x v="0"/>
    <n v="3000"/>
    <n v="50000"/>
    <n v="50000"/>
    <n v="50000"/>
    <n v="16.666666666666668"/>
    <n v="100"/>
    <n v="2390"/>
    <s v="N/A"/>
    <n v="2390"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s v="-"/>
    <s v="-"/>
    <m/>
    <m/>
    <m/>
    <m/>
    <m/>
    <m/>
    <s v="N/A"/>
    <s v="N/A"/>
  </r>
  <r>
    <n v="661"/>
    <s v="Nigeria"/>
    <x v="1"/>
    <d v="2005-08-01T00:00:00"/>
    <d v="2005-11-01T00:00:00"/>
    <x v="6"/>
    <x v="1"/>
    <x v="1"/>
    <s v="DREF Bulletin No. 05ME051"/>
    <x v="0"/>
    <n v="50000"/>
    <n v="0"/>
    <n v="100000"/>
    <n v="100000"/>
    <n v="2"/>
    <s v="-"/>
    <s v="N/A"/>
    <s v="N/A"/>
    <s v="N/A"/>
    <s v="no"/>
    <n v="50"/>
    <n v="50000"/>
    <s v="-"/>
    <s v="-"/>
    <m/>
    <s v="N/A"/>
    <s v="N/A"/>
    <s v="N/A"/>
    <s v="N/A"/>
    <s v="N/A"/>
    <s v="N/A"/>
    <s v="N/A"/>
    <s v="N/A"/>
    <s v="N/A"/>
    <s v="N/A"/>
    <n v="0"/>
    <n v="0"/>
    <n v="3856"/>
    <m/>
    <s v="N/A"/>
    <s v="N/A"/>
    <s v="N/A"/>
    <s v="N/A"/>
    <s v="N/A"/>
    <s v="N/A"/>
    <s v="N/A"/>
  </r>
  <r>
    <n v="662"/>
    <s v="Pakistan"/>
    <x v="4"/>
    <d v="2005-02-01T00:00:00"/>
    <d v="2005-09-01T00:00:00"/>
    <x v="6"/>
    <x v="276"/>
    <x v="1"/>
    <s v="DREF Bulletin of two Minor emergenies c &amp; 05ME023"/>
    <x v="0"/>
    <n v="10000"/>
    <n v="100000"/>
    <n v="100000"/>
    <n v="100000"/>
    <n v="10"/>
    <n v="100"/>
    <s v="missing data"/>
    <s v="N/A"/>
    <s v="N/A"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s v="-"/>
    <s v="-"/>
    <m/>
    <m/>
    <m/>
    <m/>
    <m/>
    <m/>
    <s v="N/A"/>
    <s v="N/A"/>
  </r>
  <r>
    <n v="663"/>
    <s v="Pakistan"/>
    <x v="4"/>
    <d v="2005-10-01T00:00:00"/>
    <d v="2011-12-01T00:00:00"/>
    <x v="6"/>
    <x v="23"/>
    <x v="8"/>
    <s v="Emergency appeal n° M05EA022"/>
    <x v="1"/>
    <n v="1085000"/>
    <n v="167680883"/>
    <n v="159683680"/>
    <n v="152009472"/>
    <n v="140.10089585253456"/>
    <n v="95.230700806841526"/>
    <n v="128100"/>
    <n v="129725"/>
    <n v="152476"/>
    <s v="yes"/>
    <n v="203"/>
    <n v="93000"/>
    <n v="1884256"/>
    <n v="8908953"/>
    <n v="58.428559248668641"/>
    <n v="32000"/>
    <n v="241500"/>
    <n v="3266"/>
    <n v="150"/>
    <m/>
    <m/>
    <m/>
    <m/>
    <n v="416916"/>
    <m/>
    <n v="690416"/>
    <n v="3518166"/>
    <n v="2704108"/>
    <m/>
    <n v="1"/>
    <n v="1"/>
    <n v="1"/>
    <n v="1"/>
    <n v="6"/>
    <s v="not specialezed"/>
    <m/>
  </r>
  <r>
    <n v="664"/>
    <s v="Papua New Guinea Manam and Langila"/>
    <x v="4"/>
    <d v="2005-06-01T00:00:00"/>
    <d v="2006-03-01T00:00:00"/>
    <x v="6"/>
    <x v="277"/>
    <x v="8"/>
    <s v="Appeal No. 05EA012"/>
    <x v="1"/>
    <n v="11500"/>
    <n v="747377"/>
    <n v="833852"/>
    <n v="833852"/>
    <n v="72.508869565217395"/>
    <n v="112"/>
    <s v="N/A"/>
    <s v="N/A"/>
    <s v="N/A"/>
    <s v="No "/>
    <s v="N/A"/>
    <s v="N/A"/>
    <n v="5000"/>
    <n v="42343"/>
    <m/>
    <s v="N/A"/>
    <s v="N/A"/>
    <s v="N/A"/>
    <s v="N/A"/>
    <s v="N/A"/>
    <s v="N/A"/>
    <s v="N/A"/>
    <s v="N/A"/>
    <s v="N/A"/>
    <s v="N/A"/>
    <n v="0"/>
    <s v="N/A"/>
    <n v="146"/>
    <m/>
    <s v="N/A"/>
    <s v="N/A"/>
    <s v="N/A"/>
    <s v="N/A"/>
    <s v="N/A"/>
    <s v="N/A"/>
    <s v="N/A"/>
  </r>
  <r>
    <n v="665"/>
    <s v="Romania"/>
    <x v="2"/>
    <d v="2005-04-01T00:00:00"/>
    <d v="2006-05-01T00:00:00"/>
    <x v="6"/>
    <x v="1"/>
    <x v="1"/>
    <s v="Appeal No. 05EA009"/>
    <x v="1"/>
    <n v="30000"/>
    <n v="1055000"/>
    <n v="622274"/>
    <n v="622167"/>
    <n v="20.738900000000001"/>
    <n v="59"/>
    <n v="10000"/>
    <s v="N/A"/>
    <s v="N/A"/>
    <s v="no"/>
    <s v="N/A"/>
    <s v="N/A"/>
    <n v="8000"/>
    <n v="645"/>
    <m/>
    <s v="N/A"/>
    <s v="N/A"/>
    <s v="N/A"/>
    <s v="N/A"/>
    <s v="N/A"/>
    <s v="N/A"/>
    <s v="N/A"/>
    <s v="N/A"/>
    <s v="N/A"/>
    <s v="N/A"/>
    <n v="0"/>
    <s v="-"/>
    <s v="-"/>
    <m/>
    <s v="N/A"/>
    <s v="N/A"/>
    <s v="N/A"/>
    <s v="N/A"/>
    <s v="N/A"/>
    <s v="Yes "/>
    <s v="N/A"/>
  </r>
  <r>
    <n v="666"/>
    <s v="Romania"/>
    <x v="2"/>
    <d v="2005-07-01T00:00:00"/>
    <d v="2006-02-01T00:00:00"/>
    <x v="6"/>
    <x v="1"/>
    <x v="16"/>
    <s v="DREF Bulletin no. 05ME039"/>
    <x v="0"/>
    <n v="10000"/>
    <n v="240938"/>
    <n v="240938"/>
    <n v="240650"/>
    <n v="24.065000000000001"/>
    <n v="100"/>
    <s v="missing data"/>
    <s v="missing data"/>
    <s v="N/A"/>
    <s v="no"/>
    <s v="N/A"/>
    <s v="N/A"/>
    <n v="0"/>
    <n v="134"/>
    <m/>
    <s v="N/A"/>
    <s v="N/A"/>
    <s v="N/A"/>
    <s v="N/A"/>
    <s v="N/A"/>
    <s v="N/A"/>
    <s v="N/A"/>
    <s v="N/A"/>
    <s v="N/A"/>
    <s v="N/A"/>
    <n v="0"/>
    <n v="360"/>
    <n v="359"/>
    <m/>
    <s v="N/A"/>
    <s v="N/A"/>
    <s v="N/A"/>
    <s v="N/A"/>
    <s v="N/A"/>
    <s v="not specified"/>
    <s v="N/A"/>
  </r>
  <r>
    <n v="667"/>
    <s v="Senegal"/>
    <x v="1"/>
    <d v="2005-09-01T00:00:00"/>
    <d v="2005-12-01T00:00:00"/>
    <x v="6"/>
    <x v="1"/>
    <x v="1"/>
    <s v="DREF Bulletin no. 05ME054"/>
    <x v="0"/>
    <n v="7547"/>
    <n v="31715"/>
    <n v="29158"/>
    <n v="29158"/>
    <n v="3.863521929243408"/>
    <n v="92"/>
    <s v="N/A"/>
    <n v="4120"/>
    <n v="4120"/>
    <s v="no"/>
    <n v="61"/>
    <n v="4120"/>
    <s v="-"/>
    <s v="-"/>
    <m/>
    <s v="Missing data "/>
    <s v="missing data"/>
    <n v="46"/>
    <s v="Missing data "/>
    <s v="Missing data "/>
    <s v="N/A"/>
    <s v="N/A"/>
    <s v="N/A"/>
    <n v="1464"/>
    <s v="N/A"/>
    <n v="1464"/>
    <s v="-"/>
    <s v="-"/>
    <m/>
    <s v="N/A"/>
    <s v="N/A"/>
    <s v="N/A"/>
    <s v="N/A"/>
    <s v="N/A"/>
    <s v="N/A"/>
    <s v="N/A"/>
  </r>
  <r>
    <n v="668"/>
    <s v="Senegal"/>
    <x v="1"/>
    <d v="2005-03-01T00:00:00"/>
    <d v="2005-07-01T00:00:00"/>
    <x v="6"/>
    <x v="29"/>
    <x v="10"/>
    <s v="DREF Bulletin no. 05ME020"/>
    <x v="0"/>
    <n v="5400"/>
    <n v="52096"/>
    <n v="52058"/>
    <n v="52058"/>
    <n v="9.6403703703703698"/>
    <n v="100"/>
    <s v="N/A"/>
    <s v="N/A"/>
    <s v="missing data"/>
    <s v="no"/>
    <s v="missing data"/>
    <s v="missing data"/>
    <s v="-"/>
    <s v="-"/>
    <m/>
    <s v="N/A"/>
    <s v="Missing data "/>
    <s v="Missing data "/>
    <s v="N/A"/>
    <s v="missing data"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669"/>
    <s v="Serbia and Montenegro "/>
    <x v="2"/>
    <d v="2005-04-01T00:00:00"/>
    <d v="2006-02-01T00:00:00"/>
    <x v="6"/>
    <x v="1"/>
    <x v="1"/>
    <s v="Appeal No.05EA008"/>
    <x v="1"/>
    <n v="4000"/>
    <n v="496310"/>
    <n v="321313"/>
    <n v="188138"/>
    <n v="47.034500000000001"/>
    <n v="63.1"/>
    <s v="N/A"/>
    <s v="N/A"/>
    <s v="N/A"/>
    <s v="no"/>
    <s v="N/A"/>
    <s v="N/A"/>
    <s v="-"/>
    <s v="-"/>
    <m/>
    <s v="yes"/>
    <s v="N/A"/>
    <s v="N/A"/>
    <s v="N/A"/>
    <s v="N/A"/>
    <s v="N/A"/>
    <s v="N/A"/>
    <s v="N/A"/>
    <s v="N/A"/>
    <s v="N/A"/>
    <n v="0"/>
    <s v="-"/>
    <s v="-"/>
    <m/>
    <m/>
    <m/>
    <m/>
    <m/>
    <m/>
    <s v="N/A"/>
    <s v="N/A"/>
  </r>
  <r>
    <n v="670"/>
    <s v="Serbia and Montenegro/Kosovo"/>
    <x v="2"/>
    <d v="2005-11-01T00:00:00"/>
    <d v="2006-05-01T00:00:00"/>
    <x v="6"/>
    <x v="278"/>
    <x v="6"/>
    <s v="DREF Bulletin no. 05ME064"/>
    <x v="0"/>
    <n v="1009"/>
    <n v="123879"/>
    <n v="91863"/>
    <n v="91863"/>
    <n v="91.043607532210103"/>
    <n v="74.099999999999994"/>
    <s v="N/A"/>
    <s v="N/A"/>
    <s v="N/A"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n v="4000"/>
    <n v="3477"/>
    <m/>
    <s v="N/A"/>
    <s v="N/A"/>
    <s v="N/A"/>
    <s v="N/A"/>
    <s v="N/A"/>
    <s v="N/A"/>
    <s v="N/A"/>
  </r>
  <r>
    <n v="671"/>
    <s v="Sierra Leone"/>
    <x v="1"/>
    <d v="2005-09-01T00:00:00"/>
    <d v="2006-01-01T00:00:00"/>
    <x v="6"/>
    <x v="24"/>
    <x v="1"/>
    <s v="Appeal No. 05EA018"/>
    <x v="1"/>
    <n v="7000"/>
    <n v="234869"/>
    <n v="116678"/>
    <n v="116678"/>
    <n v="16.668285714285716"/>
    <n v="49"/>
    <s v="missing data"/>
    <s v="N/A"/>
    <s v="missing data"/>
    <s v="yes"/>
    <n v="50"/>
    <s v="missing data"/>
    <n v="889"/>
    <n v="0"/>
    <m/>
    <s v="N/A"/>
    <s v="missing data"/>
    <n v="50"/>
    <s v="N/A"/>
    <s v="N/A"/>
    <s v="N/A"/>
    <s v="N/A"/>
    <s v="N/A"/>
    <s v="N/A"/>
    <s v="N/A"/>
    <n v="0"/>
    <n v="32329"/>
    <n v="1980"/>
    <m/>
    <s v="N/A"/>
    <s v="N/A"/>
    <s v="N/A"/>
    <s v="N/A"/>
    <s v="N/A"/>
    <s v="N/A"/>
    <s v="N/A"/>
  </r>
  <r>
    <n v="672"/>
    <s v="Southern Africa (South Africa)"/>
    <x v="1"/>
    <d v="2005-03-01T00:00:00"/>
    <d v="2005-12-01T00:00:00"/>
    <x v="6"/>
    <x v="279"/>
    <x v="8"/>
    <s v="DREF Bulletin No. 05ME013"/>
    <x v="0"/>
    <s v="N/A"/>
    <n v="69971"/>
    <n v="69978"/>
    <n v="69978"/>
    <m/>
    <n v="100"/>
    <s v="N/A"/>
    <s v="N/A"/>
    <s v="N/A"/>
    <s v="N/A"/>
    <s v="N/A"/>
    <s v="N/A"/>
    <s v="-"/>
    <s v="-"/>
    <m/>
    <s v="N/A"/>
    <s v="N/A"/>
    <s v="N/A"/>
    <s v="N/A"/>
    <s v="N/A"/>
    <s v="N/A"/>
    <s v="N/A"/>
    <s v="N/A"/>
    <s v="N/A"/>
    <s v="N/A"/>
    <n v="0"/>
    <s v="-"/>
    <s v="-"/>
    <m/>
    <s v="N/A"/>
    <s v="N/A"/>
    <s v="N/A"/>
    <s v="N/A"/>
    <s v="N/A"/>
    <s v="37 training"/>
    <m/>
  </r>
  <r>
    <n v="673"/>
    <s v="Sudan"/>
    <x v="1"/>
    <d v="2005-12-01T00:00:00"/>
    <d v="2006-08-01T00:00:00"/>
    <x v="6"/>
    <x v="46"/>
    <x v="10"/>
    <s v="DREF Bulletin no. 05ME068"/>
    <x v="0"/>
    <n v="556"/>
    <n v="200000"/>
    <n v="199946"/>
    <n v="199946"/>
    <n v="359.61510791366908"/>
    <n v="100"/>
    <s v="N/A"/>
    <s v="N/A"/>
    <s v="N/A"/>
    <s v="no"/>
    <s v="N/A"/>
    <s v="N/A"/>
    <s v="-"/>
    <s v="-"/>
    <m/>
    <s v="N/A"/>
    <s v="missing data"/>
    <n v="850"/>
    <s v="yes"/>
    <s v="missing data"/>
    <s v="yes"/>
    <s v="N/A"/>
    <s v="N/A"/>
    <s v="N/A"/>
    <s v="N/A"/>
    <n v="0"/>
    <s v="-"/>
    <s v="-"/>
    <m/>
    <s v="N/A"/>
    <s v="N/A"/>
    <s v="N/A"/>
    <s v="N/A"/>
    <s v="N/A"/>
    <s v="N/A"/>
    <s v="N/A"/>
  </r>
  <r>
    <n v="674"/>
    <s v="Sudan"/>
    <x v="1"/>
    <d v="2005-03-01T00:00:00"/>
    <d v="2005-12-01T00:00:00"/>
    <x v="6"/>
    <x v="280"/>
    <x v="17"/>
    <s v="DREF Bulletin No. 05ME014"/>
    <x v="0"/>
    <n v="4500"/>
    <n v="0"/>
    <n v="199995"/>
    <n v="199995"/>
    <n v="44.443333333333335"/>
    <s v="-"/>
    <s v="N/A"/>
    <s v="N/A"/>
    <s v="N/A"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n v="0"/>
    <n v="28295"/>
    <m/>
    <s v="N/A"/>
    <s v="N/A"/>
    <s v="N/A"/>
    <s v="N/A"/>
    <s v="N/A"/>
    <s v="N/A"/>
    <s v="N/A"/>
  </r>
  <r>
    <n v="675"/>
    <s v="Sudan"/>
    <x v="1"/>
    <d v="2005-08-01T00:00:00"/>
    <d v="2006-04-01T00:00:00"/>
    <x v="6"/>
    <x v="1"/>
    <x v="1"/>
    <s v="Interim final report DREF Bulletin No. 05ME049"/>
    <x v="0"/>
    <n v="3675"/>
    <n v="200000"/>
    <n v="200000"/>
    <n v="201000"/>
    <n v="54.693877551020407"/>
    <s v="-"/>
    <n v="3675"/>
    <n v="3675"/>
    <n v="3675"/>
    <s v="no"/>
    <s v="missing data"/>
    <s v="N/A"/>
    <s v="-"/>
    <s v="-"/>
    <m/>
    <s v="N/A"/>
    <s v="N/A"/>
    <s v="missing data"/>
    <s v="N/A"/>
    <s v="N/A"/>
    <n v="1470"/>
    <s v="N/A"/>
    <s v="N/A"/>
    <s v="N/A"/>
    <s v="N/A"/>
    <n v="0"/>
    <s v="-"/>
    <s v="-"/>
    <m/>
    <m/>
    <m/>
    <m/>
    <m/>
    <m/>
    <s v="N/A"/>
    <s v="N/A"/>
  </r>
  <r>
    <n v="676"/>
    <s v="Swaziland"/>
    <x v="1"/>
    <d v="2005-01-01T00:00:00"/>
    <d v="2005-04-01T00:00:00"/>
    <x v="6"/>
    <x v="281"/>
    <x v="0"/>
    <s v="DREF Bulletin No. 05ME004"/>
    <x v="0"/>
    <n v="7117"/>
    <n v="35535"/>
    <n v="35550"/>
    <n v="35550"/>
    <n v="4.99508219755515"/>
    <n v="100"/>
    <s v="N/A"/>
    <s v="N/A"/>
    <s v="N/A"/>
    <s v="no"/>
    <s v="N/A"/>
    <s v="N/A"/>
    <s v="-"/>
    <s v="-"/>
    <m/>
    <s v="N/A"/>
    <s v="N/A"/>
    <s v="N/A"/>
    <s v="N/A"/>
    <s v="N/A"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677"/>
    <s v="Tanzania"/>
    <x v="1"/>
    <d v="2005-05-01T00:00:00"/>
    <d v="2005-08-01T00:00:00"/>
    <x v="6"/>
    <x v="282"/>
    <x v="1"/>
    <s v="DREF Bulletin No. 05ME025"/>
    <x v="0"/>
    <n v="6000"/>
    <n v="0"/>
    <n v="109937"/>
    <n v="109937"/>
    <n v="18.322833333333332"/>
    <s v="-"/>
    <s v="missing data"/>
    <s v="N/A"/>
    <s v="missing data"/>
    <s v="no"/>
    <s v="missing data"/>
    <s v="missing data"/>
    <n v="0"/>
    <n v="28399"/>
    <m/>
    <s v="n/A"/>
    <s v="missing data"/>
    <n v="55"/>
    <s v="missing data "/>
    <s v="Missing data "/>
    <n v="1996"/>
    <s v="N/A"/>
    <s v="N/A"/>
    <s v="N/A"/>
    <s v="N/A"/>
    <n v="0"/>
    <s v="-"/>
    <s v="-"/>
    <m/>
    <s v="N/A"/>
    <s v="N/A"/>
    <s v="N/A"/>
    <s v="N/A"/>
    <s v="N/A"/>
    <s v="yes not specified"/>
    <s v="yes not specified"/>
  </r>
  <r>
    <n v="678"/>
    <s v="Tanzania"/>
    <x v="1"/>
    <d v="2005-12-01T00:00:00"/>
    <d v="2006-03-01T00:00:00"/>
    <x v="6"/>
    <x v="23"/>
    <x v="8"/>
    <s v="DREF Bulletin No. 05ME075"/>
    <x v="0"/>
    <n v="270"/>
    <n v="0"/>
    <n v="29220"/>
    <n v="29220"/>
    <n v="108.22222222222223"/>
    <s v="-"/>
    <n v="270"/>
    <n v="270"/>
    <n v="270"/>
    <s v="no"/>
    <s v="N/A"/>
    <s v="N/A"/>
    <n v="0"/>
    <n v="15683"/>
    <n v="58.085185185185182"/>
    <s v="N/A"/>
    <s v="N/A"/>
    <s v="N/A"/>
    <s v="N/A"/>
    <s v="N/A"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679"/>
    <s v="Vietnam"/>
    <x v="4"/>
    <d v="2005-10-01T00:00:00"/>
    <d v="2006-10-01T00:00:00"/>
    <x v="6"/>
    <x v="283"/>
    <x v="0"/>
    <s v="Appeal No. 05EA019"/>
    <x v="1"/>
    <n v="32450"/>
    <n v="813678"/>
    <n v="832947"/>
    <n v="832947"/>
    <n v="25.668628659476116"/>
    <n v="102"/>
    <s v="N/A"/>
    <s v="N/A"/>
    <s v="N/A"/>
    <s v="N/A"/>
    <s v="N/A"/>
    <s v="N/A"/>
    <s v="-"/>
    <s v="-"/>
    <m/>
    <s v="N/A"/>
    <s v="N/A"/>
    <s v="N/A"/>
    <s v="N/A"/>
    <s v="N/A"/>
    <n v="3100"/>
    <s v="N/A"/>
    <s v="N/A"/>
    <s v="N/A"/>
    <s v="N/A"/>
    <n v="0"/>
    <s v="-"/>
    <s v="-"/>
    <m/>
    <s v="N/A"/>
    <s v="N/A"/>
    <s v="N/A"/>
    <s v="N/A"/>
    <s v="N/A"/>
    <s v="N/A"/>
    <s v="N/A"/>
  </r>
  <r>
    <n v="680"/>
    <s v="Zambia "/>
    <x v="1"/>
    <d v="2005-03-01T00:00:00"/>
    <d v="2005-08-01T00:00:00"/>
    <x v="6"/>
    <x v="50"/>
    <x v="6"/>
    <s v="DREF Bulletin no. 05ME015"/>
    <x v="0"/>
    <n v="388800"/>
    <n v="49998"/>
    <n v="49998"/>
    <n v="49998"/>
    <n v="0.12859567901234567"/>
    <n v="100"/>
    <s v="missing data"/>
    <s v="missing data"/>
    <s v="missing data"/>
    <s v="no"/>
    <s v="missing data"/>
    <s v="missing data"/>
    <n v="234"/>
    <n v="234"/>
    <m/>
    <s v="N/A"/>
    <s v="missing data"/>
    <s v="missing data"/>
    <s v="missing data"/>
    <s v="missing data"/>
    <s v="N/A"/>
    <s v="missing data"/>
    <s v="missing data"/>
    <s v="missing data"/>
    <s v="missing data"/>
    <n v="0"/>
    <s v="-"/>
    <s v="-"/>
    <m/>
    <s v="N/A"/>
    <s v="N/A"/>
    <s v="N/A"/>
    <s v="N/A"/>
    <s v="N/A"/>
    <s v="N/A"/>
    <s v="N/A"/>
  </r>
  <r>
    <n v="681"/>
    <s v="Zimbabwe"/>
    <x v="1"/>
    <d v="2005-07-01T00:00:00"/>
    <d v="2006-04-01T00:00:00"/>
    <x v="6"/>
    <x v="284"/>
    <x v="3"/>
    <s v="Appeal No. 05EA016"/>
    <x v="1"/>
    <n v="15000"/>
    <n v="2481816"/>
    <n v="865712"/>
    <n v="865711"/>
    <n v="57.714066666666668"/>
    <n v="34.799999999999997"/>
    <n v="9000"/>
    <n v="5000"/>
    <n v="9000"/>
    <s v="no"/>
    <n v="40"/>
    <n v="5000"/>
    <n v="204000"/>
    <n v="11891"/>
    <n v="1.3212222222222223"/>
    <s v="N/A"/>
    <n v="5000"/>
    <n v="40"/>
    <s v="N/A"/>
    <s v="N/A"/>
    <n v="44"/>
    <s v="N/A"/>
    <s v="N/A"/>
    <s v="N/A"/>
    <s v="N/A"/>
    <n v="5000"/>
    <n v="193500"/>
    <n v="67725"/>
    <m/>
    <s v="N/A"/>
    <s v="N/A"/>
    <s v="N/A"/>
    <s v="N/A"/>
    <s v="N/A"/>
    <s v="N/A"/>
    <s v="N/A"/>
  </r>
  <r>
    <n v="682"/>
    <s v="Albania"/>
    <x v="1"/>
    <d v="2005-02-01T00:00:00"/>
    <d v="2005-05-01T00:00:00"/>
    <x v="6"/>
    <x v="285"/>
    <x v="6"/>
    <s v="Bulletin no. 01/2005"/>
    <x v="2"/>
    <n v="2500"/>
    <m/>
    <n v="63315"/>
    <n v="63315"/>
    <n v="25.326000000000001"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83"/>
    <s v="Angola"/>
    <x v="0"/>
    <d v="2005-03-01T00:00:00"/>
    <d v="2005-11-01T00:00:00"/>
    <x v="6"/>
    <x v="1"/>
    <x v="1"/>
    <s v="ME no. 05ME016"/>
    <x v="0"/>
    <n v="10000"/>
    <m/>
    <m/>
    <n v="27027"/>
    <n v="2.7027000000000001"/>
    <m/>
    <m/>
    <m/>
    <m/>
    <s v="no"/>
    <n v="30"/>
    <s v="missing data"/>
    <m/>
    <m/>
    <m/>
    <m/>
    <m/>
    <m/>
    <m/>
    <m/>
    <n v="4500"/>
    <m/>
    <m/>
    <m/>
    <m/>
    <n v="0"/>
    <m/>
    <m/>
    <m/>
    <m/>
    <m/>
    <m/>
    <m/>
    <m/>
    <m/>
    <m/>
  </r>
  <r>
    <n v="684"/>
    <s v="Bolivia"/>
    <x v="0"/>
    <d v="2005-06-01T00:00:00"/>
    <d v="2005-06-01T00:00:00"/>
    <x v="6"/>
    <x v="286"/>
    <x v="3"/>
    <s v="ME no. 05ME033 Update no. 3"/>
    <x v="0"/>
    <n v="5000"/>
    <m/>
    <m/>
    <n v="60000"/>
    <n v="12"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85"/>
    <s v="Bolivia"/>
    <x v="0"/>
    <d v="2005-09-01T00:00:00"/>
    <d v="2005-12-01T00:00:00"/>
    <x v="6"/>
    <x v="120"/>
    <x v="6"/>
    <s v="ME no. 05ME056"/>
    <x v="0"/>
    <n v="1500"/>
    <m/>
    <n v="30000"/>
    <n v="59211.9"/>
    <n v="39.474600000000002"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86"/>
    <s v="Bosnia and Herzegovina"/>
    <x v="1"/>
    <d v="2005-02-01T00:00:00"/>
    <d v="2005-03-01T00:00:00"/>
    <x v="6"/>
    <x v="285"/>
    <x v="6"/>
    <s v="M05ME011"/>
    <x v="3"/>
    <m/>
    <m/>
    <m/>
    <n v="31190.83"/>
    <m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87"/>
    <s v="Bosnia and Herzegovina"/>
    <x v="2"/>
    <d v="2005-06-01T00:00:00"/>
    <d v="2005-07-01T00:00:00"/>
    <x v="6"/>
    <x v="1"/>
    <x v="1"/>
    <s v="MINOR EMERGENCY NO: ME038"/>
    <x v="0"/>
    <n v="5300"/>
    <m/>
    <n v="44307"/>
    <n v="44307"/>
    <n v="8.3598113207547176"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88"/>
    <s v="Bulgaria"/>
    <x v="2"/>
    <d v="2005-06-01T00:00:00"/>
    <d v="2006-02-01T00:00:00"/>
    <x v="6"/>
    <x v="1"/>
    <x v="1"/>
    <s v="ME No.05ME035"/>
    <x v="0"/>
    <n v="5000"/>
    <n v="92666"/>
    <n v="92666"/>
    <n v="92614"/>
    <n v="18.5228"/>
    <n v="100"/>
    <m/>
    <m/>
    <m/>
    <s v="no"/>
    <m/>
    <m/>
    <n v="1250"/>
    <n v="757"/>
    <m/>
    <m/>
    <m/>
    <m/>
    <m/>
    <m/>
    <m/>
    <m/>
    <m/>
    <m/>
    <m/>
    <n v="0"/>
    <n v="20000"/>
    <m/>
    <m/>
    <m/>
    <m/>
    <m/>
    <m/>
    <m/>
    <s v="yes"/>
    <m/>
  </r>
  <r>
    <n v="689"/>
    <s v="Cameroon"/>
    <x v="2"/>
    <d v="2005-04-01T00:00:00"/>
    <d v="2005-09-01T00:00:00"/>
    <x v="6"/>
    <x v="29"/>
    <x v="10"/>
    <s v="ME no. 05ME026"/>
    <x v="0"/>
    <n v="12000"/>
    <m/>
    <m/>
    <n v="58262"/>
    <n v="4.8551666666666664"/>
    <m/>
    <m/>
    <m/>
    <m/>
    <s v="no"/>
    <m/>
    <n v="12000"/>
    <m/>
    <m/>
    <m/>
    <m/>
    <n v="12000"/>
    <s v="missing data"/>
    <m/>
    <m/>
    <m/>
    <m/>
    <m/>
    <m/>
    <m/>
    <n v="12000"/>
    <m/>
    <m/>
    <m/>
    <m/>
    <m/>
    <m/>
    <m/>
    <m/>
    <m/>
    <m/>
  </r>
  <r>
    <n v="690"/>
    <s v="Chad"/>
    <x v="2"/>
    <d v="2005-07-01T00:00:00"/>
    <d v="2006-02-01T00:00:00"/>
    <x v="6"/>
    <x v="287"/>
    <x v="3"/>
    <s v="Bulletin no. 01/2006"/>
    <x v="2"/>
    <s v="missing data"/>
    <m/>
    <m/>
    <n v="200782.31"/>
    <m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91"/>
    <s v="Chile"/>
    <x v="0"/>
    <d v="2005-06-01T00:00:00"/>
    <d v="2005-07-01T00:00:00"/>
    <x v="6"/>
    <x v="23"/>
    <x v="8"/>
    <s v="ME no. 05ME036 Update no. 3"/>
    <x v="0"/>
    <s v="missing data"/>
    <m/>
    <n v="30000"/>
    <n v="30000"/>
    <m/>
    <m/>
    <m/>
    <n v="3000"/>
    <n v="3000"/>
    <s v="no"/>
    <m/>
    <s v="missing data"/>
    <m/>
    <m/>
    <n v="0"/>
    <s v="missing data"/>
    <m/>
    <s v="missing data"/>
    <m/>
    <m/>
    <m/>
    <m/>
    <m/>
    <m/>
    <m/>
    <n v="0"/>
    <m/>
    <m/>
    <m/>
    <m/>
    <m/>
    <m/>
    <m/>
    <m/>
    <m/>
    <m/>
  </r>
  <r>
    <n v="692"/>
    <s v="Colombia "/>
    <x v="0"/>
    <d v="2005-11-01T00:00:00"/>
    <d v="2006-02-01T00:00:00"/>
    <x v="6"/>
    <x v="288"/>
    <x v="15"/>
    <s v="ME no. 05ME065"/>
    <x v="0"/>
    <n v="1800"/>
    <m/>
    <n v="50000"/>
    <n v="42353.78"/>
    <n v="23.529877777777777"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93"/>
    <s v="Colombia &amp; Nicaragua"/>
    <x v="0"/>
    <d v="2005-10-01T00:00:00"/>
    <d v="2005-12-01T00:00:00"/>
    <x v="6"/>
    <x v="289"/>
    <x v="0"/>
    <m/>
    <x v="0"/>
    <n v="8000"/>
    <m/>
    <n v="150000"/>
    <n v="126715.7"/>
    <n v="15.8394625"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94"/>
    <s v="Costa Rica and Panama"/>
    <x v="0"/>
    <d v="2005-01-01T00:00:00"/>
    <d v="2005-04-01T00:00:00"/>
    <x v="6"/>
    <x v="1"/>
    <x v="1"/>
    <s v="Information bulletin n.M05ME001"/>
    <x v="2"/>
    <n v="5000"/>
    <m/>
    <m/>
    <n v="90000"/>
    <n v="18"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95"/>
    <s v="East Timor"/>
    <x v="4"/>
    <d v="2005-03-01T00:00:00"/>
    <d v="2005-07-01T00:00:00"/>
    <x v="6"/>
    <x v="16"/>
    <x v="3"/>
    <s v="ME no. 05ME017"/>
    <x v="0"/>
    <n v="4000"/>
    <n v="50000"/>
    <n v="50000"/>
    <n v="49067"/>
    <n v="12.26675"/>
    <n v="100"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96"/>
    <s v="Egypt"/>
    <x v="3"/>
    <d v="2005-07-01T00:00:00"/>
    <d v="2005-10-01T00:00:00"/>
    <x v="6"/>
    <x v="107"/>
    <x v="12"/>
    <s v="DREF operation n° 05ME044"/>
    <x v="0"/>
    <s v="missing data"/>
    <n v="0"/>
    <n v="76340"/>
    <n v="76340"/>
    <m/>
    <m/>
    <m/>
    <m/>
    <m/>
    <s v="no"/>
    <m/>
    <m/>
    <m/>
    <m/>
    <m/>
    <m/>
    <m/>
    <n v="30"/>
    <m/>
    <m/>
    <m/>
    <m/>
    <m/>
    <m/>
    <m/>
    <n v="0"/>
    <n v="0"/>
    <n v="4053"/>
    <m/>
    <m/>
    <m/>
    <m/>
    <m/>
    <m/>
    <m/>
    <m/>
  </r>
  <r>
    <n v="697"/>
    <s v="El Salvador"/>
    <x v="0"/>
    <d v="2005-05-01T00:00:00"/>
    <d v="2005-12-01T00:00:00"/>
    <x v="6"/>
    <x v="290"/>
    <x v="0"/>
    <s v="M05ME031"/>
    <x v="3"/>
    <m/>
    <m/>
    <m/>
    <n v="97862.86"/>
    <m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98"/>
    <s v="Europe"/>
    <x v="2"/>
    <d v="2005-03-01T00:00:00"/>
    <d v="2005-12-02T00:00:00"/>
    <x v="6"/>
    <x v="291"/>
    <x v="18"/>
    <s v="M05ME012"/>
    <x v="3"/>
    <m/>
    <m/>
    <m/>
    <n v="5187.62"/>
    <m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699"/>
    <s v="Honduras"/>
    <x v="0"/>
    <d v="2005-11-01T00:00:00"/>
    <d v="2006-03-01T00:00:00"/>
    <x v="6"/>
    <x v="292"/>
    <x v="0"/>
    <m/>
    <x v="0"/>
    <n v="5000"/>
    <m/>
    <n v="111000"/>
    <n v="107344.69"/>
    <n v="21.468938000000001"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700"/>
    <s v="United States"/>
    <x v="0"/>
    <d v="2005-10-01T00:00:00"/>
    <d v="2005-12-01T00:00:00"/>
    <x v="6"/>
    <x v="293"/>
    <x v="0"/>
    <s v="Final Bulletin (no. 12/2005)"/>
    <x v="2"/>
    <n v="400000"/>
    <m/>
    <m/>
    <n v="20482.12"/>
    <n v="5.1205299999999995E-2"/>
    <m/>
    <m/>
    <m/>
    <m/>
    <s v="no"/>
    <m/>
    <m/>
    <m/>
    <m/>
    <m/>
    <n v="455000"/>
    <m/>
    <m/>
    <m/>
    <m/>
    <m/>
    <m/>
    <m/>
    <m/>
    <m/>
    <n v="455000"/>
    <m/>
    <m/>
    <m/>
    <m/>
    <m/>
    <m/>
    <m/>
    <m/>
    <m/>
    <m/>
  </r>
  <r>
    <n v="701"/>
    <s v="Mozambique "/>
    <x v="1"/>
    <d v="2005-03-01T00:00:00"/>
    <d v="2005-07-01T00:00:00"/>
    <x v="6"/>
    <x v="29"/>
    <x v="10"/>
    <s v="M05ME018"/>
    <x v="3"/>
    <m/>
    <m/>
    <m/>
    <n v="17040"/>
    <m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702"/>
    <s v="Pacific"/>
    <x v="4"/>
    <d v="2005-04-01T00:00:00"/>
    <d v="2005-07-02T00:00:00"/>
    <x v="6"/>
    <x v="294"/>
    <x v="18"/>
    <s v="M05ME028"/>
    <x v="3"/>
    <m/>
    <m/>
    <m/>
    <n v="29000"/>
    <m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703"/>
    <s v="Padru - Hurricane Season Preparedness"/>
    <x v="0"/>
    <d v="2005-09-01T00:00:00"/>
    <d v="2005-12-01T00:00:00"/>
    <x v="6"/>
    <x v="295"/>
    <x v="18"/>
    <s v="Appeal No. 01.51/2004 (annual report)"/>
    <x v="1"/>
    <n v="340000"/>
    <n v="1622621"/>
    <n v="726254"/>
    <n v="726668"/>
    <n v="2.1372588235294119"/>
    <n v="44.758079674797749"/>
    <m/>
    <m/>
    <m/>
    <s v="no"/>
    <m/>
    <m/>
    <m/>
    <m/>
    <m/>
    <m/>
    <m/>
    <s v="missing data"/>
    <m/>
    <m/>
    <m/>
    <m/>
    <m/>
    <m/>
    <m/>
    <n v="0"/>
    <m/>
    <m/>
    <m/>
    <m/>
    <m/>
    <m/>
    <m/>
    <m/>
    <m/>
    <m/>
  </r>
  <r>
    <n v="704"/>
    <s v="Paraguay"/>
    <x v="0"/>
    <d v="2005-10-01T00:00:00"/>
    <d v="2005-12-01T00:00:00"/>
    <x v="6"/>
    <x v="50"/>
    <x v="6"/>
    <s v="ME no. 05ME060"/>
    <x v="0"/>
    <n v="29880"/>
    <m/>
    <n v="55000"/>
    <n v="52761.08"/>
    <n v="1.7657657295850067"/>
    <m/>
    <n v="20970"/>
    <m/>
    <n v="20970"/>
    <s v="no"/>
    <s v="missing data"/>
    <n v="20970"/>
    <m/>
    <m/>
    <n v="0"/>
    <m/>
    <m/>
    <m/>
    <m/>
    <m/>
    <m/>
    <m/>
    <m/>
    <m/>
    <m/>
    <n v="0"/>
    <m/>
    <m/>
    <m/>
    <m/>
    <m/>
    <m/>
    <m/>
    <m/>
    <m/>
    <m/>
  </r>
  <r>
    <n v="705"/>
    <s v="Peru"/>
    <x v="0"/>
    <d v="2005-09-01T00:00:00"/>
    <d v="2005-12-01T00:00:00"/>
    <x v="6"/>
    <x v="23"/>
    <x v="8"/>
    <s v="ME no. 05ME057"/>
    <x v="0"/>
    <n v="2500"/>
    <m/>
    <n v="22000"/>
    <n v="18287.16"/>
    <n v="7.314864"/>
    <m/>
    <n v="2500"/>
    <m/>
    <n v="2500"/>
    <s v="no"/>
    <m/>
    <m/>
    <m/>
    <m/>
    <n v="0"/>
    <m/>
    <m/>
    <m/>
    <m/>
    <m/>
    <m/>
    <m/>
    <m/>
    <m/>
    <m/>
    <n v="0"/>
    <m/>
    <m/>
    <m/>
    <m/>
    <m/>
    <m/>
    <m/>
    <m/>
    <m/>
    <m/>
  </r>
  <r>
    <n v="706"/>
    <s v="Russia"/>
    <x v="2"/>
    <d v="2005-12-01T00:00:00"/>
    <d v="2006-06-01T00:00:00"/>
    <x v="6"/>
    <x v="296"/>
    <x v="4"/>
    <s v="DREF operation no. 05ME071"/>
    <x v="0"/>
    <n v="4560"/>
    <n v="36000"/>
    <n v="28642"/>
    <n v="28642"/>
    <n v="6.2811403508771928"/>
    <n v="79.561111111111117"/>
    <n v="3000"/>
    <m/>
    <n v="3000"/>
    <s v="no"/>
    <n v="210"/>
    <m/>
    <n v="9546"/>
    <n v="9546"/>
    <n v="3.1819999999999999"/>
    <m/>
    <m/>
    <m/>
    <m/>
    <m/>
    <m/>
    <m/>
    <m/>
    <m/>
    <m/>
    <n v="0"/>
    <s v="-"/>
    <s v="-"/>
    <m/>
    <m/>
    <m/>
    <m/>
    <m/>
    <m/>
    <m/>
    <m/>
  </r>
  <r>
    <n v="707"/>
    <s v="Russia"/>
    <x v="2"/>
    <d v="2005-11-01T00:00:00"/>
    <d v="2005-05-01T00:00:00"/>
    <x v="6"/>
    <x v="260"/>
    <x v="10"/>
    <s v="M05ME063"/>
    <x v="3"/>
    <m/>
    <m/>
    <m/>
    <n v="2961.81"/>
    <m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708"/>
    <s v="Serbia e Montenegro"/>
    <x v="2"/>
    <d v="2005-03-01T00:00:00"/>
    <d v="2005-04-01T00:00:00"/>
    <x v="6"/>
    <x v="285"/>
    <x v="6"/>
    <s v="M05ME019"/>
    <x v="3"/>
    <m/>
    <m/>
    <m/>
    <n v="105568.06"/>
    <m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709"/>
    <s v="Sudan"/>
    <x v="1"/>
    <d v="2005-11-01T00:00:00"/>
    <d v="2007-08-01T00:00:00"/>
    <x v="6"/>
    <x v="297"/>
    <x v="3"/>
    <s v="Emergency Appeal no. 05EA025"/>
    <x v="1"/>
    <n v="145000"/>
    <n v="14097272"/>
    <n v="4088208.88"/>
    <n v="4088208.88"/>
    <n v="28.194544"/>
    <n v="29"/>
    <n v="81500"/>
    <m/>
    <n v="81500"/>
    <s v="yes"/>
    <n v="200"/>
    <n v="760000"/>
    <m/>
    <m/>
    <n v="0"/>
    <m/>
    <n v="650000"/>
    <n v="331"/>
    <n v="15"/>
    <m/>
    <m/>
    <m/>
    <m/>
    <m/>
    <m/>
    <n v="650000"/>
    <m/>
    <m/>
    <m/>
    <m/>
    <m/>
    <m/>
    <m/>
    <m/>
    <m/>
    <m/>
  </r>
  <r>
    <n v="710"/>
    <s v="Tunisia"/>
    <x v="3"/>
    <d v="2005-09-01T00:00:00"/>
    <d v="2005-07-01T00:00:00"/>
    <x v="6"/>
    <x v="298"/>
    <x v="0"/>
    <s v="No. 05ME010"/>
    <x v="0"/>
    <s v="missing data"/>
    <n v="11000"/>
    <n v="11116"/>
    <n v="11116"/>
    <m/>
    <n v="101.05454545454545"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711"/>
    <s v="Uganda"/>
    <x v="1"/>
    <d v="2005-02-01T00:00:00"/>
    <d v="2005-09-01T00:00:00"/>
    <x v="6"/>
    <x v="299"/>
    <x v="3"/>
    <s v="ME no. 05ME008"/>
    <x v="0"/>
    <n v="5000"/>
    <m/>
    <m/>
    <n v="55250"/>
    <n v="11.05"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712"/>
    <s v="Ukraine"/>
    <x v="2"/>
    <d v="2005-12-01T00:00:00"/>
    <d v="2006-01-01T00:00:00"/>
    <x v="6"/>
    <x v="300"/>
    <x v="10"/>
    <s v="M05ME072"/>
    <x v="3"/>
    <m/>
    <m/>
    <m/>
    <n v="4386.03"/>
    <m/>
    <m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713"/>
    <s v="Venezuela"/>
    <x v="0"/>
    <d v="2005-02-01T00:00:00"/>
    <m/>
    <x v="6"/>
    <x v="1"/>
    <x v="1"/>
    <s v="Bulletin no. 02/05 21 February 2005"/>
    <x v="2"/>
    <n v="5000"/>
    <m/>
    <m/>
    <n v="100000"/>
    <n v="20"/>
    <m/>
    <n v="5000"/>
    <m/>
    <n v="5000"/>
    <s v="no"/>
    <m/>
    <n v="5000"/>
    <m/>
    <m/>
    <n v="0"/>
    <n v="5000"/>
    <m/>
    <m/>
    <m/>
    <m/>
    <n v="700"/>
    <m/>
    <m/>
    <m/>
    <m/>
    <n v="5000"/>
    <m/>
    <m/>
    <m/>
    <m/>
    <m/>
    <m/>
    <m/>
    <m/>
    <m/>
    <m/>
  </r>
  <r>
    <n v="714"/>
    <s v="Yemen "/>
    <x v="3"/>
    <d v="2005-05-01T00:00:00"/>
    <d v="2005-12-01T00:00:00"/>
    <x v="6"/>
    <x v="1"/>
    <x v="1"/>
    <s v="no. 05ME029"/>
    <x v="0"/>
    <n v="400"/>
    <m/>
    <m/>
    <n v="59999.99"/>
    <n v="149.99997500000001"/>
    <m/>
    <m/>
    <m/>
    <m/>
    <s v="no"/>
    <m/>
    <m/>
    <s v="-"/>
    <n v="12"/>
    <m/>
    <m/>
    <m/>
    <m/>
    <m/>
    <m/>
    <m/>
    <m/>
    <m/>
    <m/>
    <m/>
    <n v="0"/>
    <s v="-"/>
    <s v="-"/>
    <m/>
    <m/>
    <m/>
    <m/>
    <m/>
    <m/>
    <m/>
    <m/>
  </r>
  <r>
    <n v="715"/>
    <s v="Afghanistan"/>
    <x v="4"/>
    <d v="2005-03-01T00:00:00"/>
    <d v="2006-10-01T00:00:00"/>
    <x v="6"/>
    <x v="301"/>
    <x v="1"/>
    <s v="Appeal No. 05EA005"/>
    <x v="1"/>
    <n v="70000"/>
    <n v="1648032"/>
    <n v="1546226"/>
    <n v="1546226"/>
    <n v="22.088942857142857"/>
    <n v="93.822571406380462"/>
    <m/>
    <m/>
    <m/>
    <s v="no"/>
    <m/>
    <n v="10000"/>
    <s v="-"/>
    <n v="1251"/>
    <m/>
    <m/>
    <m/>
    <m/>
    <n v="500"/>
    <m/>
    <m/>
    <m/>
    <m/>
    <m/>
    <m/>
    <n v="0"/>
    <n v="65911"/>
    <n v="71365"/>
    <m/>
    <m/>
    <m/>
    <m/>
    <m/>
    <m/>
    <m/>
    <m/>
  </r>
  <r>
    <n v="716"/>
    <s v="Central America, Mexico and Haiti"/>
    <x v="0"/>
    <d v="2005-10-01T00:00:00"/>
    <d v="2007-04-01T00:00:00"/>
    <x v="6"/>
    <x v="302"/>
    <x v="0"/>
    <s v="Appeal No. 05EA021"/>
    <x v="1"/>
    <n v="50250"/>
    <n v="6175760"/>
    <n v="5537744"/>
    <n v="5443913"/>
    <n v="108.33657711442785"/>
    <n v="89.669028589193886"/>
    <m/>
    <n v="1655"/>
    <n v="1655"/>
    <s v="yes"/>
    <m/>
    <n v="375"/>
    <n v="383915"/>
    <n v="333520"/>
    <n v="201.52265861027189"/>
    <n v="818"/>
    <n v="15757"/>
    <n v="63"/>
    <m/>
    <m/>
    <m/>
    <m/>
    <m/>
    <n v="1997"/>
    <n v="42"/>
    <n v="18572"/>
    <n v="107509"/>
    <n v="48946"/>
    <m/>
    <m/>
    <m/>
    <m/>
    <m/>
    <m/>
    <m/>
    <m/>
  </r>
  <r>
    <n v="717"/>
    <s v="China"/>
    <x v="4"/>
    <d v="2005-11-01T00:00:00"/>
    <d v="2006-02-01T00:00:00"/>
    <x v="6"/>
    <x v="303"/>
    <x v="8"/>
    <s v="Final Report M05ME070"/>
    <x v="0"/>
    <s v="missing data"/>
    <n v="130000"/>
    <n v="128762"/>
    <n v="128762"/>
    <m/>
    <n v="99.047692307692301"/>
    <m/>
    <n v="500"/>
    <n v="500"/>
    <s v="no"/>
    <m/>
    <m/>
    <m/>
    <m/>
    <n v="0"/>
    <m/>
    <m/>
    <m/>
    <m/>
    <m/>
    <m/>
    <m/>
    <m/>
    <m/>
    <m/>
    <n v="0"/>
    <m/>
    <m/>
    <m/>
    <m/>
    <m/>
    <m/>
    <m/>
    <m/>
    <m/>
    <m/>
  </r>
  <r>
    <n v="718"/>
    <s v="Russia"/>
    <x v="2"/>
    <d v="2004-09-01T00:00:00"/>
    <d v="2007-12-01T00:00:00"/>
    <x v="7"/>
    <x v="304"/>
    <x v="3"/>
    <s v="Emergency appeal n° M04EA019"/>
    <x v="1"/>
    <n v="5000"/>
    <n v="2590046"/>
    <n v="2603081"/>
    <n v="2603081"/>
    <n v="520.61620000000005"/>
    <n v="101"/>
    <s v="N/A"/>
    <s v="N/A"/>
    <s v="N/A"/>
    <s v="No "/>
    <s v="N/A"/>
    <s v="N/A"/>
    <n v="25"/>
    <n v="25"/>
    <m/>
    <n v="1000"/>
    <s v="N/A"/>
    <s v="N/A"/>
    <s v="N/A"/>
    <s v="N/A"/>
    <s v="N/A"/>
    <s v="N/A"/>
    <s v="N/A"/>
    <s v="N/A"/>
    <s v="N/A"/>
    <n v="1000"/>
    <n v="517"/>
    <n v="529"/>
    <m/>
    <s v="N/A"/>
    <s v="N/A"/>
    <s v="N/A"/>
    <s v="N/A"/>
    <s v="N/A"/>
    <s v="N/A"/>
    <s v="N/A"/>
  </r>
  <r>
    <n v="719"/>
    <s v="Democratic People’s Republic of Korea"/>
    <x v="4"/>
    <d v="2004-04-01T00:00:00"/>
    <d v="2005-04-01T00:00:00"/>
    <x v="7"/>
    <x v="305"/>
    <x v="2"/>
    <s v="Final report No M04EA012"/>
    <x v="1"/>
    <n v="127000"/>
    <n v="1683756"/>
    <n v="1562136"/>
    <n v="1562136"/>
    <n v="12.300283464566929"/>
    <n v="92.7"/>
    <n v="27000"/>
    <s v="N/A"/>
    <n v="27000"/>
    <s v="no"/>
    <s v="N/A"/>
    <s v="N/A"/>
    <n v="416000"/>
    <n v="507131"/>
    <n v="18.782629629629628"/>
    <s v="N/A"/>
    <s v="N/A"/>
    <s v="missing data"/>
    <s v="N/A"/>
    <s v="N/A"/>
    <s v="N/A"/>
    <s v="N/A"/>
    <s v="N/A"/>
    <s v="100/day"/>
    <s v="N/A"/>
    <n v="0"/>
    <n v="109000"/>
    <n v="148387"/>
    <m/>
    <s v="N/A"/>
    <s v="N/A"/>
    <s v="N/A"/>
    <s v="N/A"/>
    <s v="N/A"/>
    <s v="N/A"/>
    <s v="N/A"/>
  </r>
  <r>
    <n v="720"/>
    <s v="Morocco"/>
    <x v="3"/>
    <d v="2004-02-01T00:00:00"/>
    <d v="2005-12-01T00:00:00"/>
    <x v="7"/>
    <x v="23"/>
    <x v="8"/>
    <s v="Appeal No. M04EA006"/>
    <x v="1"/>
    <n v="30000"/>
    <n v="2832086"/>
    <n v="27373977"/>
    <n v="2508669"/>
    <n v="83.622299999999996"/>
    <n v="97"/>
    <n v="1500"/>
    <n v="1500"/>
    <n v="1500"/>
    <s v="no"/>
    <s v="N/A"/>
    <s v="N/A"/>
    <n v="101000"/>
    <n v="172"/>
    <n v="0.11466666666666667"/>
    <n v="1500"/>
    <s v="missing data"/>
    <n v="961"/>
    <s v="N/A"/>
    <s v="N/A"/>
    <s v="N/A"/>
    <s v="N/A"/>
    <s v="N/A"/>
    <s v="missing data "/>
    <s v="N/A"/>
    <n v="1500"/>
    <s v="-"/>
    <s v="-"/>
    <m/>
    <s v="N/A"/>
    <s v="N/A"/>
    <s v="N/A"/>
    <s v="N/A"/>
    <s v="N/A"/>
    <s v="N/A"/>
    <s v="N/A"/>
  </r>
  <r>
    <n v="721"/>
    <s v="Kenya"/>
    <x v="1"/>
    <d v="2004-08-01T00:00:00"/>
    <d v="2005-08-01T00:00:00"/>
    <x v="7"/>
    <x v="50"/>
    <x v="6"/>
    <s v="Appeal No. M04EA018"/>
    <x v="1"/>
    <n v="308000"/>
    <n v="2121677"/>
    <n v="1346654"/>
    <n v="1346654"/>
    <n v="4.3722532467532469"/>
    <n v="63.47"/>
    <n v="22500"/>
    <n v="26800"/>
    <n v="26800"/>
    <s v="yes"/>
    <n v="60"/>
    <n v="26800"/>
    <n v="231616"/>
    <n v="145918"/>
    <n v="5.4447014925373134"/>
    <s v="N/A"/>
    <s v="missing data"/>
    <n v="30"/>
    <s v="N/A"/>
    <s v="N/A"/>
    <s v="N/A"/>
    <s v="N/A"/>
    <s v="N/A"/>
    <s v="N/A"/>
    <s v="N/A"/>
    <n v="0"/>
    <s v="-"/>
    <s v="-"/>
    <m/>
    <s v="N/A"/>
    <s v="N/A"/>
    <s v="N/A"/>
    <s v="N/A"/>
    <s v="N/A"/>
    <s v="N/A"/>
    <s v="N/A"/>
  </r>
  <r>
    <n v="722"/>
    <s v="Bangladesh"/>
    <x v="4"/>
    <d v="2004-07-01T00:00:00"/>
    <d v="2005-06-01T00:00:00"/>
    <x v="7"/>
    <x v="1"/>
    <x v="1"/>
    <s v="Appeal No. 1504 (M04EA015)"/>
    <x v="1"/>
    <n v="1407500"/>
    <n v="7051000"/>
    <n v="6489244"/>
    <n v="6489244"/>
    <n v="4.6104753108348131"/>
    <n v="92"/>
    <s v="N/A"/>
    <s v="N/A"/>
    <s v="N/A"/>
    <s v="no"/>
    <s v="N/A"/>
    <s v="N/A"/>
    <s v="-"/>
    <s v="-"/>
    <m/>
    <s v="N/A"/>
    <s v="N/A"/>
    <s v="N/A"/>
    <s v="N/A"/>
    <s v="N/A"/>
    <s v="N/A"/>
    <s v="N/A"/>
    <s v="N/A"/>
    <n v="361323"/>
    <s v="N/A"/>
    <n v="361323"/>
    <n v="131608"/>
    <n v="124988"/>
    <m/>
    <m/>
    <m/>
    <m/>
    <m/>
    <m/>
    <s v="N/A"/>
    <s v="N/A"/>
  </r>
  <r>
    <n v="723"/>
    <s v="India"/>
    <x v="4"/>
    <d v="2004-07-01T00:00:00"/>
    <d v="2005-10-01T00:00:00"/>
    <x v="7"/>
    <x v="1"/>
    <x v="1"/>
    <s v="Appeal No. 1604 (M04EA016)"/>
    <x v="1"/>
    <n v="200000"/>
    <n v="2034912"/>
    <n v="1794373"/>
    <n v="1794373"/>
    <n v="8.9718649999999993"/>
    <n v="88.2"/>
    <n v="2000"/>
    <n v="740"/>
    <n v="2000"/>
    <s v="no"/>
    <s v="N/A"/>
    <s v="N/A"/>
    <n v="56100"/>
    <n v="49480"/>
    <n v="24.74"/>
    <s v="N/A"/>
    <s v="N/A"/>
    <n v="500"/>
    <s v="N/A"/>
    <s v="N/A"/>
    <n v="80000"/>
    <s v="N/A"/>
    <s v="N/A"/>
    <s v="N/A"/>
    <s v="N/A"/>
    <n v="0"/>
    <n v="0"/>
    <n v="160"/>
    <m/>
    <m/>
    <m/>
    <m/>
    <m/>
    <m/>
    <s v="N/A"/>
    <s v="N/A"/>
  </r>
  <r>
    <n v="724"/>
    <s v="Haiti"/>
    <x v="0"/>
    <d v="2004-09-01T00:00:00"/>
    <d v="2005-11-01T00:00:00"/>
    <x v="7"/>
    <x v="1"/>
    <x v="1"/>
    <s v="Appeal No. 2204 (M04EA022)"/>
    <x v="1"/>
    <n v="50000"/>
    <n v="11673000"/>
    <n v="4862630"/>
    <n v="4684894"/>
    <n v="93.697879999999998"/>
    <n v="41.6"/>
    <n v="15000"/>
    <n v="6385"/>
    <n v="15000"/>
    <s v="yes"/>
    <n v="48"/>
    <s v="N/A"/>
    <n v="2314437"/>
    <n v="192954"/>
    <n v="12.8636"/>
    <s v="N/A"/>
    <n v="51010"/>
    <n v="25"/>
    <s v="yes"/>
    <s v="N/A"/>
    <n v="8716"/>
    <s v="N/A"/>
    <s v="N/A"/>
    <s v="N/A"/>
    <s v="N/A"/>
    <n v="51010"/>
    <n v="15493"/>
    <n v="8915"/>
    <m/>
    <n v="1"/>
    <m/>
    <n v="1"/>
    <n v="1"/>
    <m/>
    <s v="N/A"/>
    <s v="N/A"/>
  </r>
  <r>
    <n v="725"/>
    <s v="Cuba"/>
    <x v="0"/>
    <d v="2004-09-01T00:00:00"/>
    <d v="2005-07-01T00:00:00"/>
    <x v="7"/>
    <x v="306"/>
    <x v="0"/>
    <s v="Appeal No. 2004 (M04EA020)"/>
    <x v="1"/>
    <n v="25000"/>
    <n v="2419000"/>
    <n v="268396"/>
    <n v="254101"/>
    <n v="10.16404"/>
    <n v="11.1"/>
    <s v="N/A"/>
    <s v="N/A"/>
    <s v="N/A"/>
    <s v="no"/>
    <s v="N/A"/>
    <s v="N/A"/>
    <s v="-"/>
    <s v="-"/>
    <m/>
    <s v="yes"/>
    <s v="missing data"/>
    <s v="missing data"/>
    <s v="N/A"/>
    <s v="N/A"/>
    <s v="N/A"/>
    <s v="N/A"/>
    <s v="N/A"/>
    <s v="N/A"/>
    <s v="N/A"/>
    <n v="0"/>
    <s v="-"/>
    <s v="-"/>
    <m/>
    <m/>
    <m/>
    <m/>
    <m/>
    <m/>
    <s v="N/A"/>
    <s v="N/A"/>
  </r>
  <r>
    <n v="726"/>
    <s v="Madagascar"/>
    <x v="1"/>
    <d v="2004-02-01T00:00:00"/>
    <d v="2006-06-01T00:00:00"/>
    <x v="7"/>
    <x v="307"/>
    <x v="0"/>
    <s v="Appeal No. 08/2004 Final Report"/>
    <x v="1"/>
    <n v="25000"/>
    <n v="427000"/>
    <n v="535355"/>
    <n v="501061"/>
    <n v="20.042439999999999"/>
    <n v="125.37587822014052"/>
    <m/>
    <m/>
    <m/>
    <s v="no"/>
    <n v="50"/>
    <n v="5000"/>
    <s v="-"/>
    <n v="92"/>
    <m/>
    <m/>
    <n v="5000"/>
    <n v="50"/>
    <m/>
    <m/>
    <n v="9000"/>
    <m/>
    <m/>
    <m/>
    <m/>
    <n v="5000"/>
    <s v="-"/>
    <n v="18943"/>
    <m/>
    <m/>
    <m/>
    <m/>
    <m/>
    <m/>
    <m/>
    <m/>
  </r>
  <r>
    <n v="727"/>
    <s v="Myanmar"/>
    <x v="4"/>
    <d v="2004-07-01T00:00:00"/>
    <d v="2004-09-01T00:00:00"/>
    <x v="7"/>
    <x v="308"/>
    <x v="0"/>
    <s v="Appeal No. 14/04. Final report"/>
    <x v="1"/>
    <n v="25000"/>
    <n v="413048"/>
    <n v="324266"/>
    <n v="324266"/>
    <n v="12.97064"/>
    <n v="78.5"/>
    <m/>
    <m/>
    <m/>
    <s v="no"/>
    <m/>
    <m/>
    <n v="32000"/>
    <m/>
    <m/>
    <m/>
    <m/>
    <m/>
    <s v="yes"/>
    <m/>
    <m/>
    <m/>
    <m/>
    <m/>
    <m/>
    <n v="0"/>
    <n v="1000"/>
    <n v="790"/>
    <m/>
    <m/>
    <m/>
    <m/>
    <m/>
    <m/>
    <m/>
    <m/>
  </r>
  <r>
    <n v="728"/>
    <s v="Philippines"/>
    <x v="4"/>
    <d v="2004-11-01T00:00:00"/>
    <d v="2005-08-01T00:00:00"/>
    <x v="7"/>
    <x v="309"/>
    <x v="0"/>
    <s v="Appeal No. 26/04 Final Report"/>
    <x v="1"/>
    <n v="300000"/>
    <n v="4193878"/>
    <n v="2812177"/>
    <n v="2812177"/>
    <n v="9.3739233333333338"/>
    <n v="67.054334913891154"/>
    <n v="2500"/>
    <m/>
    <n v="2500"/>
    <s v="no"/>
    <m/>
    <m/>
    <n v="81600"/>
    <n v="43047"/>
    <n v="17.218800000000002"/>
    <m/>
    <n v="50000"/>
    <m/>
    <m/>
    <m/>
    <n v="50000"/>
    <m/>
    <m/>
    <m/>
    <m/>
    <n v="50000"/>
    <n v="280000"/>
    <n v="81680"/>
    <m/>
    <m/>
    <m/>
    <m/>
    <m/>
    <m/>
    <m/>
    <m/>
  </r>
  <r>
    <n v="729"/>
    <s v="Indonesia"/>
    <x v="4"/>
    <d v="2004-01-01T00:00:00"/>
    <d v="2004-05-01T00:00:00"/>
    <x v="7"/>
    <x v="1"/>
    <x v="1"/>
    <s v="Appeal No. 02/04 Final Report"/>
    <x v="1"/>
    <n v="25000"/>
    <n v="904234"/>
    <n v="730882"/>
    <n v="730882"/>
    <n v="29.235279999999999"/>
    <n v="80.828856247387293"/>
    <n v="55086"/>
    <m/>
    <n v="55086"/>
    <s v="no"/>
    <m/>
    <m/>
    <n v="36000"/>
    <n v="26916"/>
    <n v="0.48861779762553098"/>
    <m/>
    <m/>
    <m/>
    <m/>
    <m/>
    <m/>
    <m/>
    <m/>
    <m/>
    <m/>
    <n v="0"/>
    <s v="-"/>
    <s v="-"/>
    <m/>
    <m/>
    <m/>
    <m/>
    <m/>
    <m/>
    <m/>
    <m/>
  </r>
  <r>
    <n v="730"/>
    <s v="Philippines "/>
    <x v="4"/>
    <d v="2004-01-01T00:00:00"/>
    <d v="2005-05-01T00:00:00"/>
    <x v="7"/>
    <x v="252"/>
    <x v="1"/>
    <s v="Appeal No. 03/04 Final Report"/>
    <x v="1"/>
    <n v="2825"/>
    <n v="378148"/>
    <n v="356306"/>
    <n v="356306"/>
    <n v="126.12601769911504"/>
    <n v="94.223954642097809"/>
    <m/>
    <m/>
    <m/>
    <s v="no"/>
    <m/>
    <m/>
    <n v="18182"/>
    <m/>
    <m/>
    <m/>
    <m/>
    <m/>
    <n v="56"/>
    <m/>
    <m/>
    <m/>
    <m/>
    <m/>
    <m/>
    <n v="0"/>
    <m/>
    <m/>
    <m/>
    <m/>
    <m/>
    <m/>
    <m/>
    <m/>
    <m/>
    <m/>
  </r>
  <r>
    <n v="731"/>
    <s v="Eritrea"/>
    <x v="1"/>
    <d v="2004-02-01T00:00:00"/>
    <d v="2004-11-01T00:00:00"/>
    <x v="7"/>
    <x v="50"/>
    <x v="6"/>
    <s v="Appeal No. 04/2004 Final Report"/>
    <x v="1"/>
    <n v="50000"/>
    <n v="4910430"/>
    <n v="2712305"/>
    <n v="2642908"/>
    <n v="52.858159999999998"/>
    <n v="53.822333278348331"/>
    <n v="8000"/>
    <n v="150"/>
    <n v="8000"/>
    <s v="yes"/>
    <n v="40"/>
    <n v="540"/>
    <n v="460943"/>
    <n v="47511"/>
    <n v="5.9388750000000003"/>
    <m/>
    <n v="540"/>
    <m/>
    <n v="40"/>
    <m/>
    <m/>
    <m/>
    <m/>
    <m/>
    <m/>
    <n v="540"/>
    <m/>
    <m/>
    <m/>
    <m/>
    <m/>
    <m/>
    <m/>
    <m/>
    <m/>
    <m/>
  </r>
  <r>
    <n v="732"/>
    <m/>
    <x v="1"/>
    <d v="2004-03-01T00:00:00"/>
    <d v="2004-12-01T00:00:00"/>
    <x v="7"/>
    <x v="310"/>
    <x v="3"/>
    <s v="Appeal No. 05/2004 Final Report"/>
    <x v="1"/>
    <n v="283000"/>
    <n v="4968000"/>
    <n v="193115"/>
    <n v="182307"/>
    <n v="0.6441943462897527"/>
    <n v="3.8871779388083736"/>
    <m/>
    <s v="missing data"/>
    <s v="missing data"/>
    <s v="no"/>
    <n v="14330"/>
    <m/>
    <n v="390000"/>
    <n v="1040"/>
    <m/>
    <n v="241"/>
    <n v="242026"/>
    <n v="170"/>
    <m/>
    <m/>
    <m/>
    <m/>
    <n v="44928"/>
    <m/>
    <n v="579"/>
    <n v="242267"/>
    <n v="385000"/>
    <n v="154000"/>
    <m/>
    <m/>
    <m/>
    <m/>
    <m/>
    <m/>
    <s v="yes, not specified"/>
    <m/>
  </r>
  <r>
    <n v="733"/>
    <s v="Haiti"/>
    <x v="4"/>
    <d v="2004-03-01T00:00:00"/>
    <d v="2004-12-01T00:00:00"/>
    <x v="7"/>
    <x v="286"/>
    <x v="3"/>
    <s v="Appeal No. 07/04 Final Report"/>
    <x v="1"/>
    <s v="missing data"/>
    <n v="1388000"/>
    <n v="1593978"/>
    <n v="1371667"/>
    <m/>
    <n v="114.83991354466859"/>
    <m/>
    <m/>
    <m/>
    <s v="no"/>
    <m/>
    <m/>
    <n v="107000"/>
    <n v="6084"/>
    <m/>
    <m/>
    <n v="10000"/>
    <n v="587"/>
    <m/>
    <m/>
    <m/>
    <m/>
    <m/>
    <m/>
    <m/>
    <n v="10000"/>
    <n v="90000"/>
    <n v="26040"/>
    <m/>
    <m/>
    <m/>
    <m/>
    <m/>
    <m/>
    <m/>
    <m/>
  </r>
  <r>
    <n v="734"/>
    <s v="Namibia"/>
    <x v="1"/>
    <d v="2004-04-01T00:00:00"/>
    <d v="2004-06-01T00:00:00"/>
    <x v="7"/>
    <x v="1"/>
    <x v="1"/>
    <s v="Appeal No. 09/2004 Final Report"/>
    <x v="1"/>
    <n v="50000"/>
    <n v="846000"/>
    <n v="645395"/>
    <n v="645378"/>
    <n v="12.90756"/>
    <n v="76.599999999999994"/>
    <n v="2500"/>
    <n v="1440"/>
    <n v="5000"/>
    <s v="no"/>
    <n v="29"/>
    <n v="20000"/>
    <n v="180000"/>
    <n v="72630"/>
    <n v="14.526"/>
    <m/>
    <n v="20000"/>
    <n v="42"/>
    <m/>
    <m/>
    <n v="12238"/>
    <m/>
    <m/>
    <m/>
    <m/>
    <n v="20000"/>
    <s v="-"/>
    <s v="-"/>
    <m/>
    <m/>
    <m/>
    <m/>
    <m/>
    <m/>
    <s v="yes, not specified"/>
    <m/>
  </r>
  <r>
    <n v="735"/>
    <s v="Bosnia and Herzegovina"/>
    <x v="2"/>
    <d v="2004-04-01T00:00:00"/>
    <d v="2004-07-01T00:00:00"/>
    <x v="7"/>
    <x v="1"/>
    <x v="1"/>
    <s v="Appeal No. 11/2004 Final Report"/>
    <x v="1"/>
    <n v="8412"/>
    <n v="333000"/>
    <n v="205209.85"/>
    <n v="193706.39"/>
    <n v="23.027388254873991"/>
    <n v="61.9"/>
    <m/>
    <m/>
    <m/>
    <s v="no"/>
    <m/>
    <m/>
    <m/>
    <m/>
    <m/>
    <m/>
    <m/>
    <m/>
    <m/>
    <m/>
    <m/>
    <m/>
    <m/>
    <m/>
    <m/>
    <n v="0"/>
    <m/>
    <m/>
    <m/>
    <m/>
    <m/>
    <m/>
    <m/>
    <m/>
    <m/>
    <m/>
  </r>
  <r>
    <n v="736"/>
    <s v="Domican Republic and Haiti"/>
    <x v="0"/>
    <d v="2004-05-01T00:00:00"/>
    <d v="2004-11-01T00:00:00"/>
    <x v="7"/>
    <x v="1"/>
    <x v="1"/>
    <s v="Appeal No. 13/04 Final Report"/>
    <x v="1"/>
    <n v="25000"/>
    <n v="2433000"/>
    <n v="2708530"/>
    <n v="2763073"/>
    <n v="110.52292"/>
    <n v="123.3"/>
    <n v="25355"/>
    <n v="455"/>
    <n v="25355"/>
    <m/>
    <m/>
    <n v="25000"/>
    <n v="114000"/>
    <n v="126101"/>
    <n v="4.973417471899034"/>
    <n v="25000"/>
    <n v="25000"/>
    <m/>
    <m/>
    <m/>
    <n v="10000"/>
    <m/>
    <n v="10"/>
    <m/>
    <m/>
    <n v="50000"/>
    <n v="26009"/>
    <n v="22898"/>
    <m/>
    <m/>
    <m/>
    <m/>
    <m/>
    <m/>
    <m/>
    <m/>
  </r>
  <r>
    <n v="737"/>
    <s v="Nepal "/>
    <x v="4"/>
    <d v="2004-07-01T00:00:00"/>
    <d v="2005-06-01T00:00:00"/>
    <x v="7"/>
    <x v="1"/>
    <x v="1"/>
    <s v="Appeal No. 17/2004; Final Report"/>
    <x v="1"/>
    <n v="180000"/>
    <n v="2026765"/>
    <n v="1995177"/>
    <n v="1995177"/>
    <n v="11.084316666666666"/>
    <n v="98.5"/>
    <n v="75000"/>
    <m/>
    <n v="75000"/>
    <m/>
    <m/>
    <n v="75000"/>
    <m/>
    <m/>
    <n v="0"/>
    <m/>
    <n v="75000"/>
    <m/>
    <s v="yes"/>
    <m/>
    <m/>
    <m/>
    <m/>
    <m/>
    <m/>
    <n v="75000"/>
    <m/>
    <m/>
    <m/>
    <m/>
    <m/>
    <m/>
    <m/>
    <m/>
    <m/>
    <m/>
  </r>
  <r>
    <n v="738"/>
    <s v="Carribean (Grenada, Jamaica, the Cayman Islands and Cuba)"/>
    <x v="0"/>
    <d v="2004-09-01T00:00:00"/>
    <d v="2005-03-01T00:00:00"/>
    <x v="7"/>
    <x v="311"/>
    <x v="0"/>
    <s v="Appeal No. 21/2004 Final Report"/>
    <x v="1"/>
    <n v="109000"/>
    <n v="7389000"/>
    <n v="6538879"/>
    <n v="6469731"/>
    <n v="59.355330275229356"/>
    <n v="119.5"/>
    <n v="3000"/>
    <n v="20000"/>
    <n v="20000"/>
    <m/>
    <s v="missing data"/>
    <s v="missing data"/>
    <n v="124531"/>
    <n v="6383"/>
    <n v="0.31914999999999999"/>
    <n v="225"/>
    <m/>
    <n v="39"/>
    <m/>
    <m/>
    <m/>
    <m/>
    <m/>
    <m/>
    <m/>
    <n v="225"/>
    <n v="56440"/>
    <n v="19593"/>
    <m/>
    <m/>
    <m/>
    <m/>
    <m/>
    <m/>
    <n v="1"/>
    <m/>
  </r>
  <r>
    <n v="739"/>
    <s v="Bahamas"/>
    <x v="0"/>
    <d v="2004-10-01T00:00:00"/>
    <d v="2005-03-01T00:00:00"/>
    <x v="7"/>
    <x v="312"/>
    <x v="0"/>
    <s v="Appeal No. 23/04. Final report"/>
    <x v="1"/>
    <n v="15000"/>
    <n v="958000"/>
    <n v="819936"/>
    <n v="754524"/>
    <n v="50.301600000000001"/>
    <n v="94.2"/>
    <n v="14000"/>
    <m/>
    <n v="14000"/>
    <m/>
    <m/>
    <m/>
    <n v="75000"/>
    <n v="12710"/>
    <n v="0.90785714285714281"/>
    <m/>
    <m/>
    <m/>
    <m/>
    <m/>
    <m/>
    <m/>
    <m/>
    <m/>
    <m/>
    <n v="0"/>
    <s v="-"/>
    <n v="14939"/>
    <m/>
    <m/>
    <m/>
    <m/>
    <m/>
    <m/>
    <m/>
    <m/>
  </r>
  <r>
    <n v="740"/>
    <s v="Colombia"/>
    <x v="0"/>
    <d v="2004-11-01T00:00:00"/>
    <d v="2005-08-01T00:00:00"/>
    <x v="7"/>
    <x v="1"/>
    <x v="1"/>
    <s v="Appeal No. 24/04. Final report "/>
    <x v="1"/>
    <n v="47500"/>
    <n v="1996000"/>
    <n v="429565"/>
    <n v="417135"/>
    <n v="8.7817894736842099"/>
    <n v="21.52129258517034"/>
    <m/>
    <m/>
    <m/>
    <m/>
    <m/>
    <n v="8646"/>
    <n v="21678"/>
    <n v="4769.16"/>
    <m/>
    <n v="4821"/>
    <n v="8646"/>
    <m/>
    <m/>
    <m/>
    <n v="24162"/>
    <m/>
    <m/>
    <n v="15815"/>
    <n v="1224"/>
    <n v="29282"/>
    <n v="67289"/>
    <n v="5324"/>
    <m/>
    <m/>
    <m/>
    <m/>
    <m/>
    <m/>
    <m/>
    <m/>
  </r>
  <r>
    <n v="741"/>
    <s v="Indonesia"/>
    <x v="4"/>
    <d v="2004-11-01T00:00:00"/>
    <d v="2004-12-01T00:00:00"/>
    <x v="7"/>
    <x v="23"/>
    <x v="8"/>
    <s v="Appeal No. 25/04"/>
    <x v="1"/>
    <n v="468000"/>
    <n v="1200187"/>
    <n v="406879"/>
    <n v="406879"/>
    <n v="0.86939957264957268"/>
    <n v="33.9"/>
    <m/>
    <m/>
    <m/>
    <m/>
    <m/>
    <m/>
    <m/>
    <m/>
    <m/>
    <m/>
    <m/>
    <m/>
    <m/>
    <m/>
    <n v="11126"/>
    <m/>
    <m/>
    <m/>
    <m/>
    <n v="0"/>
    <m/>
    <m/>
    <m/>
    <n v="3"/>
    <n v="2"/>
    <m/>
    <n v="1"/>
    <n v="2"/>
    <m/>
    <m/>
  </r>
  <r>
    <n v="742"/>
    <s v="West Africa (Ghana, Burkina Faso, Guinea, Liberia, Cote d'Ivoire)"/>
    <x v="1"/>
    <d v="2004-12-01T00:00:00"/>
    <d v="2005-03-01T00:00:00"/>
    <x v="7"/>
    <x v="313"/>
    <x v="3"/>
    <s v="Appeal No. 27/2004. Interim final report"/>
    <x v="1"/>
    <n v="14000"/>
    <n v="411236"/>
    <n v="19354"/>
    <n v="19354"/>
    <n v="1.3824285714285713"/>
    <n v="4.7"/>
    <m/>
    <m/>
    <m/>
    <m/>
    <m/>
    <m/>
    <m/>
    <m/>
    <m/>
    <m/>
    <m/>
    <n v="241"/>
    <s v="yes"/>
    <m/>
    <m/>
    <m/>
    <m/>
    <m/>
    <m/>
    <n v="0"/>
    <m/>
    <m/>
    <m/>
    <m/>
    <m/>
    <m/>
    <m/>
    <m/>
    <m/>
    <m/>
  </r>
  <r>
    <n v="743"/>
    <s v="Bangladesh"/>
    <x v="4"/>
    <d v="2004-04-01T00:00:00"/>
    <d v="2004-12-01T00:00:00"/>
    <x v="7"/>
    <x v="314"/>
    <x v="0"/>
    <s v="Information Bulletin (no. 03/2004)"/>
    <x v="2"/>
    <n v="10000"/>
    <n v="42000"/>
    <n v="39743.440000000002"/>
    <n v="39743.440000000002"/>
    <n v="3.9743440000000003"/>
    <n v="94.627238095238098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44"/>
    <s v="Asia "/>
    <x v="4"/>
    <d v="2004-12-01T00:00:00"/>
    <d v="2012-12-01T00:00:00"/>
    <x v="7"/>
    <x v="315"/>
    <x v="8"/>
    <s v="Appeal No. M04EA028"/>
    <x v="1"/>
    <n v="4814000"/>
    <m/>
    <n v="665262821.01999903"/>
    <n v="665262821.01999903"/>
    <n v="138.19335708766079"/>
    <m/>
    <n v="707600"/>
    <n v="342900"/>
    <n v="707600"/>
    <s v="yes"/>
    <s v="missing data"/>
    <n v="32000"/>
    <m/>
    <n v="76422331"/>
    <n v="108.00216365178066"/>
    <n v="232900"/>
    <n v="1110200"/>
    <n v="230"/>
    <n v="277600"/>
    <m/>
    <n v="70000"/>
    <m/>
    <m/>
    <m/>
    <n v="356"/>
    <n v="1343100"/>
    <m/>
    <n v="96068504"/>
    <m/>
    <m/>
    <m/>
    <m/>
    <m/>
    <m/>
    <m/>
    <m/>
  </r>
  <r>
    <n v="745"/>
    <s v="Togo"/>
    <x v="1"/>
    <d v="2004-05-01T00:00:00"/>
    <d v="2004-12-01T00:00:00"/>
    <x v="7"/>
    <x v="29"/>
    <x v="10"/>
    <s v="Information Bulletin (no. 3/2004)"/>
    <x v="2"/>
    <s v="missing data"/>
    <n v="47000"/>
    <n v="41029.47"/>
    <n v="41029.47"/>
    <m/>
    <n v="87.296744680851063"/>
    <m/>
    <m/>
    <m/>
    <m/>
    <m/>
    <m/>
    <m/>
    <m/>
    <m/>
    <m/>
    <n v="418748"/>
    <n v="493"/>
    <m/>
    <m/>
    <m/>
    <m/>
    <m/>
    <m/>
    <m/>
    <n v="418748"/>
    <m/>
    <m/>
    <m/>
    <m/>
    <m/>
    <m/>
    <m/>
    <m/>
    <m/>
    <m/>
  </r>
  <r>
    <n v="746"/>
    <s v="Madrid"/>
    <x v="2"/>
    <d v="2004-01-01T00:00:00"/>
    <d v="2004-12-01T00:00:00"/>
    <x v="7"/>
    <x v="316"/>
    <x v="12"/>
    <s v="Information Bulletin (no. 03/2004)"/>
    <x v="2"/>
    <n v="1200"/>
    <m/>
    <n v="1126.6300000000001"/>
    <n v="1126.6300000000001"/>
    <n v="0.93885833333333346"/>
    <s v="-"/>
    <m/>
    <m/>
    <m/>
    <m/>
    <m/>
    <m/>
    <m/>
    <m/>
    <m/>
    <m/>
    <m/>
    <n v="208"/>
    <m/>
    <m/>
    <m/>
    <m/>
    <m/>
    <m/>
    <m/>
    <n v="0"/>
    <m/>
    <m/>
    <m/>
    <m/>
    <m/>
    <m/>
    <m/>
    <m/>
    <m/>
    <m/>
  </r>
  <r>
    <n v="747"/>
    <s v="Tanzania"/>
    <x v="1"/>
    <d v="2004-01-01T00:00:00"/>
    <d v="2004-12-01T00:00:00"/>
    <x v="7"/>
    <x v="317"/>
    <x v="3"/>
    <s v="Information Bulletin No.1/2004"/>
    <x v="2"/>
    <n v="89000"/>
    <m/>
    <n v="17635.73"/>
    <n v="17635.73"/>
    <n v="0.19815426966292135"/>
    <s v="-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48"/>
    <s v="Serbia/Kosovo"/>
    <x v="2"/>
    <d v="2004-01-01T00:00:00"/>
    <d v="2004-12-01T00:00:00"/>
    <x v="7"/>
    <x v="318"/>
    <x v="3"/>
    <s v="Information Bulletin (no. 02/2004)"/>
    <x v="2"/>
    <s v="missing data"/>
    <m/>
    <n v="17878.18"/>
    <n v="17878.18"/>
    <m/>
    <s v="-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49"/>
    <s v="Djibouti"/>
    <x v="1"/>
    <d v="2004-01-02T00:00:00"/>
    <d v="2004-12-02T00:00:00"/>
    <x v="7"/>
    <x v="1"/>
    <x v="1"/>
    <s v="Information Bulletin (no. 3/2004)"/>
    <x v="2"/>
    <n v="3000"/>
    <m/>
    <n v="10518.77"/>
    <n v="10518.77"/>
    <n v="3.5062566666666668"/>
    <s v="-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50"/>
    <s v="Africa (Togo)"/>
    <x v="1"/>
    <d v="2004-04-01T00:00:00"/>
    <d v="2004-10-01T00:00:00"/>
    <x v="7"/>
    <x v="319"/>
    <x v="10"/>
    <s v="Appeal 10/2004 Focus on Action in Togo Programme Update no. 1"/>
    <x v="1"/>
    <n v="900000"/>
    <m/>
    <m/>
    <n v="4314010.1100000003"/>
    <n v="4.7933445666666668"/>
    <m/>
    <m/>
    <m/>
    <m/>
    <m/>
    <m/>
    <m/>
    <m/>
    <m/>
    <m/>
    <m/>
    <n v="900000"/>
    <m/>
    <m/>
    <m/>
    <n v="900000"/>
    <m/>
    <m/>
    <m/>
    <m/>
    <n v="900000"/>
    <m/>
    <m/>
    <m/>
    <m/>
    <m/>
    <m/>
    <m/>
    <m/>
    <m/>
    <m/>
  </r>
  <r>
    <n v="751"/>
    <s v="Zambia"/>
    <x v="1"/>
    <d v="2004-04-01T00:00:00"/>
    <d v="2004-12-01T00:00:00"/>
    <x v="7"/>
    <x v="1"/>
    <x v="1"/>
    <s v="Information Bulletin (no. 1/2004)"/>
    <x v="2"/>
    <n v="20000"/>
    <n v="20000"/>
    <n v="20000"/>
    <n v="20000"/>
    <n v="1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52"/>
    <s v="Colombia"/>
    <x v="0"/>
    <d v="2004-07-01T00:00:00"/>
    <d v="2004-12-01T00:00:00"/>
    <x v="7"/>
    <x v="1"/>
    <x v="1"/>
    <s v="Information Bulletin 03/2004"/>
    <x v="2"/>
    <n v="34622"/>
    <n v="50000"/>
    <n v="50000"/>
    <n v="50000"/>
    <n v="1.4441684478077523"/>
    <n v="100"/>
    <m/>
    <m/>
    <m/>
    <m/>
    <m/>
    <m/>
    <m/>
    <m/>
    <m/>
    <m/>
    <n v="2645"/>
    <m/>
    <m/>
    <m/>
    <m/>
    <m/>
    <m/>
    <m/>
    <m/>
    <n v="2645"/>
    <m/>
    <m/>
    <m/>
    <m/>
    <m/>
    <m/>
    <m/>
    <m/>
    <m/>
    <m/>
  </r>
  <r>
    <n v="753"/>
    <s v="Kenya"/>
    <x v="1"/>
    <d v="2004-05-01T00:00:00"/>
    <d v="2004-12-01T00:00:00"/>
    <x v="7"/>
    <x v="1"/>
    <x v="1"/>
    <s v="Information Bulletin (no. 2/2004)"/>
    <x v="2"/>
    <n v="7886"/>
    <m/>
    <m/>
    <n v="50000"/>
    <n v="6.3403499873192999"/>
    <s v="-"/>
    <m/>
    <m/>
    <m/>
    <m/>
    <m/>
    <m/>
    <m/>
    <m/>
    <m/>
    <m/>
    <m/>
    <n v="180"/>
    <m/>
    <m/>
    <n v="650"/>
    <m/>
    <m/>
    <m/>
    <m/>
    <n v="0"/>
    <m/>
    <m/>
    <m/>
    <m/>
    <m/>
    <m/>
    <m/>
    <m/>
    <m/>
    <m/>
  </r>
  <r>
    <n v="754"/>
    <s v="Nicaragua"/>
    <x v="0"/>
    <d v="2004-07-01T00:00:00"/>
    <d v="2004-12-01T00:00:00"/>
    <x v="7"/>
    <x v="85"/>
    <x v="1"/>
    <s v="Information Bulletin (no. 06/2004)"/>
    <x v="2"/>
    <n v="5751"/>
    <m/>
    <m/>
    <n v="425011"/>
    <n v="73.902103981916184"/>
    <s v="-"/>
    <n v="4500"/>
    <m/>
    <n v="4500"/>
    <m/>
    <m/>
    <m/>
    <m/>
    <m/>
    <n v="0"/>
    <m/>
    <m/>
    <n v="70"/>
    <m/>
    <m/>
    <m/>
    <m/>
    <m/>
    <m/>
    <m/>
    <n v="0"/>
    <m/>
    <m/>
    <m/>
    <m/>
    <m/>
    <m/>
    <m/>
    <m/>
    <m/>
    <m/>
  </r>
  <r>
    <n v="755"/>
    <s v="China"/>
    <x v="4"/>
    <d v="2004-08-01T00:00:00"/>
    <d v="2004-10-01T00:00:00"/>
    <x v="7"/>
    <x v="320"/>
    <x v="1"/>
    <s v="Information Bulletin (no. 09/2004)"/>
    <x v="2"/>
    <n v="10000"/>
    <n v="200000"/>
    <n v="200000"/>
    <n v="200000"/>
    <n v="20"/>
    <n v="100"/>
    <m/>
    <m/>
    <m/>
    <m/>
    <m/>
    <m/>
    <m/>
    <m/>
    <m/>
    <m/>
    <m/>
    <m/>
    <m/>
    <m/>
    <m/>
    <m/>
    <m/>
    <n v="2513"/>
    <m/>
    <n v="2513"/>
    <m/>
    <m/>
    <m/>
    <m/>
    <m/>
    <m/>
    <m/>
    <m/>
    <m/>
    <m/>
  </r>
  <r>
    <n v="756"/>
    <s v="Ukraine"/>
    <x v="2"/>
    <d v="2004-05-01T00:00:00"/>
    <d v="2004-12-01T00:00:00"/>
    <x v="7"/>
    <x v="321"/>
    <x v="17"/>
    <s v="Information Bulletin no. 02/2004"/>
    <x v="2"/>
    <n v="600"/>
    <n v="10000"/>
    <n v="10000"/>
    <n v="10000"/>
    <n v="16.666666666666668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57"/>
    <s v="Cameroon "/>
    <x v="1"/>
    <d v="2004-03-01T00:00:00"/>
    <d v="2004-12-01T00:00:00"/>
    <x v="7"/>
    <x v="40"/>
    <x v="10"/>
    <s v="Information Bulletin (no. 3/2004)"/>
    <x v="2"/>
    <n v="8000"/>
    <n v="20000"/>
    <n v="20000"/>
    <n v="20000"/>
    <n v="2.5"/>
    <n v="100"/>
    <m/>
    <m/>
    <m/>
    <m/>
    <m/>
    <m/>
    <m/>
    <m/>
    <m/>
    <m/>
    <n v="8000"/>
    <n v="150"/>
    <m/>
    <m/>
    <m/>
    <m/>
    <m/>
    <n v="50"/>
    <m/>
    <n v="8050"/>
    <m/>
    <m/>
    <m/>
    <m/>
    <m/>
    <m/>
    <m/>
    <m/>
    <m/>
    <m/>
  </r>
  <r>
    <n v="758"/>
    <s v="Sudan"/>
    <x v="1"/>
    <d v="2004-06-01T00:00:00"/>
    <d v="2004-12-01T00:00:00"/>
    <x v="7"/>
    <x v="322"/>
    <x v="18"/>
    <m/>
    <x v="3"/>
    <m/>
    <m/>
    <m/>
    <n v="68920.59"/>
    <m/>
    <s v="-"/>
    <m/>
    <m/>
    <m/>
    <m/>
    <m/>
    <m/>
    <m/>
    <m/>
    <m/>
    <m/>
    <m/>
    <m/>
    <m/>
    <m/>
    <m/>
    <m/>
    <m/>
    <m/>
    <m/>
    <n v="0"/>
    <m/>
    <m/>
    <m/>
    <m/>
    <m/>
    <m/>
    <m/>
    <n v="3"/>
    <m/>
    <m/>
  </r>
  <r>
    <n v="759"/>
    <s v="Egypt"/>
    <x v="3"/>
    <d v="2004-08-01T00:00:00"/>
    <d v="2004-12-01T00:00:00"/>
    <x v="7"/>
    <x v="323"/>
    <x v="3"/>
    <s v="Information Bulletin (no. 1/2004)"/>
    <x v="2"/>
    <n v="2500"/>
    <n v="75000"/>
    <n v="75000"/>
    <n v="75000"/>
    <n v="30"/>
    <n v="100"/>
    <m/>
    <n v="240"/>
    <n v="240"/>
    <m/>
    <m/>
    <m/>
    <m/>
    <m/>
    <n v="0"/>
    <m/>
    <n v="1600"/>
    <m/>
    <m/>
    <m/>
    <m/>
    <m/>
    <m/>
    <m/>
    <m/>
    <n v="1600"/>
    <m/>
    <m/>
    <m/>
    <m/>
    <m/>
    <m/>
    <m/>
    <m/>
    <m/>
    <m/>
  </r>
  <r>
    <n v="760"/>
    <s v="Uganda"/>
    <x v="1"/>
    <d v="2004-08-01T00:00:00"/>
    <d v="2004-12-01T00:00:00"/>
    <x v="7"/>
    <x v="324"/>
    <x v="18"/>
    <m/>
    <x v="3"/>
    <m/>
    <m/>
    <m/>
    <n v="24025.5"/>
    <m/>
    <s v="-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61"/>
    <s v="Caribbean"/>
    <x v="0"/>
    <d v="2004-09-01T00:00:00"/>
    <d v="2004-12-01T00:00:00"/>
    <x v="7"/>
    <x v="325"/>
    <x v="0"/>
    <s v="Information Bulletin (no. 06/2004)"/>
    <x v="2"/>
    <n v="20000"/>
    <n v="70000"/>
    <n v="70000"/>
    <n v="70000"/>
    <n v="3.5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62"/>
    <s v="Panama"/>
    <x v="0"/>
    <d v="2004-09-01T00:00:00"/>
    <d v="2004-12-01T00:00:00"/>
    <x v="7"/>
    <x v="1"/>
    <x v="1"/>
    <s v="Information Bulletin (no. 01/2004)"/>
    <x v="2"/>
    <n v="2500"/>
    <n v="50000"/>
    <n v="50000"/>
    <n v="50000"/>
    <n v="20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63"/>
    <s v="Caribbean"/>
    <x v="0"/>
    <d v="2004-09-02T00:00:00"/>
    <d v="2004-12-02T00:00:00"/>
    <x v="7"/>
    <x v="326"/>
    <x v="0"/>
    <s v="Information Bulletin (no. 02/2004)"/>
    <x v="2"/>
    <n v="13216"/>
    <n v="100000"/>
    <n v="100000"/>
    <n v="100000"/>
    <n v="7.566585956416465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yes"/>
  </r>
  <r>
    <n v="764"/>
    <s v="Rwanda"/>
    <x v="1"/>
    <d v="2004-10-01T00:00:00"/>
    <d v="2005-04-01T00:00:00"/>
    <x v="7"/>
    <x v="327"/>
    <x v="3"/>
    <s v="Information Bulletin (no. 01/2004)"/>
    <x v="2"/>
    <n v="3250"/>
    <n v="50000"/>
    <n v="50000"/>
    <n v="50000"/>
    <n v="15.384615384615385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65"/>
    <s v="Guinea &amp; Sierra Leone"/>
    <x v="1"/>
    <d v="2004-09-01T00:00:00"/>
    <d v="2004-12-01T00:00:00"/>
    <x v="7"/>
    <x v="44"/>
    <x v="10"/>
    <s v="Information Bulletin (no. 3/2004)"/>
    <x v="2"/>
    <n v="4000"/>
    <n v="122000"/>
    <n v="122000"/>
    <n v="122000"/>
    <n v="30.5"/>
    <n v="100"/>
    <m/>
    <m/>
    <m/>
    <m/>
    <m/>
    <m/>
    <m/>
    <m/>
    <m/>
    <m/>
    <n v="4000"/>
    <m/>
    <m/>
    <m/>
    <m/>
    <m/>
    <m/>
    <m/>
    <m/>
    <n v="4000"/>
    <m/>
    <m/>
    <m/>
    <m/>
    <m/>
    <m/>
    <m/>
    <m/>
    <m/>
    <m/>
  </r>
  <r>
    <n v="766"/>
    <s v="Tajikistan"/>
    <x v="2"/>
    <d v="2004-07-01T00:00:00"/>
    <d v="2004-11-01T00:00:00"/>
    <x v="7"/>
    <x v="328"/>
    <x v="18"/>
    <m/>
    <x v="3"/>
    <m/>
    <m/>
    <m/>
    <n v="108928.09"/>
    <m/>
    <s v="-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67"/>
    <s v="Paraguay"/>
    <x v="0"/>
    <d v="2004-08-01T00:00:00"/>
    <d v="2005-03-01T00:00:00"/>
    <x v="7"/>
    <x v="329"/>
    <x v="3"/>
    <s v="Information Bulletin (no. 02/2004)"/>
    <x v="2"/>
    <n v="3000"/>
    <n v="9300"/>
    <n v="9300"/>
    <n v="9300"/>
    <n v="3.1"/>
    <n v="100"/>
    <m/>
    <m/>
    <m/>
    <m/>
    <m/>
    <m/>
    <m/>
    <m/>
    <m/>
    <m/>
    <n v="3000"/>
    <n v="50"/>
    <m/>
    <m/>
    <m/>
    <m/>
    <m/>
    <n v="500"/>
    <m/>
    <n v="3500"/>
    <m/>
    <m/>
    <m/>
    <m/>
    <m/>
    <m/>
    <m/>
    <m/>
    <m/>
    <m/>
  </r>
  <r>
    <n v="768"/>
    <s v="Senegal"/>
    <x v="1"/>
    <d v="2004-10-01T00:00:00"/>
    <d v="2004-12-01T00:00:00"/>
    <x v="7"/>
    <x v="29"/>
    <x v="10"/>
    <s v="Information Bulletin (no. 1/2004)"/>
    <x v="2"/>
    <n v="475"/>
    <n v="27000"/>
    <n v="27000"/>
    <n v="27000"/>
    <n v="56.842105263157897"/>
    <n v="100"/>
    <m/>
    <m/>
    <m/>
    <m/>
    <m/>
    <m/>
    <m/>
    <m/>
    <m/>
    <m/>
    <m/>
    <m/>
    <m/>
    <m/>
    <m/>
    <m/>
    <m/>
    <n v="72"/>
    <m/>
    <n v="72"/>
    <m/>
    <m/>
    <m/>
    <m/>
    <m/>
    <m/>
    <m/>
    <m/>
    <m/>
    <m/>
  </r>
  <r>
    <n v="769"/>
    <s v="Central African Republic"/>
    <x v="1"/>
    <d v="2004-11-01T00:00:00"/>
    <d v="2005-02-01T00:00:00"/>
    <x v="7"/>
    <x v="1"/>
    <x v="1"/>
    <s v="Information Bulletin (No. 2/2004)"/>
    <x v="2"/>
    <n v="500"/>
    <n v="20000"/>
    <n v="20000"/>
    <n v="20000"/>
    <n v="40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70"/>
    <s v="Costa Rica"/>
    <x v="0"/>
    <d v="2004-11-01T00:00:00"/>
    <d v="2005-11-01T00:00:00"/>
    <x v="7"/>
    <x v="1"/>
    <x v="1"/>
    <s v="Information Bulletin (no. 01/2004)"/>
    <x v="2"/>
    <n v="5000"/>
    <n v="40000"/>
    <n v="40000"/>
    <n v="40000"/>
    <n v="8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71"/>
    <s v="Panama"/>
    <x v="0"/>
    <d v="2004-08-01T00:00:00"/>
    <d v="2005-01-01T00:00:00"/>
    <x v="7"/>
    <x v="1"/>
    <x v="1"/>
    <s v="Information Bulletin (no. 01/2004)"/>
    <x v="2"/>
    <n v="2500"/>
    <n v="50000"/>
    <n v="50000"/>
    <n v="50000"/>
    <n v="20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72"/>
    <s v="Albania"/>
    <x v="2"/>
    <d v="2004-11-01T00:00:00"/>
    <d v="2005-01-01T00:00:00"/>
    <x v="7"/>
    <x v="1"/>
    <x v="1"/>
    <s v="Bulletin No. 2/2004"/>
    <x v="2"/>
    <n v="2500"/>
    <n v="80427"/>
    <n v="80427"/>
    <n v="80427"/>
    <n v="32.1708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73"/>
    <s v="Colombia"/>
    <x v="0"/>
    <d v="2004-01-01T00:00:00"/>
    <d v="2004-12-01T00:00:00"/>
    <x v="7"/>
    <x v="330"/>
    <x v="8"/>
    <s v="Information Bulletin 02/2004"/>
    <x v="2"/>
    <n v="8016"/>
    <n v="50000"/>
    <n v="50000"/>
    <n v="49992.959999999999"/>
    <n v="6.2366467065868259"/>
    <n v="1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</r>
  <r>
    <n v="774"/>
    <s v="Zambia"/>
    <x v="1"/>
    <d v="2004-12-01T00:00:00"/>
    <d v="2004-02-01T00:00:00"/>
    <x v="7"/>
    <x v="44"/>
    <x v="10"/>
    <s v="Information Bulletin N° 2/2004"/>
    <x v="2"/>
    <n v="5865"/>
    <n v="50000"/>
    <n v="50000"/>
    <n v="46909.22"/>
    <n v="7.998161977834612"/>
    <n v="100"/>
    <m/>
    <m/>
    <m/>
    <m/>
    <m/>
    <m/>
    <m/>
    <m/>
    <m/>
    <m/>
    <n v="5865"/>
    <n v="100"/>
    <m/>
    <m/>
    <m/>
    <m/>
    <m/>
    <m/>
    <m/>
    <n v="5865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SUM Values" updatedVersion="3" minRefreshableVersion="3" showCalcMbrs="0" useAutoFormatting="1" itemPrintTitles="1" createdVersion="3" indent="0" outline="1" outlineData="1" multipleFieldFilters="0">
  <location ref="A5:Q15" firstHeaderRow="1" firstDataRow="2" firstDataCol="1" rowPageCount="3" colPageCount="1"/>
  <pivotFields count="46">
    <pivotField showAll="0"/>
    <pivotField showAll="0"/>
    <pivotField axis="axisPage" multipleItemSelectionAllowed="1" showAll="0">
      <items count="7">
        <item x="1"/>
        <item x="0"/>
        <item x="4"/>
        <item x="2"/>
        <item x="5"/>
        <item x="3"/>
        <item t="default"/>
      </items>
    </pivotField>
    <pivotField numFmtId="14" showAll="0"/>
    <pivotField showAll="0"/>
    <pivotField axis="axisRow" showAll="0">
      <items count="9"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Page" showAll="0">
      <items count="20">
        <item x="3"/>
        <item x="10"/>
        <item x="8"/>
        <item x="15"/>
        <item x="16"/>
        <item x="9"/>
        <item x="6"/>
        <item x="11"/>
        <item x="1"/>
        <item x="14"/>
        <item x="13"/>
        <item x="5"/>
        <item x="7"/>
        <item x="0"/>
        <item x="18"/>
        <item x="4"/>
        <item x="17"/>
        <item x="12"/>
        <item x="2"/>
        <item t="default"/>
      </items>
    </pivotField>
    <pivotField showAll="0"/>
    <pivotField axis="axisPage" showAll="0">
      <items count="5">
        <item x="0"/>
        <item x="1"/>
        <item x="2"/>
        <item x="3"/>
        <item t="default"/>
      </items>
    </pivotField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showAll="0" defaultSubtota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 defaultSubtota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3">
    <pageField fld="2" hier="-1"/>
    <pageField fld="7" hier="-1"/>
    <pageField fld="9" hier="-1"/>
  </pageFields>
  <dataFields count="16">
    <dataField name="Sum of Total Targeted Beneficiaries " fld="10" baseField="0" baseItem="0"/>
    <dataField name="Sum of Total Expenditure (CHF)" fld="13" baseField="0" baseItem="0"/>
    <dataField name="Average of Cost per beneficiary" fld="14" subtotal="average" baseField="0" baseItem="0"/>
    <dataField name="Average of Appeal Coverage (%)" fld="15" subtotal="average" baseField="0" baseItem="0"/>
    <dataField name="Sum of Water  Beneficiaries" fld="16" baseField="0" baseItem="0"/>
    <dataField name="Sum of Sanitation  Beneficiaries" fld="17" baseField="0" baseItem="0"/>
    <dataField name="Sum of Total WatSan/HP" fld="18" baseField="0" baseItem="0"/>
    <dataField name="Sum of Total Trained Volunteers " fld="20" baseField="0" baseItem="0"/>
    <dataField name="Sum of Water, Sanitation &amp; Hygene Expenditures (CHF)" fld="23" baseField="0" baseItem="0"/>
    <dataField name="Average of Cost/beneficiary (Watsan)" fld="24" subtotal="average" baseField="0" baseItem="0"/>
    <dataField name="Sum of Psychosocial Programs' Beneficiaries" fld="25" baseField="0" baseItem="0"/>
    <dataField name="Sum of Health Promotion/Prevention Beneficiaries" fld="26" baseField="0" baseItem="0"/>
    <dataField name="Sum of  No. of Volunteers " fld="27" baseField="0" baseItem="0"/>
    <dataField name="Sum of No. of Distributed Mosquito Nets" fld="30" baseField="0" baseItem="0"/>
    <dataField name="Sum of Clinical Treatments" fld="33" baseField="0" baseItem="0"/>
    <dataField name="Sum of Medical &amp; First Aid Expenditures (CHF)" fld="37" baseField="0" baseItem="0"/>
  </dataFields>
  <formats count="10">
    <format dxfId="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0">
      <pivotArea dataOnly="0" labelOnly="1" outline="0" fieldPosition="0">
        <references count="1">
          <reference field="4294967294" count="6">
            <x v="4"/>
            <x v="5"/>
            <x v="6"/>
            <x v="7"/>
            <x v="8"/>
            <x v="9"/>
          </reference>
        </references>
      </pivotArea>
    </format>
    <format dxfId="39">
      <pivotArea dataOnly="0" labelOnly="1" outline="0" fieldPosition="0">
        <references count="1">
          <reference field="4294967294" count="5">
            <x v="10"/>
            <x v="11"/>
            <x v="12"/>
            <x v="13"/>
            <x v="14"/>
          </reference>
        </references>
      </pivotArea>
    </format>
    <format dxfId="38">
      <pivotArea dataOnly="0" labelOnly="1" outline="0" fieldPosition="0">
        <references count="1">
          <reference field="4294967294" count="2">
            <x v="14"/>
            <x v="15"/>
          </reference>
        </references>
      </pivotArea>
    </format>
    <format dxfId="37">
      <pivotArea field="-2" type="button" dataOnly="0" labelOnly="1" outline="0" axis="axisCol" fieldPosition="0"/>
    </format>
    <format dxfId="36">
      <pivotArea type="topRight" dataOnly="0" labelOnly="1" outline="0" fieldPosition="0"/>
    </format>
    <format dxfId="35">
      <pivotArea type="all" dataOnly="0" outline="0" fieldPosition="0"/>
    </format>
    <format dxfId="34">
      <pivotArea type="all" dataOnly="0" outline="0" fieldPosition="0"/>
    </format>
    <format dxfId="33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AVERAGE Values" updatedVersion="3" minRefreshableVersion="3" showCalcMbrs="0" showDrill="0" useAutoFormatting="1" itemPrintTitles="1" createdVersion="3" indent="0" outline="1" outlineData="1" multipleFieldFilters="0">
  <location ref="A18:S26" firstHeaderRow="1" firstDataRow="2" firstDataCol="1" rowPageCount="3" colPageCount="1"/>
  <pivotFields count="46">
    <pivotField showAll="0"/>
    <pivotField showAll="0"/>
    <pivotField axis="axisRow" showAll="0">
      <items count="7">
        <item x="1"/>
        <item x="0"/>
        <item x="4"/>
        <item x="2"/>
        <item x="5"/>
        <item x="3"/>
        <item t="default"/>
      </items>
    </pivotField>
    <pivotField numFmtId="14" showAll="0"/>
    <pivotField showAll="0"/>
    <pivotField axis="axisPage" showAll="0">
      <items count="9"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332">
        <item x="149"/>
        <item x="329"/>
        <item x="163"/>
        <item x="263"/>
        <item x="141"/>
        <item x="181"/>
        <item x="244"/>
        <item x="272"/>
        <item x="146"/>
        <item x="310"/>
        <item x="156"/>
        <item x="284"/>
        <item x="260"/>
        <item x="300"/>
        <item x="242"/>
        <item x="131"/>
        <item x="316"/>
        <item x="3"/>
        <item x="107"/>
        <item x="154"/>
        <item x="250"/>
        <item x="210"/>
        <item x="287"/>
        <item x="82"/>
        <item x="102"/>
        <item x="58"/>
        <item x="202"/>
        <item x="29"/>
        <item x="34"/>
        <item x="40"/>
        <item x="234"/>
        <item x="189"/>
        <item x="165"/>
        <item x="270"/>
        <item x="238"/>
        <item x="59"/>
        <item x="39"/>
        <item x="44"/>
        <item x="68"/>
        <item x="136"/>
        <item x="126"/>
        <item x="22"/>
        <item x="17"/>
        <item x="318"/>
        <item x="100"/>
        <item x="191"/>
        <item x="51"/>
        <item x="299"/>
        <item x="236"/>
        <item x="308"/>
        <item x="137"/>
        <item x="30"/>
        <item x="208"/>
        <item x="307"/>
        <item x="80"/>
        <item x="216"/>
        <item x="103"/>
        <item x="161"/>
        <item x="178"/>
        <item x="261"/>
        <item x="166"/>
        <item x="99"/>
        <item x="190"/>
        <item x="214"/>
        <item x="207"/>
        <item x="243"/>
        <item x="322"/>
        <item x="31"/>
        <item x="179"/>
        <item x="134"/>
        <item x="45"/>
        <item x="229"/>
        <item x="259"/>
        <item x="291"/>
        <item x="50"/>
        <item x="32"/>
        <item x="130"/>
        <item x="23"/>
        <item x="167"/>
        <item x="218"/>
        <item x="125"/>
        <item x="330"/>
        <item x="187"/>
        <item x="279"/>
        <item x="177"/>
        <item x="127"/>
        <item x="224"/>
        <item x="198"/>
        <item x="60"/>
        <item x="213"/>
        <item x="86"/>
        <item x="65"/>
        <item x="275"/>
        <item x="164"/>
        <item x="168"/>
        <item x="5"/>
        <item x="280"/>
        <item x="321"/>
        <item x="128"/>
        <item x="241"/>
        <item x="120"/>
        <item x="94"/>
        <item x="200"/>
        <item x="33"/>
        <item x="7"/>
        <item x="78"/>
        <item x="74"/>
        <item x="36"/>
        <item x="160"/>
        <item x="320"/>
        <item x="222"/>
        <item x="282"/>
        <item x="1"/>
        <item x="24"/>
        <item x="14"/>
        <item x="196"/>
        <item x="129"/>
        <item x="47"/>
        <item x="148"/>
        <item x="28"/>
        <item x="209"/>
        <item x="43"/>
        <item x="253"/>
        <item x="105"/>
        <item x="220"/>
        <item x="97"/>
        <item x="276"/>
        <item x="139"/>
        <item x="271"/>
        <item x="302"/>
        <item x="245"/>
        <item x="12"/>
        <item x="157"/>
        <item x="197"/>
        <item x="194"/>
        <item x="20"/>
        <item x="255"/>
        <item x="106"/>
        <item x="317"/>
        <item x="16"/>
        <item x="72"/>
        <item x="184"/>
        <item x="162"/>
        <item x="64"/>
        <item x="153"/>
        <item x="264"/>
        <item x="21"/>
        <item x="49"/>
        <item x="211"/>
        <item x="237"/>
        <item x="192"/>
        <item x="219"/>
        <item x="233"/>
        <item x="256"/>
        <item x="13"/>
        <item x="145"/>
        <item x="53"/>
        <item x="159"/>
        <item x="304"/>
        <item x="297"/>
        <item x="232"/>
        <item x="204"/>
        <item x="273"/>
        <item x="96"/>
        <item x="312"/>
        <item x="249"/>
        <item x="289"/>
        <item x="306"/>
        <item x="221"/>
        <item x="111"/>
        <item x="230"/>
        <item x="325"/>
        <item x="6"/>
        <item x="311"/>
        <item x="326"/>
        <item x="152"/>
        <item x="293"/>
        <item x="172"/>
        <item x="76"/>
        <item x="158"/>
        <item x="69"/>
        <item x="267"/>
        <item x="269"/>
        <item x="239"/>
        <item x="169"/>
        <item x="89"/>
        <item x="203"/>
        <item x="73"/>
        <item x="303"/>
        <item x="265"/>
        <item x="298"/>
        <item x="133"/>
        <item x="254"/>
        <item x="144"/>
        <item x="114"/>
        <item x="252"/>
        <item x="123"/>
        <item x="26"/>
        <item x="319"/>
        <item x="257"/>
        <item x="225"/>
        <item x="266"/>
        <item x="247"/>
        <item x="274"/>
        <item x="212"/>
        <item x="118"/>
        <item x="57"/>
        <item x="93"/>
        <item x="56"/>
        <item x="35"/>
        <item x="91"/>
        <item x="223"/>
        <item x="143"/>
        <item x="55"/>
        <item x="188"/>
        <item x="117"/>
        <item x="217"/>
        <item x="63"/>
        <item x="108"/>
        <item x="205"/>
        <item x="262"/>
        <item x="85"/>
        <item x="124"/>
        <item x="42"/>
        <item x="248"/>
        <item x="199"/>
        <item x="323"/>
        <item x="201"/>
        <item x="142"/>
        <item x="327"/>
        <item x="115"/>
        <item x="193"/>
        <item x="54"/>
        <item x="61"/>
        <item x="83"/>
        <item x="95"/>
        <item x="10"/>
        <item x="109"/>
        <item x="4"/>
        <item x="9"/>
        <item x="183"/>
        <item x="235"/>
        <item x="313"/>
        <item x="38"/>
        <item x="75"/>
        <item x="295"/>
        <item x="101"/>
        <item x="70"/>
        <item x="132"/>
        <item x="215"/>
        <item x="240"/>
        <item x="170"/>
        <item x="79"/>
        <item x="104"/>
        <item x="87"/>
        <item x="231"/>
        <item x="18"/>
        <item x="2"/>
        <item x="112"/>
        <item x="19"/>
        <item x="285"/>
        <item x="286"/>
        <item x="206"/>
        <item x="228"/>
        <item x="296"/>
        <item x="301"/>
        <item x="226"/>
        <item x="150"/>
        <item x="122"/>
        <item x="281"/>
        <item x="258"/>
        <item x="246"/>
        <item x="88"/>
        <item x="182"/>
        <item x="138"/>
        <item x="268"/>
        <item x="314"/>
        <item x="305"/>
        <item x="27"/>
        <item x="147"/>
        <item x="98"/>
        <item x="15"/>
        <item x="113"/>
        <item x="290"/>
        <item x="66"/>
        <item x="171"/>
        <item x="173"/>
        <item x="292"/>
        <item x="110"/>
        <item x="77"/>
        <item x="195"/>
        <item x="0"/>
        <item x="41"/>
        <item x="315"/>
        <item x="309"/>
        <item x="283"/>
        <item x="155"/>
        <item x="185"/>
        <item x="151"/>
        <item x="227"/>
        <item x="71"/>
        <item x="48"/>
        <item x="251"/>
        <item x="25"/>
        <item x="186"/>
        <item x="84"/>
        <item x="37"/>
        <item x="8"/>
        <item x="90"/>
        <item x="119"/>
        <item x="11"/>
        <item x="121"/>
        <item x="174"/>
        <item x="175"/>
        <item x="288"/>
        <item x="140"/>
        <item x="81"/>
        <item x="277"/>
        <item x="328"/>
        <item x="294"/>
        <item x="135"/>
        <item x="116"/>
        <item x="67"/>
        <item x="180"/>
        <item x="176"/>
        <item x="278"/>
        <item x="46"/>
        <item x="62"/>
        <item x="52"/>
        <item x="92"/>
        <item x="324"/>
        <item t="default"/>
      </items>
    </pivotField>
    <pivotField showAll="0"/>
    <pivotField showAll="0"/>
    <pivotField axis="axisPage" showAll="0">
      <items count="5">
        <item x="0"/>
        <item x="1"/>
        <item x="2"/>
        <item x="3"/>
        <item t="default"/>
      </items>
    </pivotField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 defaultSubtota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dataField="1" showAll="0" defaultSubtota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pageFields count="3">
    <pageField fld="5" hier="-1"/>
    <pageField fld="6" hier="-1"/>
    <pageField fld="9" hier="-1"/>
  </pageFields>
  <dataFields count="18">
    <dataField name="Average of Total Targeted Beneficiaries " fld="10" subtotal="average" baseField="0" baseItem="0"/>
    <dataField name="Average of Total Expenditure (CHF)" fld="13" subtotal="average" baseField="0" baseItem="0"/>
    <dataField name="Average of Cost per beneficiary" fld="14" subtotal="average" baseField="0" baseItem="0"/>
    <dataField name="Average of Appeal Coverage (%)" fld="15" subtotal="average" baseField="0" baseItem="0"/>
    <dataField name="Average of Water  Beneficiaries" fld="16" subtotal="average" baseField="0" baseItem="0"/>
    <dataField name="Average of Sanitation  Beneficiaries" fld="17" subtotal="average" baseField="0" baseItem="0"/>
    <dataField name="Average of Total WatSan/HP" fld="18" subtotal="average" baseField="0" baseItem="0"/>
    <dataField name="Average of Water, Sanitation &amp; Hygene Expenditures (CHF)" fld="23" subtotal="average" baseField="0" baseItem="0"/>
    <dataField name="Average of Total Trained Volunteers " fld="20" subtotal="average" baseField="0" baseItem="0"/>
    <dataField name="Average of Total  HP Beneficiaries " fld="21" subtotal="average" baseField="0" baseItem="0"/>
    <dataField name="Average of Cost/beneficiary (Watsan)" fld="24" subtotal="average" baseField="0" baseItem="0"/>
    <dataField name="Average of Psychosocial Programs' Beneficiaries" fld="25" subtotal="average" baseField="0" baseItem="0"/>
    <dataField name="Average of  No. of Volunteers " fld="27" subtotal="average" baseField="0" baseItem="0"/>
    <dataField name="Average of Health Promotion/Prevention Beneficiaries" fld="26" subtotal="average" baseField="0" baseItem="0"/>
    <dataField name="Average of No. of Distributed Mosquito Nets" fld="30" subtotal="average" baseField="0" baseItem="0"/>
    <dataField name="Average of Clinical Treatments" fld="33" subtotal="average" baseField="0" baseItem="0"/>
    <dataField name="Average of Total (PSS, prev, clinical)" fld="35" subtotal="average" baseField="0" baseItem="0"/>
    <dataField name="Average of Medical &amp; First Aid Expenditures (CHF)" fld="37" subtotal="average" baseField="0" baseItem="0"/>
  </dataFields>
  <formats count="10">
    <format dxfId="2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">
      <pivotArea dataOnly="0" labelOnly="1" outline="0" fieldPosition="0">
        <references count="1">
          <reference field="4294967294" count="5">
            <x v="4"/>
            <x v="5"/>
            <x v="6"/>
            <x v="8"/>
            <x v="10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8">
      <pivotArea dataOnly="0" labelOnly="1" outline="0" fieldPosition="0">
        <references count="1">
          <reference field="4294967294" count="6">
            <x v="11"/>
            <x v="12"/>
            <x v="13"/>
            <x v="14"/>
            <x v="15"/>
            <x v="17"/>
          </reference>
        </references>
      </pivotArea>
    </format>
    <format dxfId="17">
      <pivotArea type="all" dataOnly="0" outline="0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2">
      <pivotArea field="-2" type="button" dataOnly="0" labelOnly="1" outline="0" axis="axisCol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SUM Values" updatedVersion="3" minRefreshableVersion="3" showCalcMbrs="0" showDrill="0" useAutoFormatting="1" itemPrintTitles="1" createdVersion="3" indent="0" outline="1" outlineData="1" multipleFieldFilters="0">
  <location ref="A5:S13" firstHeaderRow="1" firstDataRow="2" firstDataCol="1" rowPageCount="3" colPageCount="1"/>
  <pivotFields count="46">
    <pivotField showAll="0"/>
    <pivotField showAll="0"/>
    <pivotField axis="axisRow" showAll="0">
      <items count="7">
        <item x="1"/>
        <item x="0"/>
        <item x="4"/>
        <item x="2"/>
        <item x="5"/>
        <item x="3"/>
        <item t="default"/>
      </items>
    </pivotField>
    <pivotField numFmtId="14" showAll="0"/>
    <pivotField showAll="0"/>
    <pivotField axis="axisPage" multipleItemSelectionAllowed="1" showAll="0">
      <items count="9"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332">
        <item x="149"/>
        <item x="329"/>
        <item x="163"/>
        <item x="263"/>
        <item x="141"/>
        <item x="181"/>
        <item x="244"/>
        <item x="272"/>
        <item x="146"/>
        <item x="310"/>
        <item x="156"/>
        <item x="284"/>
        <item x="260"/>
        <item x="300"/>
        <item x="242"/>
        <item x="131"/>
        <item x="316"/>
        <item x="3"/>
        <item x="107"/>
        <item x="154"/>
        <item x="250"/>
        <item x="210"/>
        <item x="287"/>
        <item x="82"/>
        <item x="102"/>
        <item x="58"/>
        <item x="202"/>
        <item x="29"/>
        <item x="34"/>
        <item x="40"/>
        <item x="234"/>
        <item x="189"/>
        <item x="165"/>
        <item x="270"/>
        <item x="238"/>
        <item x="59"/>
        <item x="39"/>
        <item x="44"/>
        <item x="68"/>
        <item x="136"/>
        <item x="126"/>
        <item x="22"/>
        <item x="17"/>
        <item x="318"/>
        <item x="100"/>
        <item x="191"/>
        <item x="51"/>
        <item x="299"/>
        <item x="236"/>
        <item x="308"/>
        <item x="137"/>
        <item x="30"/>
        <item x="208"/>
        <item x="307"/>
        <item x="80"/>
        <item x="216"/>
        <item x="103"/>
        <item x="161"/>
        <item x="178"/>
        <item x="261"/>
        <item x="166"/>
        <item x="99"/>
        <item x="190"/>
        <item x="214"/>
        <item x="207"/>
        <item x="243"/>
        <item x="322"/>
        <item x="31"/>
        <item x="179"/>
        <item x="134"/>
        <item x="45"/>
        <item x="229"/>
        <item x="259"/>
        <item x="291"/>
        <item x="50"/>
        <item x="32"/>
        <item x="130"/>
        <item x="23"/>
        <item x="167"/>
        <item x="218"/>
        <item x="125"/>
        <item x="330"/>
        <item x="187"/>
        <item x="279"/>
        <item x="177"/>
        <item x="127"/>
        <item x="224"/>
        <item x="198"/>
        <item x="60"/>
        <item x="213"/>
        <item x="86"/>
        <item x="65"/>
        <item x="275"/>
        <item x="164"/>
        <item x="168"/>
        <item x="5"/>
        <item x="280"/>
        <item x="321"/>
        <item x="128"/>
        <item x="241"/>
        <item x="120"/>
        <item x="94"/>
        <item x="200"/>
        <item x="33"/>
        <item x="7"/>
        <item x="78"/>
        <item x="74"/>
        <item x="36"/>
        <item x="160"/>
        <item x="320"/>
        <item x="222"/>
        <item x="282"/>
        <item x="1"/>
        <item x="24"/>
        <item x="14"/>
        <item x="196"/>
        <item x="129"/>
        <item x="47"/>
        <item x="148"/>
        <item x="28"/>
        <item x="209"/>
        <item x="43"/>
        <item x="253"/>
        <item x="105"/>
        <item x="220"/>
        <item x="97"/>
        <item x="276"/>
        <item x="139"/>
        <item x="271"/>
        <item x="302"/>
        <item x="245"/>
        <item x="12"/>
        <item x="157"/>
        <item x="197"/>
        <item x="194"/>
        <item x="20"/>
        <item x="255"/>
        <item x="106"/>
        <item x="317"/>
        <item x="16"/>
        <item x="72"/>
        <item x="184"/>
        <item x="162"/>
        <item x="64"/>
        <item x="153"/>
        <item x="264"/>
        <item x="21"/>
        <item x="49"/>
        <item x="211"/>
        <item x="237"/>
        <item x="192"/>
        <item x="219"/>
        <item x="233"/>
        <item x="256"/>
        <item x="13"/>
        <item x="145"/>
        <item x="53"/>
        <item x="159"/>
        <item x="304"/>
        <item x="297"/>
        <item x="232"/>
        <item x="204"/>
        <item x="273"/>
        <item x="96"/>
        <item x="312"/>
        <item x="249"/>
        <item x="289"/>
        <item x="306"/>
        <item x="221"/>
        <item x="111"/>
        <item x="230"/>
        <item x="325"/>
        <item x="6"/>
        <item x="311"/>
        <item x="326"/>
        <item x="152"/>
        <item x="293"/>
        <item x="172"/>
        <item x="76"/>
        <item x="158"/>
        <item x="69"/>
        <item x="267"/>
        <item x="269"/>
        <item x="239"/>
        <item x="169"/>
        <item x="89"/>
        <item x="203"/>
        <item x="73"/>
        <item x="303"/>
        <item x="265"/>
        <item x="298"/>
        <item x="133"/>
        <item x="254"/>
        <item x="144"/>
        <item x="114"/>
        <item x="252"/>
        <item x="123"/>
        <item x="26"/>
        <item x="319"/>
        <item x="257"/>
        <item x="225"/>
        <item x="266"/>
        <item x="247"/>
        <item x="274"/>
        <item x="212"/>
        <item x="118"/>
        <item x="57"/>
        <item x="93"/>
        <item x="56"/>
        <item x="35"/>
        <item x="91"/>
        <item x="223"/>
        <item x="143"/>
        <item x="55"/>
        <item x="188"/>
        <item x="117"/>
        <item x="217"/>
        <item x="63"/>
        <item x="108"/>
        <item x="205"/>
        <item x="262"/>
        <item x="85"/>
        <item x="124"/>
        <item x="42"/>
        <item x="248"/>
        <item x="199"/>
        <item x="323"/>
        <item x="201"/>
        <item x="142"/>
        <item x="327"/>
        <item x="115"/>
        <item x="193"/>
        <item x="54"/>
        <item x="61"/>
        <item x="83"/>
        <item x="95"/>
        <item x="10"/>
        <item x="109"/>
        <item x="4"/>
        <item x="9"/>
        <item x="183"/>
        <item x="235"/>
        <item x="313"/>
        <item x="38"/>
        <item x="75"/>
        <item x="295"/>
        <item x="101"/>
        <item x="70"/>
        <item x="132"/>
        <item x="215"/>
        <item x="240"/>
        <item x="170"/>
        <item x="79"/>
        <item x="104"/>
        <item x="87"/>
        <item x="231"/>
        <item x="18"/>
        <item x="2"/>
        <item x="112"/>
        <item x="19"/>
        <item x="285"/>
        <item x="286"/>
        <item x="206"/>
        <item x="228"/>
        <item x="296"/>
        <item x="301"/>
        <item x="226"/>
        <item x="150"/>
        <item x="122"/>
        <item x="281"/>
        <item x="258"/>
        <item x="246"/>
        <item x="88"/>
        <item x="182"/>
        <item x="138"/>
        <item x="268"/>
        <item x="314"/>
        <item x="305"/>
        <item x="27"/>
        <item x="147"/>
        <item x="98"/>
        <item x="15"/>
        <item x="113"/>
        <item x="290"/>
        <item x="66"/>
        <item x="171"/>
        <item x="173"/>
        <item x="292"/>
        <item x="110"/>
        <item x="77"/>
        <item x="195"/>
        <item x="0"/>
        <item x="41"/>
        <item x="315"/>
        <item x="309"/>
        <item x="283"/>
        <item x="155"/>
        <item x="185"/>
        <item x="151"/>
        <item x="227"/>
        <item x="71"/>
        <item x="48"/>
        <item x="251"/>
        <item x="25"/>
        <item x="186"/>
        <item x="84"/>
        <item x="37"/>
        <item x="8"/>
        <item x="90"/>
        <item x="119"/>
        <item x="11"/>
        <item x="121"/>
        <item x="174"/>
        <item x="175"/>
        <item x="288"/>
        <item x="140"/>
        <item x="81"/>
        <item x="277"/>
        <item x="328"/>
        <item x="294"/>
        <item x="135"/>
        <item x="116"/>
        <item x="67"/>
        <item x="180"/>
        <item x="176"/>
        <item x="278"/>
        <item x="46"/>
        <item x="62"/>
        <item x="52"/>
        <item x="92"/>
        <item x="324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x="3"/>
        <item t="default"/>
      </items>
    </pivotField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 defaultSubtota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dataField="1" showAll="0" defaultSubtota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pageFields count="3">
    <pageField fld="5" hier="-1"/>
    <pageField fld="6" hier="-1"/>
    <pageField fld="9" hier="-1"/>
  </pageFields>
  <dataFields count="18">
    <dataField name="Sum of Total Targeted Beneficiaries " fld="10" baseField="0" baseItem="0"/>
    <dataField name="Sum of Total Expenditure (CHF)" fld="13" baseField="0" baseItem="0"/>
    <dataField name="Sum of Cost per beneficiary" fld="14" baseField="0" baseItem="0"/>
    <dataField name="Average of Appeal Coverage (%)" fld="15" subtotal="average" baseField="0" baseItem="0"/>
    <dataField name="Sum of Water  Beneficiaries" fld="16" baseField="0" baseItem="0"/>
    <dataField name="Sum of Sanitation  Beneficiaries" fld="17" baseField="0" baseItem="0"/>
    <dataField name="Sum of Total WatSan/HP" fld="18" baseField="0" baseItem="0"/>
    <dataField name="Sum of Water, Sanitation &amp; Hygene Expenditures (CHF)" fld="23" baseField="0" baseItem="0"/>
    <dataField name="Sum of Total Trained Volunteers " fld="20" baseField="0" baseItem="0"/>
    <dataField name="Sum of Total  HP Beneficiaries " fld="21" baseField="0" baseItem="0"/>
    <dataField name="Average of Cost/beneficiary (Watsan)" fld="24" subtotal="average" baseField="0" baseItem="0"/>
    <dataField name="Sum of Psychosocial Programs' Beneficiaries" fld="25" baseField="0" baseItem="0"/>
    <dataField name="Sum of  No. of Volunteers " fld="27" baseField="0" baseItem="0"/>
    <dataField name="Sum of Health Promotion/Prevention Beneficiaries" fld="26" baseField="0" baseItem="0"/>
    <dataField name="Sum of No. of Distributed Mosquito Nets" fld="30" baseField="0" baseItem="0"/>
    <dataField name="Sum of Clinical Treatments" fld="33" baseField="0" baseItem="0"/>
    <dataField name="Sum of Total (PSS, prev, clinical)" fld="35" baseField="0" baseItem="0"/>
    <dataField name="Sum of Medical &amp; First Aid Expenditures (CHF)" fld="37" baseField="0" baseItem="0"/>
  </dataFields>
  <formats count="11">
    <format dxfId="3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1">
      <pivotArea dataOnly="0" labelOnly="1" outline="0" fieldPosition="0">
        <references count="1">
          <reference field="4294967294" count="5">
            <x v="4"/>
            <x v="5"/>
            <x v="6"/>
            <x v="8"/>
            <x v="10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9">
      <pivotArea dataOnly="0" labelOnly="1" outline="0" fieldPosition="0">
        <references count="1">
          <reference field="4294967294" count="6">
            <x v="11"/>
            <x v="12"/>
            <x v="13"/>
            <x v="14"/>
            <x v="15"/>
            <x v="17"/>
          </reference>
        </references>
      </pivotArea>
    </format>
    <format dxfId="28">
      <pivotArea type="all" dataOnly="0" outline="0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3">
      <pivotArea field="-2" type="button" dataOnly="0" labelOnly="1" outline="0" axis="axisCol" fieldPosition="0"/>
    </format>
    <format dxfId="22">
      <pivotArea field="-2" type="button" dataOnly="0" labelOnly="1" outline="0" axis="axisCol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U1:BB11" firstHeaderRow="1" firstDataRow="2" firstDataCol="1"/>
  <pivotFields count="46">
    <pivotField showAll="0"/>
    <pivotField showAll="0"/>
    <pivotField axis="axisCol" showAll="0">
      <items count="7">
        <item x="1"/>
        <item x="0"/>
        <item x="4"/>
        <item x="2"/>
        <item x="5"/>
        <item x="3"/>
        <item t="default"/>
      </items>
    </pivotField>
    <pivotField numFmtId="14" showAll="0"/>
    <pivotField showAll="0"/>
    <pivotField axis="axisRow" showAll="0">
      <items count="9"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Total Expenditure (CHF)" fld="13" baseField="0" baseItem="0" numFmtId="3"/>
  </dataFields>
  <formats count="12">
    <format dxfId="11">
      <pivotArea outline="0" collapsedLevelsAreSubtotals="1" fieldPosition="0"/>
    </format>
    <format dxfId="10">
      <pivotArea dataOnly="0" labelOnly="1" fieldPosition="0">
        <references count="1">
          <reference field="5" count="0"/>
        </references>
      </pivotArea>
    </format>
    <format dxfId="9">
      <pivotArea dataOnly="0" labelOnly="1" grandRow="1" outline="0" fieldPosition="0"/>
    </format>
    <format dxfId="8">
      <pivotArea field="5" type="button" dataOnly="0" labelOnly="1" outline="0" axis="axisRow" fieldPosition="0"/>
    </format>
    <format dxfId="7">
      <pivotArea dataOnly="0" labelOnly="1" fieldPosition="0">
        <references count="1">
          <reference field="2" count="0"/>
        </references>
      </pivotArea>
    </format>
    <format dxfId="6">
      <pivotArea dataOnly="0" labelOnly="1" grandCol="1" outline="0" fieldPosition="0"/>
    </format>
    <format dxfId="5">
      <pivotArea field="5" type="button" dataOnly="0" labelOnly="1" outline="0" axis="axisRow" fieldPosition="0"/>
    </format>
    <format dxfId="4">
      <pivotArea dataOnly="0" labelOnly="1" fieldPosition="0">
        <references count="1">
          <reference field="5" count="0"/>
        </references>
      </pivotArea>
    </format>
    <format dxfId="3">
      <pivotArea dataOnly="0" labelOnly="1" grandRow="1" outline="0" fieldPosition="0"/>
    </format>
    <format dxfId="2">
      <pivotArea field="5" type="button" dataOnly="0" labelOnly="1" outline="0" axis="axisRow" fieldPosition="0"/>
    </format>
    <format dxfId="1">
      <pivotArea dataOnly="0" labelOnly="1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ifrc.org/docs/appeals/06/MDRGM002fr.pdf" TargetMode="External"/><Relationship Id="rId18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26" Type="http://schemas.openxmlformats.org/officeDocument/2006/relationships/hyperlink" Target="http://www.ifrc.org/docs/appeals/06/MDRGN001fr.pdf" TargetMode="External"/><Relationship Id="rId39" Type="http://schemas.openxmlformats.org/officeDocument/2006/relationships/hyperlink" Target="http://www.ifrc.org/docs/appeals/06/MDRBF001fr.pdf" TargetMode="External"/><Relationship Id="rId21" Type="http://schemas.openxmlformats.org/officeDocument/2006/relationships/hyperlink" Target="http://www.ifrc.org/docs/appeals/06/MDRCN001FR.pdf" TargetMode="External"/><Relationship Id="rId34" Type="http://schemas.openxmlformats.org/officeDocument/2006/relationships/hyperlink" Target="http://www.ifrc.org/docs/appeals/06/MDRTZ002fr.pdf" TargetMode="External"/><Relationship Id="rId42" Type="http://schemas.openxmlformats.org/officeDocument/2006/relationships/hyperlink" Target="http://www.ifrc.org/docs/appeals/06/MDR67001final.pdf" TargetMode="External"/><Relationship Id="rId47" Type="http://schemas.openxmlformats.org/officeDocument/2006/relationships/hyperlink" Target="../../../Temp/Mapping,%202006%20-2011,%20Draft%20summary,%20Mitiku.xls" TargetMode="External"/><Relationship Id="rId50" Type="http://schemas.openxmlformats.org/officeDocument/2006/relationships/hyperlink" Target="http://www.ifrc.org/docs/appeals/06/MDR62002fr.pdf" TargetMode="External"/><Relationship Id="rId55" Type="http://schemas.openxmlformats.org/officeDocument/2006/relationships/hyperlink" Target="http://www.ifrc.org/docs/appeals/06/MDRIQ001final.pdf" TargetMode="External"/><Relationship Id="rId63" Type="http://schemas.openxmlformats.org/officeDocument/2006/relationships/hyperlink" Target="http://www.ifrc.org/docs/appeals/06/MDRUA001final.pdf" TargetMode="External"/><Relationship Id="rId68" Type="http://schemas.openxmlformats.org/officeDocument/2006/relationships/hyperlink" Target="http://www.ifrc.org/docs/appeals/06/MDRMZ001.pdf" TargetMode="External"/><Relationship Id="rId76" Type="http://schemas.openxmlformats.org/officeDocument/2006/relationships/hyperlink" Target="http://www.ifrc.org/docs/appeals/06/MDRZM002%20Final.pdf" TargetMode="External"/><Relationship Id="rId7" Type="http://schemas.openxmlformats.org/officeDocument/2006/relationships/hyperlink" Target="http://www.ifrc.org/docs/appeals/06/MDRBI001fr.pdf" TargetMode="External"/><Relationship Id="rId71" Type="http://schemas.openxmlformats.org/officeDocument/2006/relationships/hyperlink" Target="http://www.ifrc.org/docs/appeals/06/MDRPG00102.pdf" TargetMode="External"/><Relationship Id="rId2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16" Type="http://schemas.openxmlformats.org/officeDocument/2006/relationships/hyperlink" Target="http://www.ifrc.org/docs/appeals/06/MDRAO001final.pdf" TargetMode="External"/><Relationship Id="rId29" Type="http://schemas.openxmlformats.org/officeDocument/2006/relationships/hyperlink" Target="http://www.ifrc.org/docs/appeals/06/MDRCG00101.pdf" TargetMode="External"/><Relationship Id="rId11" Type="http://schemas.openxmlformats.org/officeDocument/2006/relationships/hyperlink" Target="http://www.ifrc.org/docs/appeals/08/MDRET002fr.pdf" TargetMode="External"/><Relationship Id="rId24" Type="http://schemas.openxmlformats.org/officeDocument/2006/relationships/hyperlink" Target="http://www.ifrc.org/docs/appeals/06/MDRNG001fr.pdf" TargetMode="External"/><Relationship Id="rId32" Type="http://schemas.openxmlformats.org/officeDocument/2006/relationships/hyperlink" Target="http://www.ifrc.org/docs/appeals/06/MDRPS001Final.pdf" TargetMode="External"/><Relationship Id="rId37" Type="http://schemas.openxmlformats.org/officeDocument/2006/relationships/hyperlink" Target="http://www.ifrc.org/docs/appeals/06/MDRTJ001final.pdf" TargetMode="External"/><Relationship Id="rId40" Type="http://schemas.openxmlformats.org/officeDocument/2006/relationships/hyperlink" Target="http://www.ifrc.org/docs/appeals/06/MDRZR001fr.pdf" TargetMode="External"/><Relationship Id="rId45" Type="http://schemas.openxmlformats.org/officeDocument/2006/relationships/hyperlink" Target="../../../Temp/Mapping,%202006%20-2011,%20Draft%20summary,%20Mitiku.xls" TargetMode="External"/><Relationship Id="rId53" Type="http://schemas.openxmlformats.org/officeDocument/2006/relationships/hyperlink" Target="http://www.ifrc.org/docs/appeals/06/MDRNG002fr.pdf" TargetMode="External"/><Relationship Id="rId58" Type="http://schemas.openxmlformats.org/officeDocument/2006/relationships/hyperlink" Target="http://www.ifrc.org/docs/appeals/06/MDRSR001f.pdf" TargetMode="External"/><Relationship Id="rId66" Type="http://schemas.openxmlformats.org/officeDocument/2006/relationships/hyperlink" Target="../../../Temp/Mapping,%202006%20-2011,%20Draft%20summary,%20Mitiku.xls" TargetMode="External"/><Relationship Id="rId74" Type="http://schemas.openxmlformats.org/officeDocument/2006/relationships/hyperlink" Target="../../../Temp/Mapping,%202006%20-2011,%20Draft%20summary,%20Mitiku.xls" TargetMode="External"/><Relationship Id="rId79" Type="http://schemas.openxmlformats.org/officeDocument/2006/relationships/comments" Target="../comments7.xml"/><Relationship Id="rId5" Type="http://schemas.openxmlformats.org/officeDocument/2006/relationships/hyperlink" Target="http://www.ifrc.org/docs/appeals/06/MDRGM001dfr.pdf" TargetMode="External"/><Relationship Id="rId61" Type="http://schemas.openxmlformats.org/officeDocument/2006/relationships/hyperlink" Target="http://www.ifrc.org/docs/appeals/06/MDRZM003fr.pdf" TargetMode="External"/><Relationship Id="rId10" Type="http://schemas.openxmlformats.org/officeDocument/2006/relationships/hyperlink" Target="http://www.ifrc.org/docs/appeals/08/MDRPH001efr.pdf" TargetMode="External"/><Relationship Id="rId19" Type="http://schemas.openxmlformats.org/officeDocument/2006/relationships/hyperlink" Target="http://www.ifrc.org/docs/appeals/06/MDRMR001fr.pdf" TargetMode="External"/><Relationship Id="rId31" Type="http://schemas.openxmlformats.org/officeDocument/2006/relationships/hyperlink" Target="http://www.ifrc.org/docs/appeals/06/MDRSC001fr.pdf" TargetMode="External"/><Relationship Id="rId44" Type="http://schemas.openxmlformats.org/officeDocument/2006/relationships/hyperlink" Target="http://www.ifrc.org/docs/appeals/rpts06/MDRPE00102.pdf" TargetMode="External"/><Relationship Id="rId52" Type="http://schemas.openxmlformats.org/officeDocument/2006/relationships/hyperlink" Target="http://www.ifrc.org/docs/appeals/06/MDR62001fr.pdf" TargetMode="External"/><Relationship Id="rId60" Type="http://schemas.openxmlformats.org/officeDocument/2006/relationships/hyperlink" Target="http://www.ifrc.org/docs/appeals/06/MDRUG002fr.pdf" TargetMode="External"/><Relationship Id="rId65" Type="http://schemas.openxmlformats.org/officeDocument/2006/relationships/hyperlink" Target="../../../Temp/Mapping,%202006%20-2011,%20Draft%20summary,%20Mitiku.xls" TargetMode="External"/><Relationship Id="rId73" Type="http://schemas.openxmlformats.org/officeDocument/2006/relationships/hyperlink" Target="../../../Temp/Mapping,%202006%20-2011,%20Draft%20summary,%20Mitiku.xls" TargetMode="External"/><Relationship Id="rId78" Type="http://schemas.openxmlformats.org/officeDocument/2006/relationships/vmlDrawing" Target="../drawings/vmlDrawing7.vml"/><Relationship Id="rId4" Type="http://schemas.openxmlformats.org/officeDocument/2006/relationships/hyperlink" Target="http://www.ifrc.org/docs/appeals/06/MDRBF002dfr.pdf" TargetMode="External"/><Relationship Id="rId9" Type="http://schemas.openxmlformats.org/officeDocument/2006/relationships/hyperlink" Target="http://www.ifrc.org/docs/appeals/06/MDRET003fr.pdf" TargetMode="External"/><Relationship Id="rId14" Type="http://schemas.openxmlformats.org/officeDocument/2006/relationships/hyperlink" Target="http://www.ifrc.org/docs/appeals/06/MDRSL001fr.pdf" TargetMode="External"/><Relationship Id="rId22" Type="http://schemas.openxmlformats.org/officeDocument/2006/relationships/hyperlink" Target="http://www.ifrc.org/docs/appeals/06/MDRRW001fr.pdf" TargetMode="External"/><Relationship Id="rId27" Type="http://schemas.openxmlformats.org/officeDocument/2006/relationships/hyperlink" Target="http://www.ifrc.org/docs/appeals/06/MDRCI001fr.pdf" TargetMode="External"/><Relationship Id="rId30" Type="http://schemas.openxmlformats.org/officeDocument/2006/relationships/hyperlink" Target="http://www.ifrc.org/docs/appeals/06/MDREC002Final.pdf" TargetMode="External"/><Relationship Id="rId35" Type="http://schemas.openxmlformats.org/officeDocument/2006/relationships/hyperlink" Target="http://www.ifrc.org/docs/appeals/06/MDRTZ003fr.pdf" TargetMode="External"/><Relationship Id="rId43" Type="http://schemas.openxmlformats.org/officeDocument/2006/relationships/hyperlink" Target="http://www.ifrc.org/docs/appeals/06/MDRKV001final.pdf" TargetMode="External"/><Relationship Id="rId48" Type="http://schemas.openxmlformats.org/officeDocument/2006/relationships/hyperlink" Target="http://www.ifrc.org/docs/appeals/rpts06/MDRCO001final.pdf" TargetMode="External"/><Relationship Id="rId56" Type="http://schemas.openxmlformats.org/officeDocument/2006/relationships/hyperlink" Target="http://www.ifrc.org/docs/appeals/rpts07/MDRHT001final.pdf" TargetMode="External"/><Relationship Id="rId64" Type="http://schemas.openxmlformats.org/officeDocument/2006/relationships/hyperlink" Target="http://www.ifrc.org/docs/appeals/06/MDRZM001fr.pdf" TargetMode="External"/><Relationship Id="rId69" Type="http://schemas.openxmlformats.org/officeDocument/2006/relationships/hyperlink" Target="../../../Temp/Mapping,%202006%20-2011,%20Draft%20summary,%20Mitiku.xls" TargetMode="External"/><Relationship Id="rId77" Type="http://schemas.openxmlformats.org/officeDocument/2006/relationships/hyperlink" Target="../../../Temp/Mapping,%202006%20-2011,%20Draft%20summary,%20Mitiku.xls" TargetMode="External"/><Relationship Id="rId8" Type="http://schemas.openxmlformats.org/officeDocument/2006/relationships/hyperlink" Target="http://www.ifrc.org/docs/appeals/06/MDRRW002fr.pdf" TargetMode="External"/><Relationship Id="rId51" Type="http://schemas.openxmlformats.org/officeDocument/2006/relationships/hyperlink" Target="http://www.ifrc.org/docs/appeals/06/MDRET001fr%20rev.pdf" TargetMode="External"/><Relationship Id="rId72" Type="http://schemas.openxmlformats.org/officeDocument/2006/relationships/hyperlink" Target="../../../Temp/Mapping,%202006%20-2011,%20Draft%20summary,%20Mitiku.xls" TargetMode="External"/><Relationship Id="rId3" Type="http://schemas.openxmlformats.org/officeDocument/2006/relationships/hyperlink" Target="http://www.ifrc.org/docs/appeals/06/MDR81001final.pdf" TargetMode="External"/><Relationship Id="rId12" Type="http://schemas.openxmlformats.org/officeDocument/2006/relationships/hyperlink" Target="http://www.ifrc.org/docs/appeals/06/MDRSD001fr.pdf" TargetMode="External"/><Relationship Id="rId17" Type="http://schemas.openxmlformats.org/officeDocument/2006/relationships/hyperlink" Target="http://www.ifrc.org/docs/appeals/06/MDRML003fr.pdf" TargetMode="External"/><Relationship Id="rId25" Type="http://schemas.openxmlformats.org/officeDocument/2006/relationships/hyperlink" Target="http://www.ifrc.org/docs/appeals/06/MDRKE001ifr.pdf" TargetMode="External"/><Relationship Id="rId33" Type="http://schemas.openxmlformats.org/officeDocument/2006/relationships/hyperlink" Target="http://www.ifrc.org/docs/appeals/06/MDRML001fr.pdf" TargetMode="External"/><Relationship Id="rId38" Type="http://schemas.openxmlformats.org/officeDocument/2006/relationships/hyperlink" Target="http://www.ifrc.org/docs/appeals/06/MDRMW001fr.pdf" TargetMode="External"/><Relationship Id="rId46" Type="http://schemas.openxmlformats.org/officeDocument/2006/relationships/hyperlink" Target="http://www.ifrc.org/docs/appeals/rpts08/MDR42001final.pdf" TargetMode="External"/><Relationship Id="rId59" Type="http://schemas.openxmlformats.org/officeDocument/2006/relationships/hyperlink" Target="http://www.ifrc.org/docs/appeals/06/MDR64001fr.pdf" TargetMode="External"/><Relationship Id="rId67" Type="http://schemas.openxmlformats.org/officeDocument/2006/relationships/hyperlink" Target="../../../Temp/Mapping,%202006%20-2011,%20Draft%20summary,%20Mitiku.xls" TargetMode="External"/><Relationship Id="rId20" Type="http://schemas.openxmlformats.org/officeDocument/2006/relationships/hyperlink" Target="http://www.ifrc.org/docs/appeals/06/MDRSD002fr.pdf" TargetMode="External"/><Relationship Id="rId41" Type="http://schemas.openxmlformats.org/officeDocument/2006/relationships/hyperlink" Target="http://www.ifrc.org/docs/appeals/06/MDRTD001fr.pdf" TargetMode="External"/><Relationship Id="rId54" Type="http://schemas.openxmlformats.org/officeDocument/2006/relationships/hyperlink" Target="http://www.ifrc.org/docs/appeals/06/MDRBI002fr.pdf" TargetMode="External"/><Relationship Id="rId62" Type="http://schemas.openxmlformats.org/officeDocument/2006/relationships/hyperlink" Target="http://www.ifrc.org/docs/appeals/06/MDRUG001fr.pdf" TargetMode="External"/><Relationship Id="rId70" Type="http://schemas.openxmlformats.org/officeDocument/2006/relationships/hyperlink" Target="../../../Temp/Mapping,%202006%20-2011,%20Draft%20summary,%20Mitiku.xls" TargetMode="External"/><Relationship Id="rId75" Type="http://schemas.openxmlformats.org/officeDocument/2006/relationships/hyperlink" Target="../../../Temp/Mapping,%202006%20-2011,%20Draft%20summary,%20Mitiku.xls" TargetMode="External"/><Relationship Id="rId1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6" Type="http://schemas.openxmlformats.org/officeDocument/2006/relationships/hyperlink" Target="http://www.ifrc.org/docs/appeals/06/MDRPH002fr.pdf" TargetMode="External"/><Relationship Id="rId15" Type="http://schemas.openxmlformats.org/officeDocument/2006/relationships/hyperlink" Target="http://www.ifrc.org/docs/appeals/06/MDRML002fr.pdf" TargetMode="External"/><Relationship Id="rId23" Type="http://schemas.openxmlformats.org/officeDocument/2006/relationships/hyperlink" Target="http://www.ifrc.org/docs/appeals/06/MDRHT002fr.pdf" TargetMode="External"/><Relationship Id="rId28" Type="http://schemas.openxmlformats.org/officeDocument/2006/relationships/hyperlink" Target="http://www.ifrc.org/docs/appeals/06/MDRTZ004fr.pdf" TargetMode="External"/><Relationship Id="rId36" Type="http://schemas.openxmlformats.org/officeDocument/2006/relationships/hyperlink" Target="http://www.ifrc.org/docs/appeals/06/MDRCM002fr.pdf" TargetMode="External"/><Relationship Id="rId49" Type="http://schemas.openxmlformats.org/officeDocument/2006/relationships/hyperlink" Target="../../../Temp/Mapping,%202006%20-2011,%20Draft%20summary,%20Mitiku.xls" TargetMode="External"/><Relationship Id="rId57" Type="http://schemas.openxmlformats.org/officeDocument/2006/relationships/hyperlink" Target="http://www.ifrc.org/docs/appeals/10/MDRID001_FR.pd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ifrc.org/docs/appeals/05/05ME069fr.pdf" TargetMode="External"/><Relationship Id="rId18" Type="http://schemas.openxmlformats.org/officeDocument/2006/relationships/hyperlink" Target="http://www.ifrc.org/docs/appeals/05/05EA023fr.pdf" TargetMode="External"/><Relationship Id="rId26" Type="http://schemas.openxmlformats.org/officeDocument/2006/relationships/hyperlink" Target="http://www.ifrc.org/docs/appeals/rpts05/2crfl0105.pdf" TargetMode="External"/><Relationship Id="rId39" Type="http://schemas.openxmlformats.org/officeDocument/2006/relationships/hyperlink" Target="http://www.ifrc.org/docs/appeals/rpts05/meperueq2.pdf" TargetMode="External"/><Relationship Id="rId21" Type="http://schemas.openxmlformats.org/officeDocument/2006/relationships/hyperlink" Target="http://www.ifrc.org/docs/appeals/08/05EA012FR.pdf" TargetMode="External"/><Relationship Id="rId34" Type="http://schemas.openxmlformats.org/officeDocument/2006/relationships/hyperlink" Target="http://www.ifrc.org/docs/appeals/rpts05/chea03.pdf" TargetMode="External"/><Relationship Id="rId42" Type="http://schemas.openxmlformats.org/officeDocument/2006/relationships/hyperlink" Target="http://www.ifrc.org/docs/appeals/05/05EA02505.pdf" TargetMode="External"/><Relationship Id="rId47" Type="http://schemas.openxmlformats.org/officeDocument/2006/relationships/hyperlink" Target="http://www.ifrc.org/docs/appeals/05/05EA015fr.pdf" TargetMode="External"/><Relationship Id="rId50" Type="http://schemas.openxmlformats.org/officeDocument/2006/relationships/hyperlink" Target="http://www.ifrc.org/docs/appeals/05/05ME049ifr.pdf" TargetMode="External"/><Relationship Id="rId55" Type="http://schemas.openxmlformats.org/officeDocument/2006/relationships/vmlDrawing" Target="../drawings/vmlDrawing8.vml"/><Relationship Id="rId7" Type="http://schemas.openxmlformats.org/officeDocument/2006/relationships/hyperlink" Target="http://www.ifrc.org/docs/appeals/05/05ME013fr.pdf" TargetMode="External"/><Relationship Id="rId12" Type="http://schemas.openxmlformats.org/officeDocument/2006/relationships/hyperlink" Target="http://www.ifrc.org/docs/appeals/05/05ME054fr.pdf" TargetMode="External"/><Relationship Id="rId17" Type="http://schemas.openxmlformats.org/officeDocument/2006/relationships/hyperlink" Target="http://www.ifrc.org/docs/appeals/05/05EA023fr.pdf" TargetMode="External"/><Relationship Id="rId25" Type="http://schemas.openxmlformats.org/officeDocument/2006/relationships/hyperlink" Target="http://www.ifrc.org/docs/appeals/05/05ME015fr.pdf" TargetMode="External"/><Relationship Id="rId33" Type="http://schemas.openxmlformats.org/officeDocument/2006/relationships/hyperlink" Target="http://www.ifrc.org/docs/appeals/05/05ME035final.pdf" TargetMode="External"/><Relationship Id="rId38" Type="http://schemas.openxmlformats.org/officeDocument/2006/relationships/hyperlink" Target="http://www.ifrc.org/docs/appeals/rpts05/blfr02.pdf" TargetMode="External"/><Relationship Id="rId46" Type="http://schemas.openxmlformats.org/officeDocument/2006/relationships/hyperlink" Target="http://www.ifrc.org/docs/appeals/rpts06/td060302.pdf" TargetMode="External"/><Relationship Id="rId2" Type="http://schemas.openxmlformats.org/officeDocument/2006/relationships/hyperlink" Target="http://www.ifrc.org/docs/appeals/05/05ME064final.pdf" TargetMode="External"/><Relationship Id="rId16" Type="http://schemas.openxmlformats.org/officeDocument/2006/relationships/hyperlink" Target="http://www.ifrc.org/docs/appeals/05/05EA024Final.pdf" TargetMode="External"/><Relationship Id="rId20" Type="http://schemas.openxmlformats.org/officeDocument/2006/relationships/hyperlink" Target="http://www.ifrc.org/docs/appeals/05/05EA015fr.pdf" TargetMode="External"/><Relationship Id="rId29" Type="http://schemas.openxmlformats.org/officeDocument/2006/relationships/hyperlink" Target="http://www.ifrc.org/docs/appeals/05/05ME038.pdf" TargetMode="External"/><Relationship Id="rId41" Type="http://schemas.openxmlformats.org/officeDocument/2006/relationships/hyperlink" Target="http://www.ifrc.org/docs/appeals/05/05ME016ifr.pdf" TargetMode="External"/><Relationship Id="rId54" Type="http://schemas.openxmlformats.org/officeDocument/2006/relationships/hyperlink" Target="http://www.ifrc.org/docs/appeals/05/05ME010final.pdf" TargetMode="External"/><Relationship Id="rId1" Type="http://schemas.openxmlformats.org/officeDocument/2006/relationships/hyperlink" Target="http://www.ifrc.org/docs/appeals/05/M05ME040fr.pdf" TargetMode="External"/><Relationship Id="rId6" Type="http://schemas.openxmlformats.org/officeDocument/2006/relationships/hyperlink" Target="http://www.ifrc.org/docs/appeals/05/05EA016fr.pdf" TargetMode="External"/><Relationship Id="rId11" Type="http://schemas.openxmlformats.org/officeDocument/2006/relationships/hyperlink" Target="http://www.ifrc.org/docs/appeals/07/05EA0191FRN.pdf" TargetMode="External"/><Relationship Id="rId24" Type="http://schemas.openxmlformats.org/officeDocument/2006/relationships/hyperlink" Target="http://www.ifrc.org/docs/appeals/05/05ME051fr.pdf" TargetMode="External"/><Relationship Id="rId32" Type="http://schemas.openxmlformats.org/officeDocument/2006/relationships/hyperlink" Target="http://www.ifrc.org/docs/appeals/rpts05/boiu03.pdf" TargetMode="External"/><Relationship Id="rId37" Type="http://schemas.openxmlformats.org/officeDocument/2006/relationships/hyperlink" Target="http://www.ifrc.org/docs/appeals/annual04/015104a.pdf" TargetMode="External"/><Relationship Id="rId40" Type="http://schemas.openxmlformats.org/officeDocument/2006/relationships/hyperlink" Target="http://www.ifrc.org/docs/appeals/rpts05/pydr2.pdf" TargetMode="External"/><Relationship Id="rId45" Type="http://schemas.openxmlformats.org/officeDocument/2006/relationships/hyperlink" Target="http://www.ifrc.org/docs/appeals/rpts05/hnts1.pdf" TargetMode="External"/><Relationship Id="rId53" Type="http://schemas.openxmlformats.org/officeDocument/2006/relationships/hyperlink" Target="http://www.ifrc.org/docs/appeals/08/05EA013fr.pdf" TargetMode="External"/><Relationship Id="rId5" Type="http://schemas.openxmlformats.org/officeDocument/2006/relationships/hyperlink" Target="http://www.ifrc.org/docs/appeals/05/05ME045fr.pdf" TargetMode="External"/><Relationship Id="rId15" Type="http://schemas.openxmlformats.org/officeDocument/2006/relationships/hyperlink" Target="http://www.ifrc.org/docs/appeals/05/05EA024Final.pdf" TargetMode="External"/><Relationship Id="rId23" Type="http://schemas.openxmlformats.org/officeDocument/2006/relationships/hyperlink" Target="http://www.ifrc.org/docs/appeals/05/05EA023fr.pdf" TargetMode="External"/><Relationship Id="rId28" Type="http://schemas.openxmlformats.org/officeDocument/2006/relationships/hyperlink" Target="http://www.ifrc.org/docs/appeals/rpts05/alsn1.pdf" TargetMode="External"/><Relationship Id="rId36" Type="http://schemas.openxmlformats.org/officeDocument/2006/relationships/hyperlink" Target="http://www.ifrc.org/docs/appeals/rpts05/UShurrKatrinaIB0512.pdf" TargetMode="External"/><Relationship Id="rId49" Type="http://schemas.openxmlformats.org/officeDocument/2006/relationships/hyperlink" Target="http://www.ifrc.org/docs/appeals/05/05EA003fr.pdf" TargetMode="External"/><Relationship Id="rId10" Type="http://schemas.openxmlformats.org/officeDocument/2006/relationships/hyperlink" Target="http://www.ifrc.org/docs/appeals/05/05EA004fr.pdf" TargetMode="External"/><Relationship Id="rId19" Type="http://schemas.openxmlformats.org/officeDocument/2006/relationships/hyperlink" Target="http://www.ifrc.org/docs/appeals/05/05EA026final.pdf" TargetMode="External"/><Relationship Id="rId31" Type="http://schemas.openxmlformats.org/officeDocument/2006/relationships/hyperlink" Target="http://www.ifrc.org/docs/appeals/05/05ME029final.pdf" TargetMode="External"/><Relationship Id="rId44" Type="http://schemas.openxmlformats.org/officeDocument/2006/relationships/hyperlink" Target="http://www.ifrc.org/docs/appeals/rpts05/05ME06502.pdf" TargetMode="External"/><Relationship Id="rId52" Type="http://schemas.openxmlformats.org/officeDocument/2006/relationships/hyperlink" Target="http://www.ifrc.org/docs/appeals/05/05ME048fr.pdf" TargetMode="External"/><Relationship Id="rId4" Type="http://schemas.openxmlformats.org/officeDocument/2006/relationships/hyperlink" Target="http://www.ifrc.org/docs/appeals/05/05ME014fr.pdf" TargetMode="External"/><Relationship Id="rId9" Type="http://schemas.openxmlformats.org/officeDocument/2006/relationships/hyperlink" Target="http://www.ifrc.org/docs/appeals/05/05ME020fr.pdf" TargetMode="External"/><Relationship Id="rId14" Type="http://schemas.openxmlformats.org/officeDocument/2006/relationships/hyperlink" Target="http://www.ifrc.org/docs/appeals/05/05ME068fr.pdf" TargetMode="External"/><Relationship Id="rId22" Type="http://schemas.openxmlformats.org/officeDocument/2006/relationships/hyperlink" Target="http://www.ifrc.org/docs/appeals/05/05EA024Final.pdf" TargetMode="External"/><Relationship Id="rId27" Type="http://schemas.openxmlformats.org/officeDocument/2006/relationships/hyperlink" Target="http://www.ifrc.org/docs/appeals/05/05EA021Final.pdf" TargetMode="External"/><Relationship Id="rId30" Type="http://schemas.openxmlformats.org/officeDocument/2006/relationships/hyperlink" Target="http://www.ifrc.org/docs/appeals/05/05ME026ifr.pdf" TargetMode="External"/><Relationship Id="rId35" Type="http://schemas.openxmlformats.org/officeDocument/2006/relationships/hyperlink" Target="http://www.ifrc.org/docs/appeals/05/05ME044final.pdf" TargetMode="External"/><Relationship Id="rId43" Type="http://schemas.openxmlformats.org/officeDocument/2006/relationships/hyperlink" Target="http://www.ifrc.org/docs/appeals/rpts05/BetaME1.pdf" TargetMode="External"/><Relationship Id="rId48" Type="http://schemas.openxmlformats.org/officeDocument/2006/relationships/hyperlink" Target="http://www.ifrc.org/docs/appeals/05/05ME070fr.pdf" TargetMode="External"/><Relationship Id="rId56" Type="http://schemas.openxmlformats.org/officeDocument/2006/relationships/comments" Target="../comments8.xml"/><Relationship Id="rId8" Type="http://schemas.openxmlformats.org/officeDocument/2006/relationships/hyperlink" Target="http://www.ifrc.org/docs/appeals/05/05ME075fr.pdf" TargetMode="External"/><Relationship Id="rId51" Type="http://schemas.openxmlformats.org/officeDocument/2006/relationships/hyperlink" Target="http://www.ifrc.org/docs/appeals/05/05EA014F.pdf" TargetMode="External"/><Relationship Id="rId3" Type="http://schemas.openxmlformats.org/officeDocument/2006/relationships/hyperlink" Target="http://www.ifrc.org/docs/appeals/05/05ME021fr.pdf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ifrc.org/docs/appeals/04/2604frf.pdf" TargetMode="External"/><Relationship Id="rId18" Type="http://schemas.openxmlformats.org/officeDocument/2006/relationships/hyperlink" Target="http://www.ifrc.org/docs/appeals/04/0704f.pdf" TargetMode="External"/><Relationship Id="rId26" Type="http://schemas.openxmlformats.org/officeDocument/2006/relationships/hyperlink" Target="../../../Temp/Mapping,%202006%20-2011,%20Draft%20summary,%20Mitiku%202.xls" TargetMode="External"/><Relationship Id="rId39" Type="http://schemas.openxmlformats.org/officeDocument/2006/relationships/hyperlink" Target="https://www.ifrc.org/docs/appeals/rpts04/ukraineexplosionib0204.pdf" TargetMode="External"/><Relationship Id="rId3" Type="http://schemas.openxmlformats.org/officeDocument/2006/relationships/hyperlink" Target="http://www.ifrc.org/docs/appeals/04/0604final.pdf" TargetMode="External"/><Relationship Id="rId21" Type="http://schemas.openxmlformats.org/officeDocument/2006/relationships/hyperlink" Target="http://www.ifrc.org/docs/appeals/04/1304f.pdf" TargetMode="External"/><Relationship Id="rId34" Type="http://schemas.openxmlformats.org/officeDocument/2006/relationships/hyperlink" Target="https://www.ifrc.org/docs/appeals/rpts04/spainexplosionib0404.pdf" TargetMode="External"/><Relationship Id="rId42" Type="http://schemas.openxmlformats.org/officeDocument/2006/relationships/hyperlink" Target="https://www.ifrc.org/docs/appeals/rpts04/hucarib6.pdf" TargetMode="External"/><Relationship Id="rId47" Type="http://schemas.openxmlformats.org/officeDocument/2006/relationships/hyperlink" Target="https://www.ifrc.org/docs/appeals/rpts04/dj040507.pdf" TargetMode="External"/><Relationship Id="rId50" Type="http://schemas.openxmlformats.org/officeDocument/2006/relationships/hyperlink" Target="../../../Temp/Mapping,%202006%20-2011,%20Draft%20summary.xls" TargetMode="External"/><Relationship Id="rId7" Type="http://schemas.openxmlformats.org/officeDocument/2006/relationships/hyperlink" Target="http://www.ifrc.org/docs/appeals/04/2204f.pdf" TargetMode="External"/><Relationship Id="rId12" Type="http://schemas.openxmlformats.org/officeDocument/2006/relationships/hyperlink" Target="http://www.ifrc.org/docs/appeals/04/1404fr.pdf" TargetMode="External"/><Relationship Id="rId17" Type="http://schemas.openxmlformats.org/officeDocument/2006/relationships/hyperlink" Target="http://www.ifrc.org/docs/appeals/04/0504fr.pdf" TargetMode="External"/><Relationship Id="rId25" Type="http://schemas.openxmlformats.org/officeDocument/2006/relationships/hyperlink" Target="http://www.ifrc.org/docs/appeals/04/2404f.pdf" TargetMode="External"/><Relationship Id="rId33" Type="http://schemas.openxmlformats.org/officeDocument/2006/relationships/hyperlink" Target="https://www.ifrc.org/docs/appeals/rpts04/tg040531.pdf" TargetMode="External"/><Relationship Id="rId38" Type="http://schemas.openxmlformats.org/officeDocument/2006/relationships/hyperlink" Target="../../../Temp/Mapping,%202006%20-2011,%20Draft%20summary,%20Mitiku%202.xls" TargetMode="External"/><Relationship Id="rId46" Type="http://schemas.openxmlformats.org/officeDocument/2006/relationships/hyperlink" Target="https://www.ifrc.org/docs/appeals/rpts04/TZ040407.pdf" TargetMode="External"/><Relationship Id="rId2" Type="http://schemas.openxmlformats.org/officeDocument/2006/relationships/hyperlink" Target="http://www.ifrc.org/docs/appeals/04/1204FR.pdf" TargetMode="External"/><Relationship Id="rId16" Type="http://schemas.openxmlformats.org/officeDocument/2006/relationships/hyperlink" Target="http://www.ifrc.org/docs/appeals/04/0404fr.pdf" TargetMode="External"/><Relationship Id="rId20" Type="http://schemas.openxmlformats.org/officeDocument/2006/relationships/hyperlink" Target="http://www.ifrc.org/docs/appeals/04/1104final.pdf" TargetMode="External"/><Relationship Id="rId29" Type="http://schemas.openxmlformats.org/officeDocument/2006/relationships/hyperlink" Target="http://www.ifrc.org/docs/appeals/04/2704ifr.pdf" TargetMode="External"/><Relationship Id="rId41" Type="http://schemas.openxmlformats.org/officeDocument/2006/relationships/hyperlink" Target="https://www.ifrc.org/docs/appeals/rpts04/eg040804.pdf" TargetMode="External"/><Relationship Id="rId1" Type="http://schemas.openxmlformats.org/officeDocument/2006/relationships/hyperlink" Target="../AppData/Local/Microsoft/Windows/Temporary%20Internet%20Files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6" Type="http://schemas.openxmlformats.org/officeDocument/2006/relationships/hyperlink" Target="http://www.ifrc.org/docs/appeals/04/1504FR.pdf" TargetMode="External"/><Relationship Id="rId11" Type="http://schemas.openxmlformats.org/officeDocument/2006/relationships/hyperlink" Target="http://www.ifrc.org/docs/appeals/rpts04/nimd06.pdf" TargetMode="External"/><Relationship Id="rId24" Type="http://schemas.openxmlformats.org/officeDocument/2006/relationships/hyperlink" Target="http://www.ifrc.org/docs/appeals/04/2304f.pdf" TargetMode="External"/><Relationship Id="rId32" Type="http://schemas.openxmlformats.org/officeDocument/2006/relationships/hyperlink" Target="http://www.ifrc.org/docs/appeals/04/2004f.pdf" TargetMode="External"/><Relationship Id="rId37" Type="http://schemas.openxmlformats.org/officeDocument/2006/relationships/hyperlink" Target="../../../Temp/Mapping,%202006%20-2011,%20Draft%20summary,%20Mitiku%202.xls" TargetMode="External"/><Relationship Id="rId40" Type="http://schemas.openxmlformats.org/officeDocument/2006/relationships/hyperlink" Target="../../../Temp/Mapping,%202006%20-2011,%20Draft%20summary.xls" TargetMode="External"/><Relationship Id="rId45" Type="http://schemas.openxmlformats.org/officeDocument/2006/relationships/hyperlink" Target="https://www.ifrc.org/docs/appeals/rpts04/kosovounrestib0204.pdf" TargetMode="External"/><Relationship Id="rId53" Type="http://schemas.openxmlformats.org/officeDocument/2006/relationships/comments" Target="../comments9.xml"/><Relationship Id="rId5" Type="http://schemas.openxmlformats.org/officeDocument/2006/relationships/hyperlink" Target="http://www.ifrc.org/docs/appeals/04/1604FR.pdf" TargetMode="External"/><Relationship Id="rId15" Type="http://schemas.openxmlformats.org/officeDocument/2006/relationships/hyperlink" Target="http://www.ifrc.org/docs/appeals/04/0304fr.pdf" TargetMode="External"/><Relationship Id="rId23" Type="http://schemas.openxmlformats.org/officeDocument/2006/relationships/hyperlink" Target="http://www.ifrc.org/docs/appeals/04/2104f.pdf" TargetMode="External"/><Relationship Id="rId28" Type="http://schemas.openxmlformats.org/officeDocument/2006/relationships/hyperlink" Target="http://www.ifrc.org/docs/appeals/04/250401.pdf" TargetMode="External"/><Relationship Id="rId36" Type="http://schemas.openxmlformats.org/officeDocument/2006/relationships/hyperlink" Target="http://www.ifrc.org/docs/appeals/rpts04/cf041125.pdf" TargetMode="External"/><Relationship Id="rId49" Type="http://schemas.openxmlformats.org/officeDocument/2006/relationships/hyperlink" Target="../../../Temp/Mapping,%202006%20-2011,%20Draft%20summary.xls" TargetMode="External"/><Relationship Id="rId10" Type="http://schemas.openxmlformats.org/officeDocument/2006/relationships/hyperlink" Target="../../../Temp/Mapping,%202006%20-2011,%20Draft%20summary,%20Mitiku%202.xls" TargetMode="External"/><Relationship Id="rId19" Type="http://schemas.openxmlformats.org/officeDocument/2006/relationships/hyperlink" Target="http://www.ifrc.org/docs/appeals/04/0904fr.pdf" TargetMode="External"/><Relationship Id="rId31" Type="http://schemas.openxmlformats.org/officeDocument/2006/relationships/hyperlink" Target="http://www.ifrc.org/docs/appeals/rpts04/BDtd220404.pdf" TargetMode="External"/><Relationship Id="rId44" Type="http://schemas.openxmlformats.org/officeDocument/2006/relationships/hyperlink" Target="https://www.ifrc.org/docs/appeals/rpts04/prfi02.pdf" TargetMode="External"/><Relationship Id="rId52" Type="http://schemas.openxmlformats.org/officeDocument/2006/relationships/vmlDrawing" Target="../drawings/vmlDrawing9.vml"/><Relationship Id="rId4" Type="http://schemas.openxmlformats.org/officeDocument/2006/relationships/hyperlink" Target="http://www.ifrc.org/docs/appeals/04/1804fr.pdf" TargetMode="External"/><Relationship Id="rId9" Type="http://schemas.openxmlformats.org/officeDocument/2006/relationships/hyperlink" Target="http://www.ifrc.org/docs/appeals/rpts04/zm040427.pdf" TargetMode="External"/><Relationship Id="rId14" Type="http://schemas.openxmlformats.org/officeDocument/2006/relationships/hyperlink" Target="http://www.ifrc.org/docs/appeals/04/0204fr.pdf" TargetMode="External"/><Relationship Id="rId22" Type="http://schemas.openxmlformats.org/officeDocument/2006/relationships/hyperlink" Target="http://www.ifrc.org/docs/appeals/04/170410.pdf" TargetMode="External"/><Relationship Id="rId27" Type="http://schemas.openxmlformats.org/officeDocument/2006/relationships/hyperlink" Target="../../../Temp/Mapping,%202006%20-2011,%20Draft%20summary,%20Mitiku%202.xls" TargetMode="External"/><Relationship Id="rId30" Type="http://schemas.openxmlformats.org/officeDocument/2006/relationships/hyperlink" Target="http://www.ifrc.org/docs/appeals/rpts04/carjeanne2.pdf" TargetMode="External"/><Relationship Id="rId35" Type="http://schemas.openxmlformats.org/officeDocument/2006/relationships/hyperlink" Target="http://www.ifrc.org/docs/appeals/rpts04/crfl01.pdf" TargetMode="External"/><Relationship Id="rId43" Type="http://schemas.openxmlformats.org/officeDocument/2006/relationships/hyperlink" Target="https://www.ifrc.org/docs/appeals/rpts04/gn040903.pdf" TargetMode="External"/><Relationship Id="rId48" Type="http://schemas.openxmlformats.org/officeDocument/2006/relationships/hyperlink" Target="http://www.ifrc.org/docs/appeals/annual04/100401Togo.pdf" TargetMode="External"/><Relationship Id="rId8" Type="http://schemas.openxmlformats.org/officeDocument/2006/relationships/hyperlink" Target="http://www.ifrc.org/docs/appeals/04/0804fr.pdf" TargetMode="External"/><Relationship Id="rId51" Type="http://schemas.openxmlformats.org/officeDocument/2006/relationships/hyperlink" Target="http://www.ifrc.org/docs/appeals/rpts04/ke040520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frc.org/docs/appeals/03/1403final.pdf" TargetMode="External"/><Relationship Id="rId7" Type="http://schemas.openxmlformats.org/officeDocument/2006/relationships/comments" Target="../comments10.xml"/><Relationship Id="rId2" Type="http://schemas.openxmlformats.org/officeDocument/2006/relationships/hyperlink" Target="http://www.ifrc.org/docs/appeals/03/2303fr.pdf" TargetMode="External"/><Relationship Id="rId1" Type="http://schemas.openxmlformats.org/officeDocument/2006/relationships/hyperlink" Target="http://www.ifrc.org/docs/appeals/03/2503final.pdf" TargetMode="External"/><Relationship Id="rId6" Type="http://schemas.openxmlformats.org/officeDocument/2006/relationships/vmlDrawing" Target="../drawings/vmlDrawing10.vml"/><Relationship Id="rId5" Type="http://schemas.openxmlformats.org/officeDocument/2006/relationships/hyperlink" Target="http://www.ifrc.org/docs/appeals/99/2599fr.pdf" TargetMode="External"/><Relationship Id="rId4" Type="http://schemas.openxmlformats.org/officeDocument/2006/relationships/hyperlink" Target="http://www.ifrc.org/docs/appeals/03/1803fr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ifrc.org/docs/appeals/10/MDRTJ007fr.pdf" TargetMode="External"/><Relationship Id="rId299" Type="http://schemas.openxmlformats.org/officeDocument/2006/relationships/hyperlink" Target="http://www.ifrc.org/docs/appeals/08/MDRCG004dfr.pdf" TargetMode="External"/><Relationship Id="rId21" Type="http://schemas.openxmlformats.org/officeDocument/2006/relationships/hyperlink" Target="http://www.ifrc.org/docs/appeals/11/MDRTD007dfr.pdf" TargetMode="External"/><Relationship Id="rId63" Type="http://schemas.openxmlformats.org/officeDocument/2006/relationships/hyperlink" Target="http://www.ifrc.org/docs/appeals/11/MDRCM011ea.pdf" TargetMode="External"/><Relationship Id="rId159" Type="http://schemas.openxmlformats.org/officeDocument/2006/relationships/hyperlink" Target="http://www.ifrc.org/docs/appeals/10/MDR61006dfr.pdf" TargetMode="External"/><Relationship Id="rId324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66" Type="http://schemas.openxmlformats.org/officeDocument/2006/relationships/hyperlink" Target="http://www.ifrc.org/docs/appeals/08/MDRET002fr.pdf" TargetMode="External"/><Relationship Id="rId531" Type="http://schemas.openxmlformats.org/officeDocument/2006/relationships/hyperlink" Target="https://www.ifrc.org/docs/appeals/rpts04/TZ040407.pdf" TargetMode="External"/><Relationship Id="rId170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226" Type="http://schemas.openxmlformats.org/officeDocument/2006/relationships/hyperlink" Target="http://www.ifrc.org/docs/appeals/08/MDRLA001fr.pdf" TargetMode="External"/><Relationship Id="rId433" Type="http://schemas.openxmlformats.org/officeDocument/2006/relationships/hyperlink" Target="http://www.ifrc.org/docs/appeals/05/M05ME040fr.pdf" TargetMode="External"/><Relationship Id="rId268" Type="http://schemas.openxmlformats.org/officeDocument/2006/relationships/hyperlink" Target="../../../Temp/Mapping,%202006%20-2011,%20Draft%20summary,%20Mitiku.xls" TargetMode="External"/><Relationship Id="rId475" Type="http://schemas.openxmlformats.org/officeDocument/2006/relationships/hyperlink" Target="http://www.ifrc.org/docs/appeals/rpts05/BetaME1.pdf" TargetMode="External"/><Relationship Id="rId32" Type="http://schemas.openxmlformats.org/officeDocument/2006/relationships/hyperlink" Target="http://www.ifrc.org/docs/appeals/11/MDRUG020dfr.pdf" TargetMode="External"/><Relationship Id="rId74" Type="http://schemas.openxmlformats.org/officeDocument/2006/relationships/hyperlink" Target="http://www.ifrc.org/docs/appeals/10/MDR49006fr.pdf" TargetMode="External"/><Relationship Id="rId128" Type="http://schemas.openxmlformats.org/officeDocument/2006/relationships/hyperlink" Target="http://www.ifrc.org/docs/appeals/10/MDRRU008dfr.pdf" TargetMode="External"/><Relationship Id="rId335" Type="http://schemas.openxmlformats.org/officeDocument/2006/relationships/hyperlink" Target="http://www.ifrc.org/docs/appeals/rpts08/MDRCO002final.pdf" TargetMode="External"/><Relationship Id="rId377" Type="http://schemas.openxmlformats.org/officeDocument/2006/relationships/hyperlink" Target="http://www.ifrc.org/docs/appeals/06/MDRRW001fr.pdf" TargetMode="External"/><Relationship Id="rId500" Type="http://schemas.openxmlformats.org/officeDocument/2006/relationships/hyperlink" Target="http://www.ifrc.org/docs/appeals/04/0304fr.pdf" TargetMode="External"/><Relationship Id="rId542" Type="http://schemas.openxmlformats.org/officeDocument/2006/relationships/hyperlink" Target="http://www.ifrc.org/docs/appeals/11/MDRMV001fr.pdf" TargetMode="External"/><Relationship Id="rId5" Type="http://schemas.openxmlformats.org/officeDocument/2006/relationships/hyperlink" Target="http://www.ifrc.org/docs/Appeals/11/MDRCG007FR.pdf" TargetMode="External"/><Relationship Id="rId181" Type="http://schemas.openxmlformats.org/officeDocument/2006/relationships/hyperlink" Target="http://www.ifrc.org/docs/appeals/09/MDRBF008fr.pdf" TargetMode="External"/><Relationship Id="rId237" Type="http://schemas.openxmlformats.org/officeDocument/2006/relationships/hyperlink" Target="http://www.ifrc.org/docs/appeals/08/MDRNG006fr.pdf" TargetMode="External"/><Relationship Id="rId402" Type="http://schemas.openxmlformats.org/officeDocument/2006/relationships/hyperlink" Target="http://www.ifrc.org/docs/appeals/06/MDR67001final.pdf" TargetMode="External"/><Relationship Id="rId279" Type="http://schemas.openxmlformats.org/officeDocument/2006/relationships/hyperlink" Target="http://www.ifrc.org/docs/appeals/08/MDRYE002efr.pdf" TargetMode="External"/><Relationship Id="rId444" Type="http://schemas.openxmlformats.org/officeDocument/2006/relationships/hyperlink" Target="http://www.ifrc.org/docs/appeals/05/05ME054fr.pdf" TargetMode="External"/><Relationship Id="rId486" Type="http://schemas.openxmlformats.org/officeDocument/2006/relationships/hyperlink" Target="../AppData/Local/Microsoft/Windows/Temporary%20Internet%20Files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43" Type="http://schemas.openxmlformats.org/officeDocument/2006/relationships/hyperlink" Target="http://www.ifrc.org/docs/appeals/11/MDRTR002EA.pdf" TargetMode="External"/><Relationship Id="rId139" Type="http://schemas.openxmlformats.org/officeDocument/2006/relationships/hyperlink" Target="http://www.ifrc.org/Utils/Search/Rss.ashx?ac=&amp;at=57&amp;c=&amp;co=&amp;dt=1&amp;f=2011&amp;feed=appeals&amp;re=&amp;t=2011&amp;ti=&amp;zo=" TargetMode="External"/><Relationship Id="rId290" Type="http://schemas.openxmlformats.org/officeDocument/2006/relationships/hyperlink" Target="../../../Temp/Mapping,%202006%20-2011,%20Draft%20summary,%20Mitiku.xls" TargetMode="External"/><Relationship Id="rId304" Type="http://schemas.openxmlformats.org/officeDocument/2006/relationships/hyperlink" Target="http://www.ifrc.org/docs/appeals/07/MDR49001fr.pdf" TargetMode="External"/><Relationship Id="rId346" Type="http://schemas.openxmlformats.org/officeDocument/2006/relationships/hyperlink" Target="http://www.ifrc.org/docs/appeals/07/MDRUG005fr.pdf" TargetMode="External"/><Relationship Id="rId388" Type="http://schemas.openxmlformats.org/officeDocument/2006/relationships/hyperlink" Target="http://www.ifrc.org/docs/appeals/06/MDRSC001fr.pdf" TargetMode="External"/><Relationship Id="rId511" Type="http://schemas.openxmlformats.org/officeDocument/2006/relationships/hyperlink" Target="../../../Temp/Mapping,%202006%20-2011,%20Draft%20summary,%20Mitiku%202.xls" TargetMode="External"/><Relationship Id="rId553" Type="http://schemas.openxmlformats.org/officeDocument/2006/relationships/vmlDrawing" Target="../drawings/vmlDrawing1.vml"/><Relationship Id="rId85" Type="http://schemas.openxmlformats.org/officeDocument/2006/relationships/hyperlink" Target="http://www.ifrc.org/docs/appeals/11/MDRMA004dfr.pdf" TargetMode="External"/><Relationship Id="rId150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192" Type="http://schemas.openxmlformats.org/officeDocument/2006/relationships/hyperlink" Target="http://www.ifrc.org/docs/appeals/rpts09/MDRPY007fr.pdf" TargetMode="External"/><Relationship Id="rId206" Type="http://schemas.openxmlformats.org/officeDocument/2006/relationships/hyperlink" Target="http://www.ifrc.org/docs/appeals/08/MDR49003fr.pdf" TargetMode="External"/><Relationship Id="rId413" Type="http://schemas.openxmlformats.org/officeDocument/2006/relationships/hyperlink" Target="http://www.ifrc.org/docs/appeals/06/MDRET001fr%20rev.pdf" TargetMode="External"/><Relationship Id="rId248" Type="http://schemas.openxmlformats.org/officeDocument/2006/relationships/hyperlink" Target="../../../Temp/Mapping,%202006%20-2011,%20Draft%20summary.xls" TargetMode="External"/><Relationship Id="rId455" Type="http://schemas.openxmlformats.org/officeDocument/2006/relationships/hyperlink" Target="http://www.ifrc.org/docs/appeals/05/05EA023fr.pdf" TargetMode="External"/><Relationship Id="rId497" Type="http://schemas.openxmlformats.org/officeDocument/2006/relationships/hyperlink" Target="http://www.ifrc.org/docs/appeals/04/1404fr.pdf" TargetMode="External"/><Relationship Id="rId12" Type="http://schemas.openxmlformats.org/officeDocument/2006/relationships/hyperlink" Target="http://reliefweb.int/sites/reliefweb.int/files/resources/Full_Report_3195.pdf" TargetMode="External"/><Relationship Id="rId108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Mapping,%202006%20-2011,%20Draft%20summary.xlsx" TargetMode="External"/><Relationship Id="rId315" Type="http://schemas.openxmlformats.org/officeDocument/2006/relationships/hyperlink" Target="http://www.ifrc.org/docs/appeals/08/MDRNG005dfr.pdf" TargetMode="External"/><Relationship Id="rId357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522" Type="http://schemas.openxmlformats.org/officeDocument/2006/relationships/hyperlink" Target="../../../Temp/Mapping,%202006%20-2011,%20Draft%20summary,%20Mitiku%202.xls" TargetMode="External"/><Relationship Id="rId54" Type="http://schemas.openxmlformats.org/officeDocument/2006/relationships/hyperlink" Target="http://www.ifrc.org/docs/Appeals/11/MDRGH004dfr.pdf" TargetMode="External"/><Relationship Id="rId96" Type="http://schemas.openxmlformats.org/officeDocument/2006/relationships/hyperlink" Target="http://www.ifrc.org/docs/appeals/10/MDRRS005dfr.pdf" TargetMode="External"/><Relationship Id="rId161" Type="http://schemas.openxmlformats.org/officeDocument/2006/relationships/hyperlink" Target="http://www.ifrc.org/docs/appeals/09/MDRZM006fr.pdf" TargetMode="External"/><Relationship Id="rId217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99" Type="http://schemas.openxmlformats.org/officeDocument/2006/relationships/hyperlink" Target="http://www.ifrc.org/docs/appeals/06/MDRBF001fr.pdf" TargetMode="External"/><Relationship Id="rId259" Type="http://schemas.openxmlformats.org/officeDocument/2006/relationships/hyperlink" Target="../../../Temp/Mapping,%202006%20-2011,%20Draft%20summary,%20Mitiku.xls" TargetMode="External"/><Relationship Id="rId424" Type="http://schemas.openxmlformats.org/officeDocument/2006/relationships/hyperlink" Target="../../../Temp/Mapping,%202006%20-2011,%20Draft%20summary,%20Mitiku.xls" TargetMode="External"/><Relationship Id="rId466" Type="http://schemas.openxmlformats.org/officeDocument/2006/relationships/hyperlink" Target="http://www.ifrc.org/docs/appeals/rpts05/chea03.pdf" TargetMode="External"/><Relationship Id="rId23" Type="http://schemas.openxmlformats.org/officeDocument/2006/relationships/hyperlink" Target="http://www.ifrc.org/docs/appeals/11/MDRRW007dfr.pdf" TargetMode="External"/><Relationship Id="rId119" Type="http://schemas.openxmlformats.org/officeDocument/2006/relationships/hyperlink" Target="http://www.ifrc.org/docs/appeals/10/MDRKG007EAfr.pdf" TargetMode="External"/><Relationship Id="rId270" Type="http://schemas.openxmlformats.org/officeDocument/2006/relationships/hyperlink" Target="../../../Temp/Mapping,%202006%20-2011,%20Draft%20summary,%20Mitiku.xls" TargetMode="External"/><Relationship Id="rId326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533" Type="http://schemas.openxmlformats.org/officeDocument/2006/relationships/hyperlink" Target="http://www.ifrc.org/docs/appeals/annual04/100401Togo.pdf" TargetMode="External"/><Relationship Id="rId65" Type="http://schemas.openxmlformats.org/officeDocument/2006/relationships/hyperlink" Target="http://www.ifrc.org/docs/Appeals/10/MDRCG006FR.pdf" TargetMode="External"/><Relationship Id="rId130" Type="http://schemas.openxmlformats.org/officeDocument/2006/relationships/hyperlink" Target="http://www.ifrc.org/docs/appeals/10/MDRUA005dfr.pdf" TargetMode="External"/><Relationship Id="rId368" Type="http://schemas.openxmlformats.org/officeDocument/2006/relationships/hyperlink" Target="http://www.ifrc.org/docs/appeals/06/MDRGM002fr.pdf" TargetMode="External"/><Relationship Id="rId172" Type="http://schemas.openxmlformats.org/officeDocument/2006/relationships/hyperlink" Target="http://www.ifrc.org/docs/appeals/11/MDRSY001efr.pdf" TargetMode="External"/><Relationship Id="rId228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435" Type="http://schemas.openxmlformats.org/officeDocument/2006/relationships/hyperlink" Target="http://www.ifrc.org/docs/appeals/05/05ME021fr.pdf" TargetMode="External"/><Relationship Id="rId477" Type="http://schemas.openxmlformats.org/officeDocument/2006/relationships/hyperlink" Target="http://www.ifrc.org/docs/appeals/rpts05/hnts1.pdf" TargetMode="External"/><Relationship Id="rId281" Type="http://schemas.openxmlformats.org/officeDocument/2006/relationships/hyperlink" Target="../../../Temp/Mapping,%202006%20-2011,%20Draft%20summary,%20Mitiku.xls" TargetMode="External"/><Relationship Id="rId337" Type="http://schemas.openxmlformats.org/officeDocument/2006/relationships/hyperlink" Target="http://www.ifrc.org/docs/appeals/07/MDRMG001fr.pdf" TargetMode="External"/><Relationship Id="rId502" Type="http://schemas.openxmlformats.org/officeDocument/2006/relationships/hyperlink" Target="http://www.ifrc.org/docs/appeals/04/0504fr.pdf" TargetMode="External"/><Relationship Id="rId34" Type="http://schemas.openxmlformats.org/officeDocument/2006/relationships/hyperlink" Target="http://www.ifrc.org/docs/appeals/11/MDRKE015dfr.pdf" TargetMode="External"/><Relationship Id="rId76" Type="http://schemas.openxmlformats.org/officeDocument/2006/relationships/hyperlink" Target="http://www.ifrc.org/docs/appeals/10/MDR49007eu7.pdf" TargetMode="External"/><Relationship Id="rId141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Mapping,%202006%20-2011,%20Draft%20summary.xlsx" TargetMode="External"/><Relationship Id="rId379" Type="http://schemas.openxmlformats.org/officeDocument/2006/relationships/hyperlink" Target="http://www.ifrc.org/docs/appeals/06/MDRNG001fr.pdf" TargetMode="External"/><Relationship Id="rId544" Type="http://schemas.openxmlformats.org/officeDocument/2006/relationships/hyperlink" Target="http://www.ifrc.org/docs/appeals/05/05ME010final.pdf" TargetMode="External"/><Relationship Id="rId7" Type="http://schemas.openxmlformats.org/officeDocument/2006/relationships/hyperlink" Target="http://www.ifrc.org/docs/Appeals/11/MDRCF008dfr.pdf" TargetMode="External"/><Relationship Id="rId183" Type="http://schemas.openxmlformats.org/officeDocument/2006/relationships/hyperlink" Target="http://www.ifrc.org/docs/appeals/rpts09/MDRBO004fr.pdf" TargetMode="External"/><Relationship Id="rId239" Type="http://schemas.openxmlformats.org/officeDocument/2006/relationships/hyperlink" Target="http://www.ifrc.org/docs/appeals/08/MDRBJ004dfr.pdf" TargetMode="External"/><Relationship Id="rId390" Type="http://schemas.openxmlformats.org/officeDocument/2006/relationships/hyperlink" Target="http://www.ifrc.org/docs/appeals/06/MDRML001fr.pdf" TargetMode="External"/><Relationship Id="rId404" Type="http://schemas.openxmlformats.org/officeDocument/2006/relationships/hyperlink" Target="http://www.ifrc.org/docs/appeals/rpts06/MDRPE00102.pdf" TargetMode="External"/><Relationship Id="rId446" Type="http://schemas.openxmlformats.org/officeDocument/2006/relationships/hyperlink" Target="http://www.ifrc.org/docs/appeals/05/05ME068fr.pdf" TargetMode="External"/><Relationship Id="rId250" Type="http://schemas.openxmlformats.org/officeDocument/2006/relationships/hyperlink" Target="http://www.ifrc.org/docs/appeals/08/MDR64002fr.pdf" TargetMode="External"/><Relationship Id="rId292" Type="http://schemas.openxmlformats.org/officeDocument/2006/relationships/hyperlink" Target="../../../Temp/Mapping,%202006%20-2011,%20Draft%20summary,%20Mitiku.xls" TargetMode="External"/><Relationship Id="rId306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488" Type="http://schemas.openxmlformats.org/officeDocument/2006/relationships/hyperlink" Target="http://www.ifrc.org/docs/appeals/04/0604final.pdf" TargetMode="External"/><Relationship Id="rId45" Type="http://schemas.openxmlformats.org/officeDocument/2006/relationships/hyperlink" Target="http://www.ifrc.org/docs/appeals/11/MDRCF010.pdf" TargetMode="External"/><Relationship Id="rId87" Type="http://schemas.openxmlformats.org/officeDocument/2006/relationships/hyperlink" Target="http://www.ifrc.org/docs/appeals/10/MDRGH003dfr.pdf" TargetMode="External"/><Relationship Id="rId110" Type="http://schemas.openxmlformats.org/officeDocument/2006/relationships/hyperlink" Target="http://www.ifrc.org/docs/appeals/10/MDRID001_FR.pdf" TargetMode="External"/><Relationship Id="rId348" Type="http://schemas.openxmlformats.org/officeDocument/2006/relationships/hyperlink" Target="http://www.ifrc.org/docs/appeals/07/MDRKV002Final.pdf" TargetMode="External"/><Relationship Id="rId513" Type="http://schemas.openxmlformats.org/officeDocument/2006/relationships/hyperlink" Target="http://www.ifrc.org/docs/appeals/04/250401.pdf" TargetMode="External"/><Relationship Id="rId152" Type="http://schemas.openxmlformats.org/officeDocument/2006/relationships/hyperlink" Target="http://www.ifrc.org/docs/appeals/09/MDRPK002_fr.pdf" TargetMode="External"/><Relationship Id="rId194" Type="http://schemas.openxmlformats.org/officeDocument/2006/relationships/hyperlink" Target="http://www.ifrc.org/docs/appeals/09/MDRSV002fr.pdf" TargetMode="External"/><Relationship Id="rId208" Type="http://schemas.openxmlformats.org/officeDocument/2006/relationships/hyperlink" Target="http://www.ifrc.org/docs/appeals/09/MDRNP002FR.pdf" TargetMode="External"/><Relationship Id="rId415" Type="http://schemas.openxmlformats.org/officeDocument/2006/relationships/hyperlink" Target="http://www.ifrc.org/docs/appeals/06/MDRNG002fr.pdf" TargetMode="External"/><Relationship Id="rId457" Type="http://schemas.openxmlformats.org/officeDocument/2006/relationships/hyperlink" Target="http://www.ifrc.org/docs/appeals/05/05ME015fr.pdf" TargetMode="External"/><Relationship Id="rId261" Type="http://schemas.openxmlformats.org/officeDocument/2006/relationships/hyperlink" Target="http://www.ifrc.org/docs/appeals/rpts08/MDRCO003fr.pdf" TargetMode="External"/><Relationship Id="rId499" Type="http://schemas.openxmlformats.org/officeDocument/2006/relationships/hyperlink" Target="http://www.ifrc.org/docs/appeals/04/0204fr.pdf" TargetMode="External"/><Relationship Id="rId14" Type="http://schemas.openxmlformats.org/officeDocument/2006/relationships/hyperlink" Target="http://www.ifrc.org/docs/appeals/11/MDREG010dfr.pdf" TargetMode="External"/><Relationship Id="rId56" Type="http://schemas.openxmlformats.org/officeDocument/2006/relationships/hyperlink" Target="http://www.ifrc.org/docs/appeals/11/MDRCR008do.pdf" TargetMode="External"/><Relationship Id="rId317" Type="http://schemas.openxmlformats.org/officeDocument/2006/relationships/hyperlink" Target="http://www.ifrc.org/docs/appeals/07/MDREG006final.pdf" TargetMode="External"/><Relationship Id="rId359" Type="http://schemas.openxmlformats.org/officeDocument/2006/relationships/hyperlink" Target="http://www.ifrc.org/docs/appeals/06/MDRBF002dfr.pdf" TargetMode="External"/><Relationship Id="rId524" Type="http://schemas.openxmlformats.org/officeDocument/2006/relationships/hyperlink" Target="https://www.ifrc.org/docs/appeals/rpts04/ukraineexplosionib0204.pdf" TargetMode="External"/><Relationship Id="rId98" Type="http://schemas.openxmlformats.org/officeDocument/2006/relationships/hyperlink" Target="../AppData/Local/Microsoft/Windows/Temporary%20Internet%20Files/mitiku.raga/TEMP/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121" Type="http://schemas.openxmlformats.org/officeDocument/2006/relationships/hyperlink" Target="http://www.ifrc.org/docs/appeals/10/MDR61007rea2.pdf" TargetMode="External"/><Relationship Id="rId163" Type="http://schemas.openxmlformats.org/officeDocument/2006/relationships/hyperlink" Target="http://www.ifrc.org/docs/appeals/09/MDRCF005dfr.pdf" TargetMode="External"/><Relationship Id="rId219" Type="http://schemas.openxmlformats.org/officeDocument/2006/relationships/hyperlink" Target="http://www.ifrc.org/docs/appeals/08/MDRCD005dfr.pdf" TargetMode="External"/><Relationship Id="rId370" Type="http://schemas.openxmlformats.org/officeDocument/2006/relationships/hyperlink" Target="http://www.ifrc.org/docs/appeals/06/MDRML002fr.pdf" TargetMode="External"/><Relationship Id="rId426" Type="http://schemas.openxmlformats.org/officeDocument/2006/relationships/hyperlink" Target="http://www.ifrc.org/docs/appeals/06/MDRZM002%20Final.pdf" TargetMode="External"/><Relationship Id="rId230" Type="http://schemas.openxmlformats.org/officeDocument/2006/relationships/hyperlink" Target="http://www.ifrc.org/docs/appeals/08/MDRUG009fr.pdf" TargetMode="External"/><Relationship Id="rId468" Type="http://schemas.openxmlformats.org/officeDocument/2006/relationships/hyperlink" Target="http://www.ifrc.org/docs/appeals/rpts05/UShurrKatrinaIB0512.pdf" TargetMode="External"/><Relationship Id="rId25" Type="http://schemas.openxmlformats.org/officeDocument/2006/relationships/hyperlink" Target="http://www.ifrc.org/docs/appeals/11/MDRTN004dfr.pdf" TargetMode="External"/><Relationship Id="rId67" Type="http://schemas.openxmlformats.org/officeDocument/2006/relationships/hyperlink" Target="http://www.ifrc.org/docs/appeals/10/MDRVN007fr.pdf" TargetMode="External"/><Relationship Id="rId272" Type="http://schemas.openxmlformats.org/officeDocument/2006/relationships/hyperlink" Target="../../../Temp/Mapping,%202006%20-2011,%20Draft%20summary,%20Mitiku.xls" TargetMode="External"/><Relationship Id="rId328" Type="http://schemas.openxmlformats.org/officeDocument/2006/relationships/hyperlink" Target="http://www.ifrc.org/docs/appeals/07/MDRNG004fr_3.pdf" TargetMode="External"/><Relationship Id="rId535" Type="http://schemas.openxmlformats.org/officeDocument/2006/relationships/hyperlink" Target="../../../Temp/Mapping,%202006%20-2011,%20Draft%20summary.xls" TargetMode="External"/><Relationship Id="rId132" Type="http://schemas.openxmlformats.org/officeDocument/2006/relationships/hyperlink" Target="http://www.ifrc.org/docs/appeals/10/MDRRU007dfr.pdf" TargetMode="External"/><Relationship Id="rId174" Type="http://schemas.openxmlformats.org/officeDocument/2006/relationships/hyperlink" Target="http://www.ifrc.org/docs/appeals/09/MDRBF007dfr.pdf" TargetMode="External"/><Relationship Id="rId381" Type="http://schemas.openxmlformats.org/officeDocument/2006/relationships/hyperlink" Target="http://www.ifrc.org/docs/appeals/06/MDRKE001ifr.pdf" TargetMode="External"/><Relationship Id="rId241" Type="http://schemas.openxmlformats.org/officeDocument/2006/relationships/hyperlink" Target="http://www.ifrc.org/docs/appeals/08/MDR62003efr.pdf" TargetMode="External"/><Relationship Id="rId437" Type="http://schemas.openxmlformats.org/officeDocument/2006/relationships/hyperlink" Target="http://www.ifrc.org/docs/appeals/05/05ME045fr.pdf" TargetMode="External"/><Relationship Id="rId479" Type="http://schemas.openxmlformats.org/officeDocument/2006/relationships/hyperlink" Target="http://www.ifrc.org/docs/appeals/05/05EA015fr.pdf" TargetMode="External"/><Relationship Id="rId15" Type="http://schemas.openxmlformats.org/officeDocument/2006/relationships/hyperlink" Target="http://www.ifrc.org/docs/appeals/11/MDRLS001dfr.pdf" TargetMode="External"/><Relationship Id="rId36" Type="http://schemas.openxmlformats.org/officeDocument/2006/relationships/hyperlink" Target="http://www.ifrc.org/docs/appeals/11/MDRBF011.pdf" TargetMode="External"/><Relationship Id="rId57" Type="http://schemas.openxmlformats.org/officeDocument/2006/relationships/hyperlink" Target="http://www.ifrc.org/docs/appeals/11/MDRMR004pea.pdf" TargetMode="External"/><Relationship Id="rId262" Type="http://schemas.openxmlformats.org/officeDocument/2006/relationships/hyperlink" Target="../../../Temp/Mapping,%202006%20-2011,%20Draft%20summary,%20Mitiku.xls" TargetMode="External"/><Relationship Id="rId283" Type="http://schemas.openxmlformats.org/officeDocument/2006/relationships/hyperlink" Target="../../../Temp/Mapping,%202006%20-2011,%20Draft%20summary,%20Mitiku.xls" TargetMode="External"/><Relationship Id="rId318" Type="http://schemas.openxmlformats.org/officeDocument/2006/relationships/hyperlink" Target="http://www.ifrc.org/docs/appeals/08/MDR61002%20final.pdf" TargetMode="External"/><Relationship Id="rId339" Type="http://schemas.openxmlformats.org/officeDocument/2006/relationships/hyperlink" Target="http://www.ifrc.org/docs/appeals/rpts08/MDRAR002final.pdf" TargetMode="External"/><Relationship Id="rId490" Type="http://schemas.openxmlformats.org/officeDocument/2006/relationships/hyperlink" Target="http://www.ifrc.org/docs/appeals/04/1604FR.pdf" TargetMode="External"/><Relationship Id="rId504" Type="http://schemas.openxmlformats.org/officeDocument/2006/relationships/hyperlink" Target="http://www.ifrc.org/docs/appeals/04/0904fr.pdf" TargetMode="External"/><Relationship Id="rId525" Type="http://schemas.openxmlformats.org/officeDocument/2006/relationships/hyperlink" Target="../../../Temp/Mapping,%202006%20-2011,%20Draft%20summary.xls" TargetMode="External"/><Relationship Id="rId546" Type="http://schemas.openxmlformats.org/officeDocument/2006/relationships/hyperlink" Target="http://www.ifrc.org/docs/appeals/03/2503final.pdf" TargetMode="External"/><Relationship Id="rId78" Type="http://schemas.openxmlformats.org/officeDocument/2006/relationships/hyperlink" Target="http://www.ifrc.org/docs/appeals/10/MDRNE005fr.pdf" TargetMode="External"/><Relationship Id="rId99" Type="http://schemas.openxmlformats.org/officeDocument/2006/relationships/hyperlink" Target="../AppData/Local/Microsoft/Windows/Temporary%20Internet%20Files/mitiku.raga/TEMP/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101" Type="http://schemas.openxmlformats.org/officeDocument/2006/relationships/hyperlink" Target="../AppData/Local/Microsoft/Windows/Temporary%20Internet%20Files/mitiku.raga/TEMP/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122" Type="http://schemas.openxmlformats.org/officeDocument/2006/relationships/hyperlink" Target="http://www.ifrc.org/docs/appeals/10/MDRTD004fr.pdf" TargetMode="External"/><Relationship Id="rId143" Type="http://schemas.openxmlformats.org/officeDocument/2006/relationships/hyperlink" Target="http://www.ifrc.org/docs/appeals/09/MDRLK001FR.pdf" TargetMode="External"/><Relationship Id="rId164" Type="http://schemas.openxmlformats.org/officeDocument/2006/relationships/hyperlink" Target="http://www.ifrc.org/docs/appeals/09/MDRET006fr.pdf" TargetMode="External"/><Relationship Id="rId185" Type="http://schemas.openxmlformats.org/officeDocument/2006/relationships/hyperlink" Target="http://www.ifrc.org/docs/appeals/rpts09/MDRHN001fr.pdf" TargetMode="External"/><Relationship Id="rId350" Type="http://schemas.openxmlformats.org/officeDocument/2006/relationships/hyperlink" Target="http://www.ifrc.org/docs/appeals/07/MDRBD001FR.pdf" TargetMode="External"/><Relationship Id="rId371" Type="http://schemas.openxmlformats.org/officeDocument/2006/relationships/hyperlink" Target="http://www.ifrc.org/docs/appeals/06/MDRAO001final.pdf" TargetMode="External"/><Relationship Id="rId406" Type="http://schemas.openxmlformats.org/officeDocument/2006/relationships/hyperlink" Target="../../../Temp/Mapping,%202006%20-2011,%20Draft%20summary,%20Mitiku.xls" TargetMode="External"/><Relationship Id="rId9" Type="http://schemas.openxmlformats.org/officeDocument/2006/relationships/hyperlink" Target="http://reliefweb.int/sites/reliefweb.int/files/resources/Full_Report_1987.pdf" TargetMode="External"/><Relationship Id="rId210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92" Type="http://schemas.openxmlformats.org/officeDocument/2006/relationships/hyperlink" Target="http://www.ifrc.org/docs/appeals/06/MDRTZ003fr.pdf" TargetMode="External"/><Relationship Id="rId427" Type="http://schemas.openxmlformats.org/officeDocument/2006/relationships/hyperlink" Target="../../../Temp/Mapping,%202006%20-2011,%20Draft%20summary,%20Mitiku.xls" TargetMode="External"/><Relationship Id="rId448" Type="http://schemas.openxmlformats.org/officeDocument/2006/relationships/hyperlink" Target="http://www.ifrc.org/docs/appeals/05/05EA024Final.pdf" TargetMode="External"/><Relationship Id="rId469" Type="http://schemas.openxmlformats.org/officeDocument/2006/relationships/hyperlink" Target="http://www.ifrc.org/docs/appeals/annual04/015104a.pdf" TargetMode="External"/><Relationship Id="rId26" Type="http://schemas.openxmlformats.org/officeDocument/2006/relationships/hyperlink" Target="http://www.ifrc.org/docs/appeals/11/MDRMT001dfr.pdf" TargetMode="External"/><Relationship Id="rId231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252" Type="http://schemas.openxmlformats.org/officeDocument/2006/relationships/hyperlink" Target="../../../Temp/Mapping,%202006%20-2011,%20Draft%20summary,%20Mitiku.xls" TargetMode="External"/><Relationship Id="rId273" Type="http://schemas.openxmlformats.org/officeDocument/2006/relationships/hyperlink" Target="http://www.ifrc.org/docs/appeals/08/MDRKZ002dfr.pdf" TargetMode="External"/><Relationship Id="rId294" Type="http://schemas.openxmlformats.org/officeDocument/2006/relationships/hyperlink" Target="http://www.ifrc.org/docs/appeals/08/MDR43004fr.pdf" TargetMode="External"/><Relationship Id="rId308" Type="http://schemas.openxmlformats.org/officeDocument/2006/relationships/hyperlink" Target="http://www.ifrc.org/docs/appeals/07/MDRBO002fr.pdf" TargetMode="External"/><Relationship Id="rId329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480" Type="http://schemas.openxmlformats.org/officeDocument/2006/relationships/hyperlink" Target="http://www.ifrc.org/docs/appeals/05/05ME070fr.pdf" TargetMode="External"/><Relationship Id="rId515" Type="http://schemas.openxmlformats.org/officeDocument/2006/relationships/hyperlink" Target="http://www.ifrc.org/docs/appeals/rpts04/carjeanne2.pdf" TargetMode="External"/><Relationship Id="rId536" Type="http://schemas.openxmlformats.org/officeDocument/2006/relationships/hyperlink" Target="http://www.ifrc.org/docs/appeals/rpts04/ke040520.pdf" TargetMode="External"/><Relationship Id="rId47" Type="http://schemas.openxmlformats.org/officeDocument/2006/relationships/hyperlink" Target="http://www.ifrc.org/docs/appeals/11/MDRGN00401.pdf" TargetMode="External"/><Relationship Id="rId68" Type="http://schemas.openxmlformats.org/officeDocument/2006/relationships/hyperlink" Target="http://img.static.reliefweb.int/sites/reliefweb.int/files/resources/5F4E289E5E74A0B9C125785600429A48-Full_Report.pdf" TargetMode="External"/><Relationship Id="rId89" Type="http://schemas.openxmlformats.org/officeDocument/2006/relationships/hyperlink" Target="http://www.ifrc.org/docs/appeals/10/MDRSN003dfr.pdf" TargetMode="External"/><Relationship Id="rId112" Type="http://schemas.openxmlformats.org/officeDocument/2006/relationships/hyperlink" Target="http://www.ifrc.org/docs/appeals/10/MDRRW006fr.pdf" TargetMode="External"/><Relationship Id="rId133" Type="http://schemas.openxmlformats.org/officeDocument/2006/relationships/hyperlink" Target="http://www.ifrc.org/docs/appeals/10/MDRUG016fr.pdf" TargetMode="External"/><Relationship Id="rId154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175" Type="http://schemas.openxmlformats.org/officeDocument/2006/relationships/hyperlink" Target="http://www.ifrc.org/docs/appeals/09/MDRNE004dfr.pdf" TargetMode="External"/><Relationship Id="rId340" Type="http://schemas.openxmlformats.org/officeDocument/2006/relationships/hyperlink" Target="http://www.ifrc.org/docs/appeals/09/MDRNP001Final.pdf" TargetMode="External"/><Relationship Id="rId361" Type="http://schemas.openxmlformats.org/officeDocument/2006/relationships/hyperlink" Target="http://www.ifrc.org/docs/appeals/06/MDRPH002fr.pdf" TargetMode="External"/><Relationship Id="rId196" Type="http://schemas.openxmlformats.org/officeDocument/2006/relationships/hyperlink" Target="http://www.ifrc.org/docs/appeals/09/MDRUG013fr.pdf" TargetMode="External"/><Relationship Id="rId200" Type="http://schemas.openxmlformats.org/officeDocument/2006/relationships/hyperlink" Target="http://www.ifrc.org/docs/appeals/09/MDRRS002dfr.pdf" TargetMode="External"/><Relationship Id="rId382" Type="http://schemas.openxmlformats.org/officeDocument/2006/relationships/hyperlink" Target="http://www.ifrc.org/docs/appeals/06/MDRGN001fr.pdf" TargetMode="External"/><Relationship Id="rId417" Type="http://schemas.openxmlformats.org/officeDocument/2006/relationships/hyperlink" Target="../../../Temp/Mapping,%202006%20-2011,%20Draft%20summary,%20Mitiku.xls" TargetMode="External"/><Relationship Id="rId438" Type="http://schemas.openxmlformats.org/officeDocument/2006/relationships/hyperlink" Target="http://www.ifrc.org/docs/appeals/05/05EA016fr.pdf" TargetMode="External"/><Relationship Id="rId459" Type="http://schemas.openxmlformats.org/officeDocument/2006/relationships/hyperlink" Target="http://www.ifrc.org/docs/appeals/05/05EA021Final.pdf" TargetMode="External"/><Relationship Id="rId16" Type="http://schemas.openxmlformats.org/officeDocument/2006/relationships/hyperlink" Target="http://www.ifrc.org/docs/appeals/11/MDRZA005dfr.pdf" TargetMode="External"/><Relationship Id="rId221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242" Type="http://schemas.openxmlformats.org/officeDocument/2006/relationships/hyperlink" Target="http://www.ifrc.org/docs/appeals/08/MDRMG003fr.pdf" TargetMode="External"/><Relationship Id="rId263" Type="http://schemas.openxmlformats.org/officeDocument/2006/relationships/hyperlink" Target="../../../Temp/Mapping,%202006%20-2011,%20Draft%20summary,%20Mitiku.xls" TargetMode="External"/><Relationship Id="rId284" Type="http://schemas.openxmlformats.org/officeDocument/2006/relationships/hyperlink" Target="../../../Temp/Mapping,%202006%20-2011,%20Draft%20summary,%20Mitiku.xls" TargetMode="External"/><Relationship Id="rId319" Type="http://schemas.openxmlformats.org/officeDocument/2006/relationships/hyperlink" Target="http://www.ifrc.org/docs/appeals/07/MDRNA003final.pdf" TargetMode="External"/><Relationship Id="rId470" Type="http://schemas.openxmlformats.org/officeDocument/2006/relationships/hyperlink" Target="http://www.ifrc.org/docs/appeals/rpts05/blfr02.pdf" TargetMode="External"/><Relationship Id="rId491" Type="http://schemas.openxmlformats.org/officeDocument/2006/relationships/hyperlink" Target="http://www.ifrc.org/docs/appeals/04/1504FR.pdf" TargetMode="External"/><Relationship Id="rId505" Type="http://schemas.openxmlformats.org/officeDocument/2006/relationships/hyperlink" Target="http://www.ifrc.org/docs/appeals/04/1104final.pdf" TargetMode="External"/><Relationship Id="rId526" Type="http://schemas.openxmlformats.org/officeDocument/2006/relationships/hyperlink" Target="https://www.ifrc.org/docs/appeals/rpts04/eg040804.pdf" TargetMode="External"/><Relationship Id="rId37" Type="http://schemas.openxmlformats.org/officeDocument/2006/relationships/hyperlink" Target="http://www.ifrc.org/docs/appeals/11/MDRBS001do.pdf" TargetMode="External"/><Relationship Id="rId58" Type="http://schemas.openxmlformats.org/officeDocument/2006/relationships/hyperlink" Target="http://www.ifrc.org/docs/appeals/11/MDRET011ea.pdf" TargetMode="External"/><Relationship Id="rId79" Type="http://schemas.openxmlformats.org/officeDocument/2006/relationships/hyperlink" Target="http://www.ifrc.org/docs/appeals/10/MDRID006fr.pdf" TargetMode="External"/><Relationship Id="rId102" Type="http://schemas.openxmlformats.org/officeDocument/2006/relationships/hyperlink" Target="http://www.ifrc.org/docs/appeals/10/MDRKE013dfr.pdf" TargetMode="External"/><Relationship Id="rId123" Type="http://schemas.openxmlformats.org/officeDocument/2006/relationships/hyperlink" Target="http://www.ifrc.org/docs/appeals/10/MDRTH001fr.pdf" TargetMode="External"/><Relationship Id="rId144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Mapping,%202006%20-2011,%20Draft%20summary.xlsx" TargetMode="External"/><Relationship Id="rId330" Type="http://schemas.openxmlformats.org/officeDocument/2006/relationships/hyperlink" Target="http://www.ifrc.org/docs/appeals/07/MDRPS002final.pdf" TargetMode="External"/><Relationship Id="rId547" Type="http://schemas.openxmlformats.org/officeDocument/2006/relationships/hyperlink" Target="http://www.ifrc.org/docs/appeals/03/2303fr.pdf" TargetMode="External"/><Relationship Id="rId90" Type="http://schemas.openxmlformats.org/officeDocument/2006/relationships/hyperlink" Target="http://www.ifrc.org/docs/appeals/10/MDRGN003dfr.pdf" TargetMode="External"/><Relationship Id="rId165" Type="http://schemas.openxmlformats.org/officeDocument/2006/relationships/hyperlink" Target="http://www.ifrc.org/docs/appeals/09/MDRSN002FR.pdf" TargetMode="External"/><Relationship Id="rId186" Type="http://schemas.openxmlformats.org/officeDocument/2006/relationships/hyperlink" Target="http://www.ifrc.org/docs/appeals/09/MDRIT001dfr.pdf" TargetMode="External"/><Relationship Id="rId351" Type="http://schemas.openxmlformats.org/officeDocument/2006/relationships/hyperlink" Target="http://www.ifrc.org/docs/appeals/07/MDRCM005fr.pdf" TargetMode="External"/><Relationship Id="rId372" Type="http://schemas.openxmlformats.org/officeDocument/2006/relationships/hyperlink" Target="http://www.ifrc.org/docs/appeals/06/MDRML003fr.pdf" TargetMode="External"/><Relationship Id="rId393" Type="http://schemas.openxmlformats.org/officeDocument/2006/relationships/hyperlink" Target="http://www.ifrc.org/docs/appeals/06/MDRUG001fr.pdf" TargetMode="External"/><Relationship Id="rId407" Type="http://schemas.openxmlformats.org/officeDocument/2006/relationships/hyperlink" Target="http://www.ifrc.org/docs/appeals/rpts08/MDR42001final.pdf" TargetMode="External"/><Relationship Id="rId428" Type="http://schemas.openxmlformats.org/officeDocument/2006/relationships/hyperlink" Target="http://www.ifrc.org/docs/appeals/06/MDRBI002fr.pdf" TargetMode="External"/><Relationship Id="rId449" Type="http://schemas.openxmlformats.org/officeDocument/2006/relationships/hyperlink" Target="http://www.ifrc.org/docs/appeals/05/05EA023fr.pdf" TargetMode="External"/><Relationship Id="rId211" Type="http://schemas.openxmlformats.org/officeDocument/2006/relationships/hyperlink" Target="http://www.ifrc.org/docs/appeals/08/MDRPH004fr.pdf" TargetMode="External"/><Relationship Id="rId232" Type="http://schemas.openxmlformats.org/officeDocument/2006/relationships/hyperlink" Target="http://www.ifrc.org/docs/appeals/08/MDRBJ001dfr.pdf" TargetMode="External"/><Relationship Id="rId253" Type="http://schemas.openxmlformats.org/officeDocument/2006/relationships/hyperlink" Target="../../../Temp/Mapping,%202006%20-2011,%20Draft%20summary,%20Mitiku.xls" TargetMode="External"/><Relationship Id="rId274" Type="http://schemas.openxmlformats.org/officeDocument/2006/relationships/hyperlink" Target="../../../Temp/Mapping,%202006%20-2011,%20Draft%20summary,%20Mitiku.xls" TargetMode="External"/><Relationship Id="rId295" Type="http://schemas.openxmlformats.org/officeDocument/2006/relationships/hyperlink" Target="http://www.ifrc.org/docs/appeals/08/MDRCD004fr.pdf" TargetMode="External"/><Relationship Id="rId309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460" Type="http://schemas.openxmlformats.org/officeDocument/2006/relationships/hyperlink" Target="http://www.ifrc.org/docs/appeals/rpts05/alsn1.pdf" TargetMode="External"/><Relationship Id="rId481" Type="http://schemas.openxmlformats.org/officeDocument/2006/relationships/hyperlink" Target="http://www.ifrc.org/docs/appeals/05/05EA003fr.pdf" TargetMode="External"/><Relationship Id="rId516" Type="http://schemas.openxmlformats.org/officeDocument/2006/relationships/hyperlink" Target="http://www.ifrc.org/docs/appeals/rpts04/BDtd220404.pdf" TargetMode="External"/><Relationship Id="rId27" Type="http://schemas.openxmlformats.org/officeDocument/2006/relationships/hyperlink" Target="http://www.ifrc.org/docs/appeals/11/MDRBI006dfr.pdf" TargetMode="External"/><Relationship Id="rId48" Type="http://schemas.openxmlformats.org/officeDocument/2006/relationships/hyperlink" Target="http://www.ifrc.org/docs/appeals/11/MDRUG024.pdf" TargetMode="External"/><Relationship Id="rId69" Type="http://schemas.openxmlformats.org/officeDocument/2006/relationships/hyperlink" Target="http://www.ifrc.org/docs/appeals/10/MDRCO008eu3.pdf" TargetMode="External"/><Relationship Id="rId113" Type="http://schemas.openxmlformats.org/officeDocument/2006/relationships/hyperlink" Target="http://www.ifrc.org/docs/appeals/10/MDRKE012fr.pdf" TargetMode="External"/><Relationship Id="rId134" Type="http://schemas.openxmlformats.org/officeDocument/2006/relationships/hyperlink" Target="http://www.ifrc.org/docs/appeals/10/MDRMZ007fr.pdf" TargetMode="External"/><Relationship Id="rId320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537" Type="http://schemas.openxmlformats.org/officeDocument/2006/relationships/hyperlink" Target="http://www.ifrc.org/docs/appeals/rpts10/MDR43006dfr.pdf" TargetMode="External"/><Relationship Id="rId80" Type="http://schemas.openxmlformats.org/officeDocument/2006/relationships/hyperlink" Target="http://www.ifrc.org/docs/appeals/10/MDRTD005eafr.pdf" TargetMode="External"/><Relationship Id="rId155" Type="http://schemas.openxmlformats.org/officeDocument/2006/relationships/hyperlink" Target="http://www.ifrc.org/docs/appeals/09/MDRCD006dfr.pdf" TargetMode="External"/><Relationship Id="rId176" Type="http://schemas.openxmlformats.org/officeDocument/2006/relationships/hyperlink" Target="http://www.ifrc.org/docs/appeals/rpts08/MDRAR005fr.pdf" TargetMode="External"/><Relationship Id="rId197" Type="http://schemas.openxmlformats.org/officeDocument/2006/relationships/hyperlink" Target="http://www.ifrc.org/docs/appeals/09/MDRUG014fr.pdf" TargetMode="External"/><Relationship Id="rId341" Type="http://schemas.openxmlformats.org/officeDocument/2006/relationships/hyperlink" Target="http://www.ifrc.org/docs/appeals/07/MDRRU002final.pdf" TargetMode="External"/><Relationship Id="rId362" Type="http://schemas.openxmlformats.org/officeDocument/2006/relationships/hyperlink" Target="http://www.ifrc.org/docs/appeals/06/MDRBI001fr.pdf" TargetMode="External"/><Relationship Id="rId383" Type="http://schemas.openxmlformats.org/officeDocument/2006/relationships/hyperlink" Target="http://www.ifrc.org/docs/appeals/06/MDRZM003fr.pdf" TargetMode="External"/><Relationship Id="rId418" Type="http://schemas.openxmlformats.org/officeDocument/2006/relationships/hyperlink" Target="http://www.ifrc.org/docs/appeals/06/MDRMZ001.pdf" TargetMode="External"/><Relationship Id="rId439" Type="http://schemas.openxmlformats.org/officeDocument/2006/relationships/hyperlink" Target="http://www.ifrc.org/docs/appeals/05/05ME013fr.pdf" TargetMode="External"/><Relationship Id="rId201" Type="http://schemas.openxmlformats.org/officeDocument/2006/relationships/hyperlink" Target="http://www.ifrc.org/docs/appeals/08/MDRMM002fr.pdf" TargetMode="External"/><Relationship Id="rId222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243" Type="http://schemas.openxmlformats.org/officeDocument/2006/relationships/hyperlink" Target="http://www.ifrc.org/docs/appeals/08/MDRCN00332.pdf" TargetMode="External"/><Relationship Id="rId264" Type="http://schemas.openxmlformats.org/officeDocument/2006/relationships/hyperlink" Target="../../../Temp/Mapping,%202006%20-2011,%20Draft%20summary,%20Mitiku.xls" TargetMode="External"/><Relationship Id="rId285" Type="http://schemas.openxmlformats.org/officeDocument/2006/relationships/hyperlink" Target="../../../Temp/Mapping,%202006%20-2011,%20Draft%20summary,%20Mitiku.xls" TargetMode="External"/><Relationship Id="rId450" Type="http://schemas.openxmlformats.org/officeDocument/2006/relationships/hyperlink" Target="http://www.ifrc.org/docs/appeals/05/05EA023fr.pdf" TargetMode="External"/><Relationship Id="rId471" Type="http://schemas.openxmlformats.org/officeDocument/2006/relationships/hyperlink" Target="http://www.ifrc.org/docs/appeals/rpts05/meperueq2.pdf" TargetMode="External"/><Relationship Id="rId506" Type="http://schemas.openxmlformats.org/officeDocument/2006/relationships/hyperlink" Target="http://www.ifrc.org/docs/appeals/04/1304f.pdf" TargetMode="External"/><Relationship Id="rId17" Type="http://schemas.openxmlformats.org/officeDocument/2006/relationships/hyperlink" Target="http://www.ifrc.org/docs/appeals/11/MDRLB003dfr.pdf" TargetMode="External"/><Relationship Id="rId38" Type="http://schemas.openxmlformats.org/officeDocument/2006/relationships/hyperlink" Target="http://www.ifrc.org/docs/appeals/11/MDRCD00901.pdf" TargetMode="External"/><Relationship Id="rId59" Type="http://schemas.openxmlformats.org/officeDocument/2006/relationships/hyperlink" Target="http://www.ifrc.org/docs/appeals/11/MDRCO009do.pdf" TargetMode="External"/><Relationship Id="rId103" Type="http://schemas.openxmlformats.org/officeDocument/2006/relationships/hyperlink" Target="../AppData/Local/Microsoft/Windows/Temporary%20Internet%20Files/mitiku.raga/TEMP/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124" Type="http://schemas.openxmlformats.org/officeDocument/2006/relationships/hyperlink" Target="http://www.ifrc.org/docs/appeals/10/MDRUZ002EAfr.pdf" TargetMode="External"/><Relationship Id="rId310" Type="http://schemas.openxmlformats.org/officeDocument/2006/relationships/hyperlink" Target="http://www.ifrc.org/docs/appeals/07/MDRET004frep.pdf" TargetMode="External"/><Relationship Id="rId492" Type="http://schemas.openxmlformats.org/officeDocument/2006/relationships/hyperlink" Target="http://www.ifrc.org/docs/appeals/04/2204f.pdf" TargetMode="External"/><Relationship Id="rId527" Type="http://schemas.openxmlformats.org/officeDocument/2006/relationships/hyperlink" Target="https://www.ifrc.org/docs/appeals/rpts04/hucarib6.pdf" TargetMode="External"/><Relationship Id="rId548" Type="http://schemas.openxmlformats.org/officeDocument/2006/relationships/hyperlink" Target="http://www.ifrc.org/docs/appeals/03/1403final.pdf" TargetMode="External"/><Relationship Id="rId70" Type="http://schemas.openxmlformats.org/officeDocument/2006/relationships/hyperlink" Target="http://www.ifrc.org/docs/appeals/10/MDRSD009fr.pdf" TargetMode="External"/><Relationship Id="rId91" Type="http://schemas.openxmlformats.org/officeDocument/2006/relationships/hyperlink" Target="http://www.ifrc.org/docs/appeals/10/MDRNG008dfr.pdf" TargetMode="External"/><Relationship Id="rId145" Type="http://schemas.openxmlformats.org/officeDocument/2006/relationships/hyperlink" Target="http://www.ifrc.org/docs/appeals/10/MDRCF006eafr.pdf" TargetMode="External"/><Relationship Id="rId166" Type="http://schemas.openxmlformats.org/officeDocument/2006/relationships/hyperlink" Target="http://www.ifrc.org/docs/appeals/09/MDRCO006fr.pdf" TargetMode="External"/><Relationship Id="rId187" Type="http://schemas.openxmlformats.org/officeDocument/2006/relationships/hyperlink" Target="http://www.ifrc.org/docs/appeals/09/MDRKE%20008fr.pdf" TargetMode="External"/><Relationship Id="rId331" Type="http://schemas.openxmlformats.org/officeDocument/2006/relationships/hyperlink" Target="http://www.ifrc.org/docs/appeals/07/MDRTN001final.pdf" TargetMode="External"/><Relationship Id="rId352" Type="http://schemas.openxmlformats.org/officeDocument/2006/relationships/hyperlink" Target="http://www.ifrc.org/docs/appeals/07/MDRIQ002final.pdf" TargetMode="External"/><Relationship Id="rId373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94" Type="http://schemas.openxmlformats.org/officeDocument/2006/relationships/hyperlink" Target="http://www.ifrc.org/docs/appeals/06/MDRUA001final.pdf" TargetMode="External"/><Relationship Id="rId408" Type="http://schemas.openxmlformats.org/officeDocument/2006/relationships/hyperlink" Target="../../../Temp/Mapping,%202006%20-2011,%20Draft%20summary,%20Mitiku.xls" TargetMode="External"/><Relationship Id="rId429" Type="http://schemas.openxmlformats.org/officeDocument/2006/relationships/hyperlink" Target="http://www.ifrc.org/docs/appeals/06/MDRIQ001final.pdf" TargetMode="External"/><Relationship Id="rId1" Type="http://schemas.openxmlformats.org/officeDocument/2006/relationships/hyperlink" Target="http://www.ifrc.org/docs/Appeals/11/MDRLA002drf.pdf" TargetMode="External"/><Relationship Id="rId212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233" Type="http://schemas.openxmlformats.org/officeDocument/2006/relationships/hyperlink" Target="http://www.ifrc.org/docs/appeals/08/MDRBJ002dfr.pdf" TargetMode="External"/><Relationship Id="rId254" Type="http://schemas.openxmlformats.org/officeDocument/2006/relationships/hyperlink" Target="../../../Temp/Mapping,%202006%20-2011,%20Draft%20summary,%20Mitiku.xls" TargetMode="External"/><Relationship Id="rId440" Type="http://schemas.openxmlformats.org/officeDocument/2006/relationships/hyperlink" Target="http://www.ifrc.org/docs/appeals/05/05ME075fr.pdf" TargetMode="External"/><Relationship Id="rId28" Type="http://schemas.openxmlformats.org/officeDocument/2006/relationships/hyperlink" Target="http://www.ifrc.org/docs/appeals/11/MDRTZ011dfr.pdf" TargetMode="External"/><Relationship Id="rId49" Type="http://schemas.openxmlformats.org/officeDocument/2006/relationships/hyperlink" Target="http://www.ifrc.org/docs/appeals/11/MDRPH007REA.pdf" TargetMode="External"/><Relationship Id="rId114" Type="http://schemas.openxmlformats.org/officeDocument/2006/relationships/hyperlink" Target="http://www.ifrc.org/docs/appeals/10/MDRME003dfr.pdf" TargetMode="External"/><Relationship Id="rId275" Type="http://schemas.openxmlformats.org/officeDocument/2006/relationships/hyperlink" Target="../../../Temp/Mapping,%202006%20-2011,%20Draft%20summary,%20Mitiku.xls" TargetMode="External"/><Relationship Id="rId296" Type="http://schemas.openxmlformats.org/officeDocument/2006/relationships/hyperlink" Target="http://www.ifrc.org/docs/appeals/08/MDREG007final.pdf" TargetMode="External"/><Relationship Id="rId300" Type="http://schemas.openxmlformats.org/officeDocument/2006/relationships/hyperlink" Target="http://www.ifrc.org/docs/appeals/07/MDR81002efr.pdf" TargetMode="External"/><Relationship Id="rId461" Type="http://schemas.openxmlformats.org/officeDocument/2006/relationships/hyperlink" Target="http://www.ifrc.org/docs/appeals/05/05ME038.pdf" TargetMode="External"/><Relationship Id="rId482" Type="http://schemas.openxmlformats.org/officeDocument/2006/relationships/hyperlink" Target="http://www.ifrc.org/docs/appeals/05/05ME049ifr.pdf" TargetMode="External"/><Relationship Id="rId517" Type="http://schemas.openxmlformats.org/officeDocument/2006/relationships/hyperlink" Target="http://www.ifrc.org/docs/appeals/04/2004f.pdf" TargetMode="External"/><Relationship Id="rId538" Type="http://schemas.openxmlformats.org/officeDocument/2006/relationships/hyperlink" Target="http://www.ifrc.org/docs/appeals/07/MDR43002fr.pdf" TargetMode="External"/><Relationship Id="rId60" Type="http://schemas.openxmlformats.org/officeDocument/2006/relationships/hyperlink" Target="http://www.ifrc.org/docs/appeals/11/MDRKP003EA.pdf" TargetMode="External"/><Relationship Id="rId81" Type="http://schemas.openxmlformats.org/officeDocument/2006/relationships/hyperlink" Target="http://www.ifrc.org/docs/appeals/09/MDRKE009fr.pdf" TargetMode="External"/><Relationship Id="rId135" Type="http://schemas.openxmlformats.org/officeDocument/2006/relationships/hyperlink" Target="http://www.ifrc.org/docs/appeals/10/MDRMA003dfr.pdf" TargetMode="External"/><Relationship Id="rId156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177" Type="http://schemas.openxmlformats.org/officeDocument/2006/relationships/hyperlink" Target="http://www.ifrc.org/docs/appeals/rpts09/MDRAR004fr.pdf" TargetMode="External"/><Relationship Id="rId198" Type="http://schemas.openxmlformats.org/officeDocument/2006/relationships/hyperlink" Target="http://www.ifrc.org/docs/appeals/rpts09/MDRMX00302.pdf" TargetMode="External"/><Relationship Id="rId321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42" Type="http://schemas.openxmlformats.org/officeDocument/2006/relationships/hyperlink" Target="http://www.ifrc.org/docs/appeals/07/MDR49002fr.pdf" TargetMode="External"/><Relationship Id="rId363" Type="http://schemas.openxmlformats.org/officeDocument/2006/relationships/hyperlink" Target="http://www.ifrc.org/docs/appeals/06/MDRRW002fr.pdf" TargetMode="External"/><Relationship Id="rId384" Type="http://schemas.openxmlformats.org/officeDocument/2006/relationships/hyperlink" Target="http://www.ifrc.org/docs/appeals/06/MDRCI001fr.pdf" TargetMode="External"/><Relationship Id="rId419" Type="http://schemas.openxmlformats.org/officeDocument/2006/relationships/hyperlink" Target="../../../Temp/Mapping,%202006%20-2011,%20Draft%20summary,%20Mitiku.xls" TargetMode="External"/><Relationship Id="rId202" Type="http://schemas.openxmlformats.org/officeDocument/2006/relationships/hyperlink" Target="http://www.ifrc.org/docs/appeals/08/MDRHT005efr.pdf" TargetMode="External"/><Relationship Id="rId223" Type="http://schemas.openxmlformats.org/officeDocument/2006/relationships/hyperlink" Target="http://www.ifrc.org/docs/appeals/08/MDRBJ003dfr.pdf" TargetMode="External"/><Relationship Id="rId244" Type="http://schemas.openxmlformats.org/officeDocument/2006/relationships/hyperlink" Target="http://www.ifrc.org/docs/appeals/08/MDR6400304.pdf" TargetMode="External"/><Relationship Id="rId430" Type="http://schemas.openxmlformats.org/officeDocument/2006/relationships/hyperlink" Target="http://www.ifrc.org/docs/appeals/rpts07/MDRHT001final.pdf" TargetMode="External"/><Relationship Id="rId18" Type="http://schemas.openxmlformats.org/officeDocument/2006/relationships/hyperlink" Target="http://www.ifrc.org/docs/appeals/10/MDRGA005dfr.pdf" TargetMode="External"/><Relationship Id="rId39" Type="http://schemas.openxmlformats.org/officeDocument/2006/relationships/hyperlink" Target="http://www.ifrc.org/docs/appeals/11/MDRCD010.pdf" TargetMode="External"/><Relationship Id="rId265" Type="http://schemas.openxmlformats.org/officeDocument/2006/relationships/hyperlink" Target="../../../Temp/Mapping,%202006%20-2011,%20Draft%20summary,%20Mitiku.xls" TargetMode="External"/><Relationship Id="rId286" Type="http://schemas.openxmlformats.org/officeDocument/2006/relationships/hyperlink" Target="http://www.ifrc.org/docs/appeals/08/MDRUG008fr.pdf" TargetMode="External"/><Relationship Id="rId451" Type="http://schemas.openxmlformats.org/officeDocument/2006/relationships/hyperlink" Target="http://www.ifrc.org/docs/appeals/05/05EA026final.pdf" TargetMode="External"/><Relationship Id="rId472" Type="http://schemas.openxmlformats.org/officeDocument/2006/relationships/hyperlink" Target="http://www.ifrc.org/docs/appeals/rpts05/pydr2.pdf" TargetMode="External"/><Relationship Id="rId493" Type="http://schemas.openxmlformats.org/officeDocument/2006/relationships/hyperlink" Target="http://www.ifrc.org/docs/appeals/04/0804fr.pdf" TargetMode="External"/><Relationship Id="rId507" Type="http://schemas.openxmlformats.org/officeDocument/2006/relationships/hyperlink" Target="http://www.ifrc.org/docs/appeals/04/170410.pdf" TargetMode="External"/><Relationship Id="rId528" Type="http://schemas.openxmlformats.org/officeDocument/2006/relationships/hyperlink" Target="https://www.ifrc.org/docs/appeals/rpts04/gn040903.pdf" TargetMode="External"/><Relationship Id="rId549" Type="http://schemas.openxmlformats.org/officeDocument/2006/relationships/hyperlink" Target="http://www.ifrc.org/docs/appeals/03/1803fr.pdf" TargetMode="External"/><Relationship Id="rId50" Type="http://schemas.openxmlformats.org/officeDocument/2006/relationships/hyperlink" Target="http://www.ifrc.org/docs/appeals/11/MDR46001fr.pdf" TargetMode="External"/><Relationship Id="rId104" Type="http://schemas.openxmlformats.org/officeDocument/2006/relationships/hyperlink" Target="http://www.ifrc.org/docs/appeals/10/MDRMM003fr.pdf" TargetMode="External"/><Relationship Id="rId125" Type="http://schemas.openxmlformats.org/officeDocument/2006/relationships/hyperlink" Target="http://www.ifrc.org/docs/appeals/10/MDRUG017fr.pdf" TargetMode="External"/><Relationship Id="rId146" Type="http://schemas.openxmlformats.org/officeDocument/2006/relationships/hyperlink" Target="http://www.ifrc.org/docs/appeals/09/MDRBD004fr.pdf" TargetMode="External"/><Relationship Id="rId167" Type="http://schemas.openxmlformats.org/officeDocument/2006/relationships/hyperlink" Target="http://www.ifrc.org/docs/appeals/09/MDRKE010fr.pdf" TargetMode="External"/><Relationship Id="rId188" Type="http://schemas.openxmlformats.org/officeDocument/2006/relationships/hyperlink" Target="http://www.ifrc.org/docs/appeals/09/MDRKM002fr.pdf" TargetMode="External"/><Relationship Id="rId311" Type="http://schemas.openxmlformats.org/officeDocument/2006/relationships/hyperlink" Target="http://www.ifrc.org/docs/appeals/07/MDRBF004dfr.pdf" TargetMode="External"/><Relationship Id="rId332" Type="http://schemas.openxmlformats.org/officeDocument/2006/relationships/hyperlink" Target="http://www.ifrc.org/docs/appeals/07/MDRTJ002final.pdf" TargetMode="External"/><Relationship Id="rId353" Type="http://schemas.openxmlformats.org/officeDocument/2006/relationships/hyperlink" Target="http://www.ifrc.org/docs/appeals/07/MDRCD002dfr.pdf" TargetMode="External"/><Relationship Id="rId374" Type="http://schemas.openxmlformats.org/officeDocument/2006/relationships/hyperlink" Target="http://www.ifrc.org/docs/appeals/06/MDRMR001fr.pdf" TargetMode="External"/><Relationship Id="rId395" Type="http://schemas.openxmlformats.org/officeDocument/2006/relationships/hyperlink" Target="http://www.ifrc.org/docs/appeals/06/MDRZM001fr.pdf" TargetMode="External"/><Relationship Id="rId409" Type="http://schemas.openxmlformats.org/officeDocument/2006/relationships/hyperlink" Target="../../../Temp/Mapping,%202006%20-2011,%20Draft%20summary,%20Mitiku.xls" TargetMode="External"/><Relationship Id="rId71" Type="http://schemas.openxmlformats.org/officeDocument/2006/relationships/hyperlink" Target="http://www.ifrc.org/docs/appeals/10/MDRPH006fr.pdf" TargetMode="External"/><Relationship Id="rId92" Type="http://schemas.openxmlformats.org/officeDocument/2006/relationships/hyperlink" Target="http://www.ifrc.org/docs/appeals/10/MDRML005dfr.pdf" TargetMode="External"/><Relationship Id="rId213" Type="http://schemas.openxmlformats.org/officeDocument/2006/relationships/hyperlink" Target="http://www.ifrc.org/docs/appeals/08/MDRMA001final.pdf" TargetMode="External"/><Relationship Id="rId234" Type="http://schemas.openxmlformats.org/officeDocument/2006/relationships/hyperlink" Target="http://www.ifrc.org/docs/appeals/08/MDRTJ004efr.pdf" TargetMode="External"/><Relationship Id="rId420" Type="http://schemas.openxmlformats.org/officeDocument/2006/relationships/hyperlink" Target="../../../Temp/Mapping,%202006%20-2011,%20Draft%20summary,%20Mitiku.xls" TargetMode="External"/><Relationship Id="rId2" Type="http://schemas.openxmlformats.org/officeDocument/2006/relationships/hyperlink" Target="http://www.ifrc.org/docs/Appeals/11/MDRBJ008fr.pdf" TargetMode="External"/><Relationship Id="rId29" Type="http://schemas.openxmlformats.org/officeDocument/2006/relationships/hyperlink" Target="http://www.ifrc.org/docs/appeals/10/MDRSN004dfr.pdf" TargetMode="External"/><Relationship Id="rId255" Type="http://schemas.openxmlformats.org/officeDocument/2006/relationships/hyperlink" Target="../../../Temp/Mapping,%202006%20-2011,%20Draft%20summary,%20Mitiku.xls" TargetMode="External"/><Relationship Id="rId276" Type="http://schemas.openxmlformats.org/officeDocument/2006/relationships/hyperlink" Target="../../../Temp/Mapping,%202006%20-2011,%20Draft%20summary,%20Mitiku.xls" TargetMode="External"/><Relationship Id="rId297" Type="http://schemas.openxmlformats.org/officeDocument/2006/relationships/hyperlink" Target="http://www.ifrc.org/docs/appeals/08/MDRGW001dfr.pdf" TargetMode="External"/><Relationship Id="rId441" Type="http://schemas.openxmlformats.org/officeDocument/2006/relationships/hyperlink" Target="http://www.ifrc.org/docs/appeals/05/05ME020fr.pdf" TargetMode="External"/><Relationship Id="rId462" Type="http://schemas.openxmlformats.org/officeDocument/2006/relationships/hyperlink" Target="http://www.ifrc.org/docs/appeals/05/05ME026ifr.pdf" TargetMode="External"/><Relationship Id="rId483" Type="http://schemas.openxmlformats.org/officeDocument/2006/relationships/hyperlink" Target="http://www.ifrc.org/docs/appeals/05/05EA014F.pdf" TargetMode="External"/><Relationship Id="rId518" Type="http://schemas.openxmlformats.org/officeDocument/2006/relationships/hyperlink" Target="https://www.ifrc.org/docs/appeals/rpts04/tg040531.pdf" TargetMode="External"/><Relationship Id="rId539" Type="http://schemas.openxmlformats.org/officeDocument/2006/relationships/hyperlink" Target="http://www.ifrc.org/docs/appeals/06/MDR64001fr.pdf" TargetMode="External"/><Relationship Id="rId40" Type="http://schemas.openxmlformats.org/officeDocument/2006/relationships/hyperlink" Target="http://www.ifrc.org/docs/appeals/11/MDRGT003ea.pdf" TargetMode="External"/><Relationship Id="rId115" Type="http://schemas.openxmlformats.org/officeDocument/2006/relationships/hyperlink" Target="http://www.ifrc.org/docs/appeals/rpts10/MDRPE004fr.pdf" TargetMode="External"/><Relationship Id="rId136" Type="http://schemas.openxmlformats.org/officeDocument/2006/relationships/hyperlink" Target="http://www.ifrc.org/docs/appeals/10/MDRMW006fr.pdf" TargetMode="External"/><Relationship Id="rId157" Type="http://schemas.openxmlformats.org/officeDocument/2006/relationships/hyperlink" Target="http://www.ifrc.org/docs/appeals/08/MDRCF003dfr.pdf" TargetMode="External"/><Relationship Id="rId178" Type="http://schemas.openxmlformats.org/officeDocument/2006/relationships/hyperlink" Target="http://www.ifrc.org/docs/appeals/09/MDRBA002dfr.pdf" TargetMode="External"/><Relationship Id="rId301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Mapping,%202006%20-2011,%20Draft%20summary.xlsx" TargetMode="External"/><Relationship Id="rId322" Type="http://schemas.openxmlformats.org/officeDocument/2006/relationships/hyperlink" Target="http://www.ifrc.org/docs/appeals/07/MDRCD001fr_.pdf" TargetMode="External"/><Relationship Id="rId343" Type="http://schemas.openxmlformats.org/officeDocument/2006/relationships/hyperlink" Target="http://www.ifrc.org/docs/appeals/08/Mdr63001fr.pdf" TargetMode="External"/><Relationship Id="rId364" Type="http://schemas.openxmlformats.org/officeDocument/2006/relationships/hyperlink" Target="http://www.ifrc.org/docs/appeals/06/MDRET003fr.pdf" TargetMode="External"/><Relationship Id="rId550" Type="http://schemas.openxmlformats.org/officeDocument/2006/relationships/hyperlink" Target="http://www.ifrc.org/docs/appeals/99/2599fr.pdf" TargetMode="External"/><Relationship Id="rId61" Type="http://schemas.openxmlformats.org/officeDocument/2006/relationships/hyperlink" Target="http://www.ifrc.org/docs/appeals/11/MDRVN009ea.pdf" TargetMode="External"/><Relationship Id="rId82" Type="http://schemas.openxmlformats.org/officeDocument/2006/relationships/hyperlink" Target="http://www.ifrc.org/docs/appeals/10/MDRNP004FR.pdf" TargetMode="External"/><Relationship Id="rId199" Type="http://schemas.openxmlformats.org/officeDocument/2006/relationships/hyperlink" Target="http://www.ifrc.org/docs/appeals/09/MDR64006%20final%20report.pdf" TargetMode="External"/><Relationship Id="rId203" Type="http://schemas.openxmlformats.org/officeDocument/2006/relationships/hyperlink" Target="http://www.ifrc.org/docs/appeals/08/MDRZW004fr.pdf" TargetMode="External"/><Relationship Id="rId385" Type="http://schemas.openxmlformats.org/officeDocument/2006/relationships/hyperlink" Target="http://www.ifrc.org/docs/appeals/06/MDRTZ004fr.pdf" TargetMode="External"/><Relationship Id="rId19" Type="http://schemas.openxmlformats.org/officeDocument/2006/relationships/hyperlink" Target="http://www.ifrc.org/docs/appeals/11/MDRMZ008dfr.pdf" TargetMode="External"/><Relationship Id="rId224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245" Type="http://schemas.openxmlformats.org/officeDocument/2006/relationships/hyperlink" Target="http://www.ifrc.org/docs/appeals/08/MDRGE001dfr.pdf" TargetMode="External"/><Relationship Id="rId266" Type="http://schemas.openxmlformats.org/officeDocument/2006/relationships/hyperlink" Target="http://www.ifrc.org/docs/appeals/08/MDRGM004dfr.pdf" TargetMode="External"/><Relationship Id="rId287" Type="http://schemas.openxmlformats.org/officeDocument/2006/relationships/hyperlink" Target="../../../Temp/Mapping,%202006%20-2011,%20Draft%20summary,%20Mitiku.xls" TargetMode="External"/><Relationship Id="rId410" Type="http://schemas.openxmlformats.org/officeDocument/2006/relationships/hyperlink" Target="http://www.ifrc.org/docs/appeals/rpts06/MDRCO001final.pdf" TargetMode="External"/><Relationship Id="rId431" Type="http://schemas.openxmlformats.org/officeDocument/2006/relationships/hyperlink" Target="http://www.ifrc.org/docs/appeals/10/MDRID001_FR.pdf" TargetMode="External"/><Relationship Id="rId452" Type="http://schemas.openxmlformats.org/officeDocument/2006/relationships/hyperlink" Target="http://www.ifrc.org/docs/appeals/05/05EA015fr.pdf" TargetMode="External"/><Relationship Id="rId473" Type="http://schemas.openxmlformats.org/officeDocument/2006/relationships/hyperlink" Target="http://www.ifrc.org/docs/appeals/05/05ME016ifr.pdf" TargetMode="External"/><Relationship Id="rId494" Type="http://schemas.openxmlformats.org/officeDocument/2006/relationships/hyperlink" Target="http://www.ifrc.org/docs/appeals/rpts04/zm040427.pdf" TargetMode="External"/><Relationship Id="rId508" Type="http://schemas.openxmlformats.org/officeDocument/2006/relationships/hyperlink" Target="http://www.ifrc.org/docs/appeals/04/2104f.pdf" TargetMode="External"/><Relationship Id="rId529" Type="http://schemas.openxmlformats.org/officeDocument/2006/relationships/hyperlink" Target="https://www.ifrc.org/docs/appeals/rpts04/prfi02.pdf" TargetMode="External"/><Relationship Id="rId30" Type="http://schemas.openxmlformats.org/officeDocument/2006/relationships/hyperlink" Target="http://www.ifrc.org/docs/appeals/11/MDRVU001DREFFR.pdf" TargetMode="External"/><Relationship Id="rId105" Type="http://schemas.openxmlformats.org/officeDocument/2006/relationships/hyperlink" Target="http://www.ifrc.org/docs/appeals/10/MDRZA004dfr.pdf" TargetMode="External"/><Relationship Id="rId126" Type="http://schemas.openxmlformats.org/officeDocument/2006/relationships/hyperlink" Target="http://www.ifrc.org/docs/appeals/09/MDRSY002ea.pdf" TargetMode="External"/><Relationship Id="rId147" Type="http://schemas.openxmlformats.org/officeDocument/2006/relationships/hyperlink" Target="http://www.ifrc.org/docs/appeals/09/MDRBW001final.pdf" TargetMode="External"/><Relationship Id="rId168" Type="http://schemas.openxmlformats.org/officeDocument/2006/relationships/hyperlink" Target="http://www.ifrc.org/docs/appeals/09/MDR61005ea.pdf" TargetMode="External"/><Relationship Id="rId312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33" Type="http://schemas.openxmlformats.org/officeDocument/2006/relationships/hyperlink" Target="http://www.ifrc.org/docs/appeals/07/MDRGN002dfr.pdf" TargetMode="External"/><Relationship Id="rId354" Type="http://schemas.openxmlformats.org/officeDocument/2006/relationships/hyperlink" Target="http://www.ifrc.org/docs/appeals/07/MDRUG006%20fin%20report%20rev.pdf" TargetMode="External"/><Relationship Id="rId540" Type="http://schemas.openxmlformats.org/officeDocument/2006/relationships/hyperlink" Target="http://www.ifrc.org/docs/appeals/11/MDRDM001do.pdf" TargetMode="External"/><Relationship Id="rId51" Type="http://schemas.openxmlformats.org/officeDocument/2006/relationships/hyperlink" Target="http://www.ifrc.org/docs/appeals/11/MDRMM005dref.pdf" TargetMode="External"/><Relationship Id="rId72" Type="http://schemas.openxmlformats.org/officeDocument/2006/relationships/hyperlink" Target="http://www.ifrc.org/docs/appeals/10/MDRGM006dfr.pdf" TargetMode="External"/><Relationship Id="rId93" Type="http://schemas.openxmlformats.org/officeDocument/2006/relationships/hyperlink" Target="http://www.ifrc.org/docs/appeals/10/MDRCR007dfr.pdf" TargetMode="External"/><Relationship Id="rId189" Type="http://schemas.openxmlformats.org/officeDocument/2006/relationships/hyperlink" Target="http://www.ifrc.org/docs/appeals/09/MDRMG004fr.pdf" TargetMode="External"/><Relationship Id="rId375" Type="http://schemas.openxmlformats.org/officeDocument/2006/relationships/hyperlink" Target="http://www.ifrc.org/docs/appeals/06/MDRSD002fr.pdf" TargetMode="External"/><Relationship Id="rId396" Type="http://schemas.openxmlformats.org/officeDocument/2006/relationships/hyperlink" Target="http://www.ifrc.org/docs/appeals/06/MDRCM002fr.pdf" TargetMode="External"/><Relationship Id="rId3" Type="http://schemas.openxmlformats.org/officeDocument/2006/relationships/hyperlink" Target="http://www.ifrc.org/docs/Appeals/11/MDRTD006fr.pdf" TargetMode="External"/><Relationship Id="rId214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235" Type="http://schemas.openxmlformats.org/officeDocument/2006/relationships/hyperlink" Target="http://www.ifrc.org/docs/appeals/08/MDRLB001dfr.pdf" TargetMode="External"/><Relationship Id="rId256" Type="http://schemas.openxmlformats.org/officeDocument/2006/relationships/hyperlink" Target="../../../Temp/Mapping,%202006%20-2011,%20Draft%20summary,%20Mitiku.xls" TargetMode="External"/><Relationship Id="rId277" Type="http://schemas.openxmlformats.org/officeDocument/2006/relationships/hyperlink" Target="../../../Temp/Mapping,%202006%20-2011,%20Draft%20summary,%20Mitiku.xls" TargetMode="External"/><Relationship Id="rId298" Type="http://schemas.openxmlformats.org/officeDocument/2006/relationships/hyperlink" Target="http://www.ifrc.org/docs/appeals/rpts08/MDRPY005dfr.pdf" TargetMode="External"/><Relationship Id="rId400" Type="http://schemas.openxmlformats.org/officeDocument/2006/relationships/hyperlink" Target="http://www.ifrc.org/docs/appeals/06/MDRZR001fr.pdf" TargetMode="External"/><Relationship Id="rId421" Type="http://schemas.openxmlformats.org/officeDocument/2006/relationships/hyperlink" Target="http://www.ifrc.org/docs/appeals/06/MDRPG00102.pdf" TargetMode="External"/><Relationship Id="rId442" Type="http://schemas.openxmlformats.org/officeDocument/2006/relationships/hyperlink" Target="http://www.ifrc.org/docs/appeals/05/05EA004fr.pdf" TargetMode="External"/><Relationship Id="rId463" Type="http://schemas.openxmlformats.org/officeDocument/2006/relationships/hyperlink" Target="http://www.ifrc.org/docs/appeals/05/05ME029final.pdf" TargetMode="External"/><Relationship Id="rId484" Type="http://schemas.openxmlformats.org/officeDocument/2006/relationships/hyperlink" Target="http://www.ifrc.org/docs/appeals/05/05ME048fr.pdf" TargetMode="External"/><Relationship Id="rId519" Type="http://schemas.openxmlformats.org/officeDocument/2006/relationships/hyperlink" Target="https://www.ifrc.org/docs/appeals/rpts04/spainexplosionib0404.pdf" TargetMode="External"/><Relationship Id="rId116" Type="http://schemas.openxmlformats.org/officeDocument/2006/relationships/hyperlink" Target="http://www.ifrc.org/docs/appeals/10/MDRZM007fr.pdf" TargetMode="External"/><Relationship Id="rId137" Type="http://schemas.openxmlformats.org/officeDocument/2006/relationships/hyperlink" Target="http://www.ifrc.org/docs/appeals/10/MDRRS003dfr.pdf" TargetMode="External"/><Relationship Id="rId158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02" Type="http://schemas.openxmlformats.org/officeDocument/2006/relationships/hyperlink" Target="http://www.ifrc.org/docs/appeals/07/MDRSD004%20Final%20Report.pdf" TargetMode="External"/><Relationship Id="rId323" Type="http://schemas.openxmlformats.org/officeDocument/2006/relationships/hyperlink" Target="http://www.ifrc.org/docs/appeals/07/MDRGM003fr.pdf" TargetMode="External"/><Relationship Id="rId344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530" Type="http://schemas.openxmlformats.org/officeDocument/2006/relationships/hyperlink" Target="https://www.ifrc.org/docs/appeals/rpts04/kosovounrestib0204.pdf" TargetMode="External"/><Relationship Id="rId20" Type="http://schemas.openxmlformats.org/officeDocument/2006/relationships/hyperlink" Target="http://www.ifrc.org/docs/appeals/11/MDRMG007dfr.pdf" TargetMode="External"/><Relationship Id="rId41" Type="http://schemas.openxmlformats.org/officeDocument/2006/relationships/hyperlink" Target="http://www.ifrc.org/docs/appeals/11/MDRPK007EA.pdf" TargetMode="External"/><Relationship Id="rId62" Type="http://schemas.openxmlformats.org/officeDocument/2006/relationships/hyperlink" Target="http://www.ifrc.org/docs/appeals/11/MDRKE018EA.pdf" TargetMode="External"/><Relationship Id="rId83" Type="http://schemas.openxmlformats.org/officeDocument/2006/relationships/hyperlink" Target="http://www.ifrc.org/docs/appeals/10/MDRKP002FR.pdf" TargetMode="External"/><Relationship Id="rId179" Type="http://schemas.openxmlformats.org/officeDocument/2006/relationships/hyperlink" Target="http://www.ifrc.org/docs/appeals/09/MDRBA003dfr.pdf" TargetMode="External"/><Relationship Id="rId365" Type="http://schemas.openxmlformats.org/officeDocument/2006/relationships/hyperlink" Target="http://www.ifrc.org/docs/appeals/08/MDRPH001efr.pdf" TargetMode="External"/><Relationship Id="rId386" Type="http://schemas.openxmlformats.org/officeDocument/2006/relationships/hyperlink" Target="http://www.ifrc.org/docs/appeals/06/MDRCG00101.pdf" TargetMode="External"/><Relationship Id="rId551" Type="http://schemas.openxmlformats.org/officeDocument/2006/relationships/hyperlink" Target="http://www.ifrc.org/docs/appeals/06/MDRNA001fr.pdf" TargetMode="External"/><Relationship Id="rId190" Type="http://schemas.openxmlformats.org/officeDocument/2006/relationships/hyperlink" Target="http://www.ifrc.org/docs/appeals/09/mdrmw004fr.pdf" TargetMode="External"/><Relationship Id="rId204" Type="http://schemas.openxmlformats.org/officeDocument/2006/relationships/hyperlink" Target="http://www.ifrc.org/docs/appeals/08/MDRVN005FR.pdf" TargetMode="External"/><Relationship Id="rId225" Type="http://schemas.openxmlformats.org/officeDocument/2006/relationships/hyperlink" Target="http://www.ifrc.org/docs/appeals/08/MDRBF006dfr.pdf" TargetMode="External"/><Relationship Id="rId246" Type="http://schemas.openxmlformats.org/officeDocument/2006/relationships/hyperlink" Target="http://ifrc.org/docs/appeals/rpts08/MDR43003dfr.pdf" TargetMode="External"/><Relationship Id="rId267" Type="http://schemas.openxmlformats.org/officeDocument/2006/relationships/hyperlink" Target="../../../Temp/Mapping,%202006%20-2011,%20Draft%20summary,%20Mitiku.xls" TargetMode="External"/><Relationship Id="rId288" Type="http://schemas.openxmlformats.org/officeDocument/2006/relationships/hyperlink" Target="../../../Temp/Mapping,%202006%20-2011,%20Draft%20summary,%20Mitiku.xls" TargetMode="External"/><Relationship Id="rId411" Type="http://schemas.openxmlformats.org/officeDocument/2006/relationships/hyperlink" Target="../../../Temp/Mapping,%202006%20-2011,%20Draft%20summary,%20Mitiku.xls" TargetMode="External"/><Relationship Id="rId432" Type="http://schemas.openxmlformats.org/officeDocument/2006/relationships/hyperlink" Target="http://www.ifrc.org/docs/appeals/06/MDRSR001f.pdf" TargetMode="External"/><Relationship Id="rId453" Type="http://schemas.openxmlformats.org/officeDocument/2006/relationships/hyperlink" Target="http://www.ifrc.org/docs/appeals/08/05EA012FR.pdf" TargetMode="External"/><Relationship Id="rId474" Type="http://schemas.openxmlformats.org/officeDocument/2006/relationships/hyperlink" Target="http://www.ifrc.org/docs/appeals/05/05EA02505.pdf" TargetMode="External"/><Relationship Id="rId509" Type="http://schemas.openxmlformats.org/officeDocument/2006/relationships/hyperlink" Target="http://www.ifrc.org/docs/appeals/04/2304f.pdf" TargetMode="External"/><Relationship Id="rId106" Type="http://schemas.openxmlformats.org/officeDocument/2006/relationships/hyperlink" Target="http://www.ifrc.org/docs/appeals/10/MDRGH002fr.pdf" TargetMode="External"/><Relationship Id="rId127" Type="http://schemas.openxmlformats.org/officeDocument/2006/relationships/hyperlink" Target="http://www.ifrc.org/docs/appeals/10/MDRVE001eu3.pdf" TargetMode="External"/><Relationship Id="rId313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495" Type="http://schemas.openxmlformats.org/officeDocument/2006/relationships/hyperlink" Target="../../../Temp/Mapping,%202006%20-2011,%20Draft%20summary,%20Mitiku%202.xls" TargetMode="External"/><Relationship Id="rId10" Type="http://schemas.openxmlformats.org/officeDocument/2006/relationships/hyperlink" Target="http://reliefweb.int/sites/reliefweb.int/files/resources/Full_Report_1578.pdf" TargetMode="External"/><Relationship Id="rId31" Type="http://schemas.openxmlformats.org/officeDocument/2006/relationships/hyperlink" Target="../AppData/Local/Microsoft/Windows/Temporary%20Internet%20Files/mitiku.raga/TEMP/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52" Type="http://schemas.openxmlformats.org/officeDocument/2006/relationships/hyperlink" Target="http://www.ifrc.org/docs/appeals/11/MDRIN007dref3.pdf" TargetMode="External"/><Relationship Id="rId73" Type="http://schemas.openxmlformats.org/officeDocument/2006/relationships/hyperlink" Target="http://www.ifrc.org/docs/appeals/10/MDRRS004EAfr.pdf" TargetMode="External"/><Relationship Id="rId94" Type="http://schemas.openxmlformats.org/officeDocument/2006/relationships/hyperlink" Target="http://www.ifrc.org/docs/appeals/10/MDRBZ002dfr.pdf" TargetMode="External"/><Relationship Id="rId148" Type="http://schemas.openxmlformats.org/officeDocument/2006/relationships/hyperlink" Target="http://www.ifrc.org/docs/appeals/10/MDRRU005dfr.pdf" TargetMode="External"/><Relationship Id="rId169" Type="http://schemas.openxmlformats.org/officeDocument/2006/relationships/hyperlink" Target="http://www.ifrc.org/docs/appeals/09/MDRGA002dfr.pdf" TargetMode="External"/><Relationship Id="rId334" Type="http://schemas.openxmlformats.org/officeDocument/2006/relationships/hyperlink" Target="http://www.ifrc.org/docs/appeals/07/MDRCG002fr2.pdf" TargetMode="External"/><Relationship Id="rId355" Type="http://schemas.openxmlformats.org/officeDocument/2006/relationships/hyperlink" Target="http://www.ifrc.org/docs/Appeals/07/MDRPK001FR.pdf" TargetMode="External"/><Relationship Id="rId376" Type="http://schemas.openxmlformats.org/officeDocument/2006/relationships/hyperlink" Target="http://www.ifrc.org/docs/appeals/06/MDRCN001FR.pdf" TargetMode="External"/><Relationship Id="rId397" Type="http://schemas.openxmlformats.org/officeDocument/2006/relationships/hyperlink" Target="http://www.ifrc.org/docs/appeals/06/MDRTJ001final.pdf" TargetMode="External"/><Relationship Id="rId520" Type="http://schemas.openxmlformats.org/officeDocument/2006/relationships/hyperlink" Target="http://www.ifrc.org/docs/appeals/rpts04/crfl01.pdf" TargetMode="External"/><Relationship Id="rId541" Type="http://schemas.openxmlformats.org/officeDocument/2006/relationships/hyperlink" Target="http://www.ifrc.org/docs/appeals/07/MDR61001final.pdf" TargetMode="External"/><Relationship Id="rId4" Type="http://schemas.openxmlformats.org/officeDocument/2006/relationships/hyperlink" Target="http://www.ifrc.org/docs/Appeals/11/MDRVN008dfr.pdf" TargetMode="External"/><Relationship Id="rId180" Type="http://schemas.openxmlformats.org/officeDocument/2006/relationships/hyperlink" Target="http://www.ifrc.org/docs/appeals/09/MDRBA004dfr.pdf" TargetMode="External"/><Relationship Id="rId215" Type="http://schemas.openxmlformats.org/officeDocument/2006/relationships/hyperlink" Target="http://www.ifrc.org/docs/appeals/08/MDR61003fr.pdf" TargetMode="External"/><Relationship Id="rId236" Type="http://schemas.openxmlformats.org/officeDocument/2006/relationships/hyperlink" Target="http://www.ifrc.org/docs/appeals/08/MDRBF005fr.pdf" TargetMode="External"/><Relationship Id="rId257" Type="http://schemas.openxmlformats.org/officeDocument/2006/relationships/hyperlink" Target="../../../Temp/Mapping,%202006%20-2011,%20Draft%20summary,%20Mitiku.xls" TargetMode="External"/><Relationship Id="rId278" Type="http://schemas.openxmlformats.org/officeDocument/2006/relationships/hyperlink" Target="http://www.ifrc.org/docs/appeals/08/MDRMZ005final.pdf" TargetMode="External"/><Relationship Id="rId401" Type="http://schemas.openxmlformats.org/officeDocument/2006/relationships/hyperlink" Target="http://www.ifrc.org/docs/appeals/06/MDRTD001fr.pdf" TargetMode="External"/><Relationship Id="rId422" Type="http://schemas.openxmlformats.org/officeDocument/2006/relationships/hyperlink" Target="../../../Temp/Mapping,%202006%20-2011,%20Draft%20summary,%20Mitiku.xls" TargetMode="External"/><Relationship Id="rId443" Type="http://schemas.openxmlformats.org/officeDocument/2006/relationships/hyperlink" Target="http://www.ifrc.org/docs/appeals/07/05EA0191FRN.pdf" TargetMode="External"/><Relationship Id="rId464" Type="http://schemas.openxmlformats.org/officeDocument/2006/relationships/hyperlink" Target="http://www.ifrc.org/docs/appeals/rpts05/boiu03.pdf" TargetMode="External"/><Relationship Id="rId303" Type="http://schemas.openxmlformats.org/officeDocument/2006/relationships/hyperlink" Target="http://www.ifrc.org/docs/appeals/07/MDRBD003FR.pdf" TargetMode="External"/><Relationship Id="rId485" Type="http://schemas.openxmlformats.org/officeDocument/2006/relationships/hyperlink" Target="http://www.ifrc.org/docs/appeals/08/05EA013fr.pdf" TargetMode="External"/><Relationship Id="rId42" Type="http://schemas.openxmlformats.org/officeDocument/2006/relationships/hyperlink" Target="http://www.ifrc.org/docs/appeals/11/MDRNE010ea.pdf" TargetMode="External"/><Relationship Id="rId84" Type="http://schemas.openxmlformats.org/officeDocument/2006/relationships/hyperlink" Target="http://www.ifrc.org/docs/appeals/10/MDRTZ010fr.pdf" TargetMode="External"/><Relationship Id="rId138" Type="http://schemas.openxmlformats.org/officeDocument/2006/relationships/hyperlink" Target="http://www.ifrc.org/docs/Appeals/09/MDRPH005fr.pdf" TargetMode="External"/><Relationship Id="rId345" Type="http://schemas.openxmlformats.org/officeDocument/2006/relationships/hyperlink" Target="http://www.ifrc.org/docs/appeals/09/MDRVN002fr.pdf" TargetMode="External"/><Relationship Id="rId387" Type="http://schemas.openxmlformats.org/officeDocument/2006/relationships/hyperlink" Target="http://www.ifrc.org/docs/appeals/06/MDREC002Final.pdf" TargetMode="External"/><Relationship Id="rId510" Type="http://schemas.openxmlformats.org/officeDocument/2006/relationships/hyperlink" Target="http://www.ifrc.org/docs/appeals/04/2404f.pdf" TargetMode="External"/><Relationship Id="rId552" Type="http://schemas.openxmlformats.org/officeDocument/2006/relationships/printerSettings" Target="../printerSettings/printerSettings3.bin"/><Relationship Id="rId191" Type="http://schemas.openxmlformats.org/officeDocument/2006/relationships/hyperlink" Target="http://www.ifrc.org/docs/appeals/rpts09/MDRPY006fr.pdf" TargetMode="External"/><Relationship Id="rId205" Type="http://schemas.openxmlformats.org/officeDocument/2006/relationships/hyperlink" Target="http://www.ifrc.org/docs/appeals/08/MDRET005fr.pdf" TargetMode="External"/><Relationship Id="rId247" Type="http://schemas.openxmlformats.org/officeDocument/2006/relationships/hyperlink" Target="../../../Temp/Mapping,%202006%20-2011,%20Draft%20summary,%20Mitiku.xls" TargetMode="External"/><Relationship Id="rId412" Type="http://schemas.openxmlformats.org/officeDocument/2006/relationships/hyperlink" Target="http://www.ifrc.org/docs/appeals/06/MDR62002fr.pdf" TargetMode="External"/><Relationship Id="rId107" Type="http://schemas.openxmlformats.org/officeDocument/2006/relationships/hyperlink" Target="http://www.ifrc.org/docs/appeals/10/MDRLK002EA.pdf" TargetMode="External"/><Relationship Id="rId289" Type="http://schemas.openxmlformats.org/officeDocument/2006/relationships/hyperlink" Target="../../../Temp/Mapping,%202006%20-2011,%20Draft%20summary,%20Mitiku.xls" TargetMode="External"/><Relationship Id="rId454" Type="http://schemas.openxmlformats.org/officeDocument/2006/relationships/hyperlink" Target="http://www.ifrc.org/docs/appeals/05/05EA024Final.pdf" TargetMode="External"/><Relationship Id="rId496" Type="http://schemas.openxmlformats.org/officeDocument/2006/relationships/hyperlink" Target="http://www.ifrc.org/docs/appeals/rpts04/nimd06.pdf" TargetMode="External"/><Relationship Id="rId11" Type="http://schemas.openxmlformats.org/officeDocument/2006/relationships/hyperlink" Target="http://www.ifrc.org/docs/appeals/11/MDRPH00803.pdf" TargetMode="External"/><Relationship Id="rId53" Type="http://schemas.openxmlformats.org/officeDocument/2006/relationships/hyperlink" Target="http://www.ifrc.org/docs/appeals/11/MDRET010REA.pdf" TargetMode="External"/><Relationship Id="rId149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14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56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98" Type="http://schemas.openxmlformats.org/officeDocument/2006/relationships/hyperlink" Target="http://www.ifrc.org/docs/appeals/06/MDRMW001fr.pdf" TargetMode="External"/><Relationship Id="rId521" Type="http://schemas.openxmlformats.org/officeDocument/2006/relationships/hyperlink" Target="http://www.ifrc.org/docs/appeals/rpts04/cf041125.pdf" TargetMode="External"/><Relationship Id="rId95" Type="http://schemas.openxmlformats.org/officeDocument/2006/relationships/hyperlink" Target="http://www.ifrc.org/docs/appeals/10/MDRBA0062dfr.pdf" TargetMode="External"/><Relationship Id="rId160" Type="http://schemas.openxmlformats.org/officeDocument/2006/relationships/hyperlink" Target="http://www.ifrc.org/docs/appeals/09/MDRCZ001dfr.pdf" TargetMode="External"/><Relationship Id="rId216" Type="http://schemas.openxmlformats.org/officeDocument/2006/relationships/hyperlink" Target="http://www.ifrc.org/docs/appeals/08/MDRSR002fr.pdf" TargetMode="External"/><Relationship Id="rId423" Type="http://schemas.openxmlformats.org/officeDocument/2006/relationships/hyperlink" Target="../../../Temp/Mapping,%202006%20-2011,%20Draft%20summary,%20Mitiku.xls" TargetMode="External"/><Relationship Id="rId258" Type="http://schemas.openxmlformats.org/officeDocument/2006/relationships/hyperlink" Target="../../../Temp/Mapping,%202006%20-2011,%20Draft%20summary,%20Mitiku.xls" TargetMode="External"/><Relationship Id="rId465" Type="http://schemas.openxmlformats.org/officeDocument/2006/relationships/hyperlink" Target="http://www.ifrc.org/docs/appeals/05/05ME035final.pdf" TargetMode="External"/><Relationship Id="rId22" Type="http://schemas.openxmlformats.org/officeDocument/2006/relationships/hyperlink" Target="http://www.ifrc.org/docs/appeals/11/MDRCI002dfr.pdf" TargetMode="External"/><Relationship Id="rId64" Type="http://schemas.openxmlformats.org/officeDocument/2006/relationships/hyperlink" Target="http://reliefweb.int/sites/reliefweb.int/files/resources/Full_Report_3736.pdf" TargetMode="External"/><Relationship Id="rId118" Type="http://schemas.openxmlformats.org/officeDocument/2006/relationships/hyperlink" Target="http://www.ifrc.org/en/publications-and-reports/appeals/?ac=MDRHT008&amp;at=0&amp;c=&amp;co=&amp;dt=1&amp;f=&amp;re=&amp;t=&amp;ti=&amp;zo=" TargetMode="External"/><Relationship Id="rId325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67" Type="http://schemas.openxmlformats.org/officeDocument/2006/relationships/hyperlink" Target="http://www.ifrc.org/docs/appeals/06/MDRSD001fr.pdf" TargetMode="External"/><Relationship Id="rId532" Type="http://schemas.openxmlformats.org/officeDocument/2006/relationships/hyperlink" Target="https://www.ifrc.org/docs/appeals/rpts04/dj040507.pdf" TargetMode="External"/><Relationship Id="rId171" Type="http://schemas.openxmlformats.org/officeDocument/2006/relationships/hyperlink" Target="http://www.ifrc.org/docs/appeals/09/MDRVN006fr.pdf" TargetMode="External"/><Relationship Id="rId227" Type="http://schemas.openxmlformats.org/officeDocument/2006/relationships/hyperlink" Target="http://www.ifrc.org/docs/appeals/08/MDRZW003_final.pdf" TargetMode="External"/><Relationship Id="rId269" Type="http://schemas.openxmlformats.org/officeDocument/2006/relationships/hyperlink" Target="../../../Temp/Mapping,%202006%20-2011,%20Draft%20summary,%20Mitiku.xls" TargetMode="External"/><Relationship Id="rId434" Type="http://schemas.openxmlformats.org/officeDocument/2006/relationships/hyperlink" Target="http://www.ifrc.org/docs/appeals/05/05ME064final.pdf" TargetMode="External"/><Relationship Id="rId476" Type="http://schemas.openxmlformats.org/officeDocument/2006/relationships/hyperlink" Target="http://www.ifrc.org/docs/appeals/rpts05/05ME06502.pdf" TargetMode="External"/><Relationship Id="rId33" Type="http://schemas.openxmlformats.org/officeDocument/2006/relationships/hyperlink" Target="http://www.ifrc.org/docs/appeals/11/MDRMM004fr.pdf" TargetMode="External"/><Relationship Id="rId129" Type="http://schemas.openxmlformats.org/officeDocument/2006/relationships/hyperlink" Target="http://www.ifrc.org/docs/appeals/10/MDRBD007drefFR.pdf" TargetMode="External"/><Relationship Id="rId280" Type="http://schemas.openxmlformats.org/officeDocument/2006/relationships/hyperlink" Target="../../../Temp/Mapping,%202006%20-2011,%20Draft%20summary,%20Mitiku.xls" TargetMode="External"/><Relationship Id="rId336" Type="http://schemas.openxmlformats.org/officeDocument/2006/relationships/hyperlink" Target="http://reliefweb.int/sites/reliefweb.int/files/resources/0CCD161F899C96B4C12573950048FC2C-Full_Report.pdf" TargetMode="External"/><Relationship Id="rId501" Type="http://schemas.openxmlformats.org/officeDocument/2006/relationships/hyperlink" Target="http://www.ifrc.org/docs/appeals/04/0404fr.pdf" TargetMode="External"/><Relationship Id="rId543" Type="http://schemas.openxmlformats.org/officeDocument/2006/relationships/hyperlink" Target="http://www.ifrc.org/docs/appeals/09/MDR61004-64005-63002-finrep.pdf" TargetMode="External"/><Relationship Id="rId75" Type="http://schemas.openxmlformats.org/officeDocument/2006/relationships/hyperlink" Target="http://www.ifrc.org/docs/appeals/10/MDRPA007%20ea.pdf" TargetMode="External"/><Relationship Id="rId140" Type="http://schemas.openxmlformats.org/officeDocument/2006/relationships/hyperlink" Target="http://www.ifrc.org/docs/appeals/09/MDRWS001_FNFINAL.pdf" TargetMode="External"/><Relationship Id="rId182" Type="http://schemas.openxmlformats.org/officeDocument/2006/relationships/hyperlink" Target="http://www.ifrc.org/docs/appeals/09/MDRBJ005dfr.pdf" TargetMode="External"/><Relationship Id="rId378" Type="http://schemas.openxmlformats.org/officeDocument/2006/relationships/hyperlink" Target="http://www.ifrc.org/docs/appeals/06/MDRHT002fr.pdf" TargetMode="External"/><Relationship Id="rId403" Type="http://schemas.openxmlformats.org/officeDocument/2006/relationships/hyperlink" Target="http://www.ifrc.org/docs/appeals/06/MDRKV001final.pdf" TargetMode="External"/><Relationship Id="rId6" Type="http://schemas.openxmlformats.org/officeDocument/2006/relationships/hyperlink" Target="http://reliefweb.int/sites/reliefweb.int/files/resources/Full_Report_3706.pdf" TargetMode="External"/><Relationship Id="rId238" Type="http://schemas.openxmlformats.org/officeDocument/2006/relationships/hyperlink" Target="http://www.ifrc.org/docs/appeals/08/MDRNG007efr.pdf" TargetMode="External"/><Relationship Id="rId445" Type="http://schemas.openxmlformats.org/officeDocument/2006/relationships/hyperlink" Target="http://www.ifrc.org/docs/appeals/05/05ME069fr.pdf" TargetMode="External"/><Relationship Id="rId487" Type="http://schemas.openxmlformats.org/officeDocument/2006/relationships/hyperlink" Target="http://www.ifrc.org/docs/appeals/04/1204FR.pdf" TargetMode="External"/><Relationship Id="rId291" Type="http://schemas.openxmlformats.org/officeDocument/2006/relationships/hyperlink" Target="../../../Temp/Mapping,%202006%20-2011,%20Draft%20summary,%20Mitiku.xls" TargetMode="External"/><Relationship Id="rId305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47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512" Type="http://schemas.openxmlformats.org/officeDocument/2006/relationships/hyperlink" Target="../../../Temp/Mapping,%202006%20-2011,%20Draft%20summary,%20Mitiku%202.xls" TargetMode="External"/><Relationship Id="rId44" Type="http://schemas.openxmlformats.org/officeDocument/2006/relationships/hyperlink" Target="http://www.ifrc.org/docs/appeals/11/MDRIQ004do.pdf" TargetMode="External"/><Relationship Id="rId86" Type="http://schemas.openxmlformats.org/officeDocument/2006/relationships/hyperlink" Target="http://www.ifrc.org/docs/appeals/10/MDRBJ007dfr.pdf" TargetMode="External"/><Relationship Id="rId151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89" Type="http://schemas.openxmlformats.org/officeDocument/2006/relationships/hyperlink" Target="http://www.ifrc.org/docs/appeals/06/MDRPS001Final.pdf" TargetMode="External"/><Relationship Id="rId554" Type="http://schemas.openxmlformats.org/officeDocument/2006/relationships/comments" Target="../comments1.xml"/><Relationship Id="rId193" Type="http://schemas.openxmlformats.org/officeDocument/2006/relationships/hyperlink" Target="http://www.ifrc.org/docs/appeals/09/MDRSD006fr.pdf" TargetMode="External"/><Relationship Id="rId207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249" Type="http://schemas.openxmlformats.org/officeDocument/2006/relationships/hyperlink" Target="../../../Temp/Mapping,%202006%20-2011,%20Draft%20summary,%20Mitiku.xls" TargetMode="External"/><Relationship Id="rId414" Type="http://schemas.openxmlformats.org/officeDocument/2006/relationships/hyperlink" Target="http://www.ifrc.org/docs/appeals/06/MDR62001fr.pdf" TargetMode="External"/><Relationship Id="rId456" Type="http://schemas.openxmlformats.org/officeDocument/2006/relationships/hyperlink" Target="http://www.ifrc.org/docs/appeals/05/05ME051fr.pdf" TargetMode="External"/><Relationship Id="rId498" Type="http://schemas.openxmlformats.org/officeDocument/2006/relationships/hyperlink" Target="http://www.ifrc.org/docs/appeals/04/2604frf.pdf" TargetMode="External"/><Relationship Id="rId13" Type="http://schemas.openxmlformats.org/officeDocument/2006/relationships/hyperlink" Target="http://www.ifrc.org/docs/appeals/annual11/MAABD001PU2.pdf" TargetMode="External"/><Relationship Id="rId109" Type="http://schemas.openxmlformats.org/officeDocument/2006/relationships/hyperlink" Target="http://www.ifrc.org/docs/appeals/10/MDRGA003dfr.pdf" TargetMode="External"/><Relationship Id="rId260" Type="http://schemas.openxmlformats.org/officeDocument/2006/relationships/hyperlink" Target="../../../Temp/Mapping,%202006%20-2011,%20Draft%20summary,%20Mitiku.xls" TargetMode="External"/><Relationship Id="rId316" Type="http://schemas.openxmlformats.org/officeDocument/2006/relationships/hyperlink" Target="http://www.ifrc.org/docs/appeals/07/MDRCM003dfr.pdf" TargetMode="External"/><Relationship Id="rId523" Type="http://schemas.openxmlformats.org/officeDocument/2006/relationships/hyperlink" Target="../../../Temp/Mapping,%202006%20-2011,%20Draft%20summary,%20Mitiku%202.xls" TargetMode="External"/><Relationship Id="rId55" Type="http://schemas.openxmlformats.org/officeDocument/2006/relationships/hyperlink" Target="http://www.ifrc.org/docs/appeals/11/MDRLK003OU4.pdf" TargetMode="External"/><Relationship Id="rId97" Type="http://schemas.openxmlformats.org/officeDocument/2006/relationships/hyperlink" Target="http://www.ifrc.org/docs/appeals/10/MDRME004dfr.pdf" TargetMode="External"/><Relationship Id="rId120" Type="http://schemas.openxmlformats.org/officeDocument/2006/relationships/hyperlink" Target="http://www.ifrc.org/docs/appeals/10/MDRPK006_1YR.pdf" TargetMode="External"/><Relationship Id="rId358" Type="http://schemas.openxmlformats.org/officeDocument/2006/relationships/hyperlink" Target="http://www.ifrc.org/docs/appeals/06/MDR81001final.pdf" TargetMode="External"/><Relationship Id="rId162" Type="http://schemas.openxmlformats.org/officeDocument/2006/relationships/hyperlink" Target="http://www.ifrc.org/docs/appeals/10/MDRCG005dfr.pdf" TargetMode="External"/><Relationship Id="rId218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425" Type="http://schemas.openxmlformats.org/officeDocument/2006/relationships/hyperlink" Target="../../../Temp/Mapping,%202006%20-2011,%20Draft%20summary,%20Mitiku.xls" TargetMode="External"/><Relationship Id="rId467" Type="http://schemas.openxmlformats.org/officeDocument/2006/relationships/hyperlink" Target="http://www.ifrc.org/docs/appeals/05/05ME044final.pdf" TargetMode="External"/><Relationship Id="rId271" Type="http://schemas.openxmlformats.org/officeDocument/2006/relationships/hyperlink" Target="../../../Temp/Mapping,%202006%20-2011,%20Draft%20summary,%20Mitiku.xls" TargetMode="External"/><Relationship Id="rId24" Type="http://schemas.openxmlformats.org/officeDocument/2006/relationships/hyperlink" Target="http://www.ifrc.org/docs/appeals/11/MDRKE017dfr.pdf" TargetMode="External"/><Relationship Id="rId66" Type="http://schemas.openxmlformats.org/officeDocument/2006/relationships/hyperlink" Target="http://reliefweb.int/sites/reliefweb.int/files/resources/MDRPA007ffr.pdf" TargetMode="External"/><Relationship Id="rId131" Type="http://schemas.openxmlformats.org/officeDocument/2006/relationships/hyperlink" Target="http://www.ifrc.org/docs/appeals/10/MDRCF007fr.pdf" TargetMode="External"/><Relationship Id="rId327" Type="http://schemas.openxmlformats.org/officeDocument/2006/relationships/hyperlink" Target="http://www.ifrc.org/docs/appeals/07/MDRTG001fr.pdf" TargetMode="External"/><Relationship Id="rId369" Type="http://schemas.openxmlformats.org/officeDocument/2006/relationships/hyperlink" Target="http://www.ifrc.org/docs/appeals/06/MDRSL001fr.pdf" TargetMode="External"/><Relationship Id="rId534" Type="http://schemas.openxmlformats.org/officeDocument/2006/relationships/hyperlink" Target="../../../Temp/Mapping,%202006%20-2011,%20Draft%20summary.xls" TargetMode="External"/><Relationship Id="rId173" Type="http://schemas.openxmlformats.org/officeDocument/2006/relationships/hyperlink" Target="http://www.ifrc.org/docs/appeals/09/MDRCM007DREF-FR.pdf" TargetMode="External"/><Relationship Id="rId229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80" Type="http://schemas.openxmlformats.org/officeDocument/2006/relationships/hyperlink" Target="http://www.ifrc.org/docs/appeals/06/MDRUG002fr.pdf" TargetMode="External"/><Relationship Id="rId436" Type="http://schemas.openxmlformats.org/officeDocument/2006/relationships/hyperlink" Target="http://www.ifrc.org/docs/appeals/05/05ME014fr.pdf" TargetMode="External"/><Relationship Id="rId240" Type="http://schemas.openxmlformats.org/officeDocument/2006/relationships/hyperlink" Target="http://www.ifrc.org/docs/appeals/08/MDRCM006dfr.pdf" TargetMode="External"/><Relationship Id="rId478" Type="http://schemas.openxmlformats.org/officeDocument/2006/relationships/hyperlink" Target="http://www.ifrc.org/docs/appeals/rpts06/td060302.pdf" TargetMode="External"/><Relationship Id="rId35" Type="http://schemas.openxmlformats.org/officeDocument/2006/relationships/hyperlink" Target="http://www.ifrc.org/docs/Appeals/11/MDR82001RevEA.pdf" TargetMode="External"/><Relationship Id="rId77" Type="http://schemas.openxmlformats.org/officeDocument/2006/relationships/hyperlink" Target="http://www.ifrc.org/docs/appeals/10/MDRBF010fr.pdf" TargetMode="External"/><Relationship Id="rId100" Type="http://schemas.openxmlformats.org/officeDocument/2006/relationships/hyperlink" Target="../AppData/Local/Microsoft/Windows/Temporary%20Internet%20Files/mitiku.raga/TEMP/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282" Type="http://schemas.openxmlformats.org/officeDocument/2006/relationships/hyperlink" Target="../../../Temp/Mapping,%202006%20-2011,%20Draft%20summary,%20Mitiku.xls" TargetMode="External"/><Relationship Id="rId338" Type="http://schemas.openxmlformats.org/officeDocument/2006/relationships/hyperlink" Target="http://www.ifrc.org/docs/appeals/07/MDRML004fr.pdf" TargetMode="External"/><Relationship Id="rId503" Type="http://schemas.openxmlformats.org/officeDocument/2006/relationships/hyperlink" Target="http://www.ifrc.org/docs/appeals/04/0704f.pdf" TargetMode="External"/><Relationship Id="rId545" Type="http://schemas.openxmlformats.org/officeDocument/2006/relationships/hyperlink" Target="http://www.ifrc.org/docs/appeals/10/MDRRU007dfr.pdf" TargetMode="External"/><Relationship Id="rId8" Type="http://schemas.openxmlformats.org/officeDocument/2006/relationships/hyperlink" Target="http://www.ifrc.org/docs/appeals/11/MDRKE014fr.pdf" TargetMode="External"/><Relationship Id="rId142" Type="http://schemas.openxmlformats.org/officeDocument/2006/relationships/hyperlink" Target="http://www.ifrc.org/docs/appeals/09/MDRTN003dfr.pdf" TargetMode="External"/><Relationship Id="rId184" Type="http://schemas.openxmlformats.org/officeDocument/2006/relationships/hyperlink" Target="http://www.ifrc.org/docs/appeals/rpts09/MDRCR005fr.pdf" TargetMode="External"/><Relationship Id="rId391" Type="http://schemas.openxmlformats.org/officeDocument/2006/relationships/hyperlink" Target="http://www.ifrc.org/docs/appeals/06/MDRTZ002fr.pdf" TargetMode="External"/><Relationship Id="rId405" Type="http://schemas.openxmlformats.org/officeDocument/2006/relationships/hyperlink" Target="http://www.ifrc.org/docs/appeals/10/MDRID001_FR.pdf" TargetMode="External"/><Relationship Id="rId447" Type="http://schemas.openxmlformats.org/officeDocument/2006/relationships/hyperlink" Target="http://www.ifrc.org/docs/appeals/05/05EA024Final.pdf" TargetMode="External"/><Relationship Id="rId251" Type="http://schemas.openxmlformats.org/officeDocument/2006/relationships/hyperlink" Target="../../../Temp/Mapping,%202006%20-2011,%20Draft%20summary,%20Mitiku.xls" TargetMode="External"/><Relationship Id="rId489" Type="http://schemas.openxmlformats.org/officeDocument/2006/relationships/hyperlink" Target="http://www.ifrc.org/docs/appeals/04/1804fr.pdf" TargetMode="External"/><Relationship Id="rId46" Type="http://schemas.openxmlformats.org/officeDocument/2006/relationships/hyperlink" Target="http://www.ifrc.org/docs/appeals/11/MDRSN005.pdf" TargetMode="External"/><Relationship Id="rId293" Type="http://schemas.openxmlformats.org/officeDocument/2006/relationships/hyperlink" Target="http://www.ifrc.org/docs/appeals/09/MDRPK002_fr.pdf" TargetMode="External"/><Relationship Id="rId307" Type="http://schemas.openxmlformats.org/officeDocument/2006/relationships/hyperlink" Target="http://www.ifrc.org/docs/appeals/07/MDRSB001FR.pdf" TargetMode="External"/><Relationship Id="rId349" Type="http://schemas.openxmlformats.org/officeDocument/2006/relationships/hyperlink" Target="http://www.ifrc.org/docs/appeals/07/MDRRS001final.pdf" TargetMode="External"/><Relationship Id="rId514" Type="http://schemas.openxmlformats.org/officeDocument/2006/relationships/hyperlink" Target="http://www.ifrc.org/docs/appeals/04/2704ifr.pdf" TargetMode="External"/><Relationship Id="rId88" Type="http://schemas.openxmlformats.org/officeDocument/2006/relationships/hyperlink" Target="http://www.ifrc.org/docs/appeals/10/MDRTG003dfr.pdf" TargetMode="External"/><Relationship Id="rId111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Mapping,%202006%20-2011,%20Draft%20summary.xlsx" TargetMode="External"/><Relationship Id="rId153" Type="http://schemas.openxmlformats.org/officeDocument/2006/relationships/hyperlink" Target="http://www.ifrc.org/docs/appeals/09/MDRCF004dfr.pdf" TargetMode="External"/><Relationship Id="rId195" Type="http://schemas.openxmlformats.org/officeDocument/2006/relationships/hyperlink" Target="http://www.ifrc.org/docs/appeals/09/MDRTZ008fr.pdf" TargetMode="External"/><Relationship Id="rId209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60" Type="http://schemas.openxmlformats.org/officeDocument/2006/relationships/hyperlink" Target="http://www.ifrc.org/docs/appeals/06/MDRGM001dfr.pdf" TargetMode="External"/><Relationship Id="rId416" Type="http://schemas.openxmlformats.org/officeDocument/2006/relationships/hyperlink" Target="../../../Temp/Mapping,%202006%20-2011,%20Draft%20summary,%20Mitiku.xls" TargetMode="External"/><Relationship Id="rId220" Type="http://schemas.openxmlformats.org/officeDocument/2006/relationships/hyperlink" Target="../AppData/Local/Microsoft/Windows/Temporary%20Internet%20Files/mitiku.raga/Local%20Settings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458" Type="http://schemas.openxmlformats.org/officeDocument/2006/relationships/hyperlink" Target="http://www.ifrc.org/docs/appeals/rpts05/2crfl0105.pdf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ifrc.org/docs/appeals/annual11/MAABD001PU2.pdf" TargetMode="External"/><Relationship Id="rId18" Type="http://schemas.openxmlformats.org/officeDocument/2006/relationships/hyperlink" Target="http://www.ifrc.org/docs/appeals/10/MDRGA005dfr.pdf" TargetMode="External"/><Relationship Id="rId26" Type="http://schemas.openxmlformats.org/officeDocument/2006/relationships/hyperlink" Target="http://www.ifrc.org/docs/appeals/11/MDRMT001dfr.pdf" TargetMode="External"/><Relationship Id="rId39" Type="http://schemas.openxmlformats.org/officeDocument/2006/relationships/hyperlink" Target="http://www.ifrc.org/docs/appeals/11/MDRCD010.pdf" TargetMode="External"/><Relationship Id="rId21" Type="http://schemas.openxmlformats.org/officeDocument/2006/relationships/hyperlink" Target="http://www.ifrc.org/docs/appeals/11/MDRTD007dfr.pdf" TargetMode="External"/><Relationship Id="rId34" Type="http://schemas.openxmlformats.org/officeDocument/2006/relationships/hyperlink" Target="http://www.ifrc.org/docs/appeals/11/MDRKE015dfr.pdf" TargetMode="External"/><Relationship Id="rId42" Type="http://schemas.openxmlformats.org/officeDocument/2006/relationships/hyperlink" Target="http://www.ifrc.org/docs/appeals/11/MDRNE010ea.pdf" TargetMode="External"/><Relationship Id="rId47" Type="http://schemas.openxmlformats.org/officeDocument/2006/relationships/hyperlink" Target="http://www.ifrc.org/docs/appeals/11/MDRGN00401.pdf" TargetMode="External"/><Relationship Id="rId50" Type="http://schemas.openxmlformats.org/officeDocument/2006/relationships/hyperlink" Target="http://www.ifrc.org/docs/appeals/11/MDR46001fr.pdf" TargetMode="External"/><Relationship Id="rId55" Type="http://schemas.openxmlformats.org/officeDocument/2006/relationships/hyperlink" Target="http://www.ifrc.org/docs/appeals/11/MDRLK003OU4.pdf" TargetMode="External"/><Relationship Id="rId63" Type="http://schemas.openxmlformats.org/officeDocument/2006/relationships/hyperlink" Target="http://www.ifrc.org/docs/appeals/11/MDRCM011ea.pdf" TargetMode="External"/><Relationship Id="rId68" Type="http://schemas.openxmlformats.org/officeDocument/2006/relationships/comments" Target="../comments2.xml"/><Relationship Id="rId7" Type="http://schemas.openxmlformats.org/officeDocument/2006/relationships/hyperlink" Target="http://www.ifrc.org/docs/Appeals/11/MDRCF008dfr.pdf" TargetMode="External"/><Relationship Id="rId2" Type="http://schemas.openxmlformats.org/officeDocument/2006/relationships/hyperlink" Target="http://www.ifrc.org/docs/Appeals/11/MDRBJ008fr.pdf" TargetMode="External"/><Relationship Id="rId16" Type="http://schemas.openxmlformats.org/officeDocument/2006/relationships/hyperlink" Target="http://www.ifrc.org/docs/appeals/11/MDRZA005dfr.pdf" TargetMode="External"/><Relationship Id="rId29" Type="http://schemas.openxmlformats.org/officeDocument/2006/relationships/hyperlink" Target="http://www.ifrc.org/docs/appeals/10/MDRSN004dfr.pdf" TargetMode="External"/><Relationship Id="rId1" Type="http://schemas.openxmlformats.org/officeDocument/2006/relationships/hyperlink" Target="http://www.ifrc.org/docs/Appeals/11/MDRLA002drf.pdf" TargetMode="External"/><Relationship Id="rId6" Type="http://schemas.openxmlformats.org/officeDocument/2006/relationships/hyperlink" Target="http://reliefweb.int/sites/reliefweb.int/files/resources/Full_Report_3706.pdf" TargetMode="External"/><Relationship Id="rId11" Type="http://schemas.openxmlformats.org/officeDocument/2006/relationships/hyperlink" Target="http://www.ifrc.org/docs/appeals/11/MDRPH00803.pdf" TargetMode="External"/><Relationship Id="rId24" Type="http://schemas.openxmlformats.org/officeDocument/2006/relationships/hyperlink" Target="http://www.ifrc.org/docs/appeals/11/MDRKE017dfr.pdf" TargetMode="External"/><Relationship Id="rId32" Type="http://schemas.openxmlformats.org/officeDocument/2006/relationships/hyperlink" Target="http://www.ifrc.org/docs/appeals/11/MDRUG020dfr.pdf" TargetMode="External"/><Relationship Id="rId37" Type="http://schemas.openxmlformats.org/officeDocument/2006/relationships/hyperlink" Target="http://www.ifrc.org/docs/appeals/11/MDRBS001do.pdf" TargetMode="External"/><Relationship Id="rId40" Type="http://schemas.openxmlformats.org/officeDocument/2006/relationships/hyperlink" Target="http://www.ifrc.org/docs/appeals/11/MDRGT003ea.pdf" TargetMode="External"/><Relationship Id="rId45" Type="http://schemas.openxmlformats.org/officeDocument/2006/relationships/hyperlink" Target="http://www.ifrc.org/docs/appeals/11/MDRCF010.pdf" TargetMode="External"/><Relationship Id="rId53" Type="http://schemas.openxmlformats.org/officeDocument/2006/relationships/hyperlink" Target="http://www.ifrc.org/docs/appeals/11/MDRET010REA.pdf" TargetMode="External"/><Relationship Id="rId58" Type="http://schemas.openxmlformats.org/officeDocument/2006/relationships/hyperlink" Target="http://www.ifrc.org/docs/appeals/11/MDRET011ea.pdf" TargetMode="External"/><Relationship Id="rId66" Type="http://schemas.openxmlformats.org/officeDocument/2006/relationships/printerSettings" Target="../printerSettings/printerSettings4.bin"/><Relationship Id="rId5" Type="http://schemas.openxmlformats.org/officeDocument/2006/relationships/hyperlink" Target="http://www.ifrc.org/docs/Appeals/11/MDRCG007FR.pdf" TargetMode="External"/><Relationship Id="rId15" Type="http://schemas.openxmlformats.org/officeDocument/2006/relationships/hyperlink" Target="http://www.ifrc.org/docs/appeals/11/MDRLS001dfr.pdf" TargetMode="External"/><Relationship Id="rId23" Type="http://schemas.openxmlformats.org/officeDocument/2006/relationships/hyperlink" Target="http://www.ifrc.org/docs/appeals/11/MDRRW007dfr.pdf" TargetMode="External"/><Relationship Id="rId28" Type="http://schemas.openxmlformats.org/officeDocument/2006/relationships/hyperlink" Target="http://www.ifrc.org/docs/appeals/11/MDRTZ011dfr.pdf" TargetMode="External"/><Relationship Id="rId36" Type="http://schemas.openxmlformats.org/officeDocument/2006/relationships/hyperlink" Target="http://www.ifrc.org/docs/appeals/11/MDRBF011.pdf" TargetMode="External"/><Relationship Id="rId49" Type="http://schemas.openxmlformats.org/officeDocument/2006/relationships/hyperlink" Target="http://www.ifrc.org/docs/appeals/11/MDRPH007REA.pdf" TargetMode="External"/><Relationship Id="rId57" Type="http://schemas.openxmlformats.org/officeDocument/2006/relationships/hyperlink" Target="http://www.ifrc.org/docs/appeals/11/MDRMR004pea.pdf" TargetMode="External"/><Relationship Id="rId61" Type="http://schemas.openxmlformats.org/officeDocument/2006/relationships/hyperlink" Target="http://www.ifrc.org/docs/appeals/11/MDRVN009ea.pdf" TargetMode="External"/><Relationship Id="rId10" Type="http://schemas.openxmlformats.org/officeDocument/2006/relationships/hyperlink" Target="http://reliefweb.int/sites/reliefweb.int/files/resources/Full_Report_1578.pdf" TargetMode="External"/><Relationship Id="rId19" Type="http://schemas.openxmlformats.org/officeDocument/2006/relationships/hyperlink" Target="http://www.ifrc.org/docs/appeals/11/MDRMZ008dfr.pdf" TargetMode="External"/><Relationship Id="rId31" Type="http://schemas.openxmlformats.org/officeDocument/2006/relationships/hyperlink" Target="file://C:\Documents%20and%20Settings\mitiku.raga\TEMP\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44" Type="http://schemas.openxmlformats.org/officeDocument/2006/relationships/hyperlink" Target="http://www.ifrc.org/docs/appeals/11/MDRIQ004do.pdf" TargetMode="External"/><Relationship Id="rId52" Type="http://schemas.openxmlformats.org/officeDocument/2006/relationships/hyperlink" Target="http://www.ifrc.org/docs/appeals/11/MDRIN007dref3.pdf" TargetMode="External"/><Relationship Id="rId60" Type="http://schemas.openxmlformats.org/officeDocument/2006/relationships/hyperlink" Target="http://www.ifrc.org/docs/appeals/11/MDRKP003EA.pdf" TargetMode="External"/><Relationship Id="rId65" Type="http://schemas.openxmlformats.org/officeDocument/2006/relationships/hyperlink" Target="http://www.ifrc.org/docs/appeals/11/MDRMV001fr.pdf" TargetMode="External"/><Relationship Id="rId4" Type="http://schemas.openxmlformats.org/officeDocument/2006/relationships/hyperlink" Target="http://www.ifrc.org/docs/Appeals/11/MDRVN008dfr.pdf" TargetMode="External"/><Relationship Id="rId9" Type="http://schemas.openxmlformats.org/officeDocument/2006/relationships/hyperlink" Target="http://reliefweb.int/sites/reliefweb.int/files/resources/Full_Report_1987.pdf" TargetMode="External"/><Relationship Id="rId14" Type="http://schemas.openxmlformats.org/officeDocument/2006/relationships/hyperlink" Target="http://www.ifrc.org/docs/appeals/11/MDREG010dfr.pdf" TargetMode="External"/><Relationship Id="rId22" Type="http://schemas.openxmlformats.org/officeDocument/2006/relationships/hyperlink" Target="http://www.ifrc.org/docs/appeals/11/MDRCI002dfr.pdf" TargetMode="External"/><Relationship Id="rId27" Type="http://schemas.openxmlformats.org/officeDocument/2006/relationships/hyperlink" Target="http://www.ifrc.org/docs/appeals/11/MDRBI006dfr.pdf" TargetMode="External"/><Relationship Id="rId30" Type="http://schemas.openxmlformats.org/officeDocument/2006/relationships/hyperlink" Target="http://www.ifrc.org/docs/appeals/11/MDRVU001DREFFR.pdf" TargetMode="External"/><Relationship Id="rId35" Type="http://schemas.openxmlformats.org/officeDocument/2006/relationships/hyperlink" Target="http://www.ifrc.org/docs/Appeals/11/MDR82001RevEA.pdf" TargetMode="External"/><Relationship Id="rId43" Type="http://schemas.openxmlformats.org/officeDocument/2006/relationships/hyperlink" Target="http://www.ifrc.org/docs/appeals/11/MDRTR002EA.pdf" TargetMode="External"/><Relationship Id="rId48" Type="http://schemas.openxmlformats.org/officeDocument/2006/relationships/hyperlink" Target="http://www.ifrc.org/docs/appeals/11/MDRUG024.pdf" TargetMode="External"/><Relationship Id="rId56" Type="http://schemas.openxmlformats.org/officeDocument/2006/relationships/hyperlink" Target="http://www.ifrc.org/docs/appeals/11/MDRCR008do.pdf" TargetMode="External"/><Relationship Id="rId64" Type="http://schemas.openxmlformats.org/officeDocument/2006/relationships/hyperlink" Target="http://www.ifrc.org/docs/appeals/11/MDRDM001do.pdf" TargetMode="External"/><Relationship Id="rId8" Type="http://schemas.openxmlformats.org/officeDocument/2006/relationships/hyperlink" Target="http://www.ifrc.org/docs/appeals/11/MDRKE014fr.pdf" TargetMode="External"/><Relationship Id="rId51" Type="http://schemas.openxmlformats.org/officeDocument/2006/relationships/hyperlink" Target="http://www.ifrc.org/docs/appeals/11/MDRMM005dref.pdf" TargetMode="External"/><Relationship Id="rId3" Type="http://schemas.openxmlformats.org/officeDocument/2006/relationships/hyperlink" Target="http://www.ifrc.org/docs/Appeals/11/MDRTD006fr.pdf" TargetMode="External"/><Relationship Id="rId12" Type="http://schemas.openxmlformats.org/officeDocument/2006/relationships/hyperlink" Target="http://reliefweb.int/sites/reliefweb.int/files/resources/Full_Report_3195.pdf" TargetMode="External"/><Relationship Id="rId17" Type="http://schemas.openxmlformats.org/officeDocument/2006/relationships/hyperlink" Target="http://www.ifrc.org/docs/appeals/11/MDRLB003dfr.pdf" TargetMode="External"/><Relationship Id="rId25" Type="http://schemas.openxmlformats.org/officeDocument/2006/relationships/hyperlink" Target="http://www.ifrc.org/docs/appeals/11/MDRTN004dfr.pdf" TargetMode="External"/><Relationship Id="rId33" Type="http://schemas.openxmlformats.org/officeDocument/2006/relationships/hyperlink" Target="http://www.ifrc.org/docs/appeals/11/MDRMM004fr.pdf" TargetMode="External"/><Relationship Id="rId38" Type="http://schemas.openxmlformats.org/officeDocument/2006/relationships/hyperlink" Target="http://www.ifrc.org/docs/appeals/11/MDRCD00901.pdf" TargetMode="External"/><Relationship Id="rId46" Type="http://schemas.openxmlformats.org/officeDocument/2006/relationships/hyperlink" Target="http://www.ifrc.org/docs/appeals/11/MDRSN005.pdf" TargetMode="External"/><Relationship Id="rId59" Type="http://schemas.openxmlformats.org/officeDocument/2006/relationships/hyperlink" Target="http://www.ifrc.org/docs/appeals/11/MDRCO009do.pdf" TargetMode="External"/><Relationship Id="rId67" Type="http://schemas.openxmlformats.org/officeDocument/2006/relationships/vmlDrawing" Target="../drawings/vmlDrawing2.vml"/><Relationship Id="rId20" Type="http://schemas.openxmlformats.org/officeDocument/2006/relationships/hyperlink" Target="http://www.ifrc.org/docs/appeals/11/MDRMG007dfr.pdf" TargetMode="External"/><Relationship Id="rId41" Type="http://schemas.openxmlformats.org/officeDocument/2006/relationships/hyperlink" Target="http://www.ifrc.org/docs/appeals/11/MDRPK007EA.pdf" TargetMode="External"/><Relationship Id="rId54" Type="http://schemas.openxmlformats.org/officeDocument/2006/relationships/hyperlink" Target="http://www.ifrc.org/docs/Appeals/11/MDRGH004dfr.pdf" TargetMode="External"/><Relationship Id="rId62" Type="http://schemas.openxmlformats.org/officeDocument/2006/relationships/hyperlink" Target="http://www.ifrc.org/docs/appeals/11/MDRKE018EA.pdf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ifrc.org/docs/appeals/10/MDR49007eu7.pdf" TargetMode="External"/><Relationship Id="rId18" Type="http://schemas.openxmlformats.org/officeDocument/2006/relationships/hyperlink" Target="http://www.ifrc.org/docs/appeals/09/MDRKE009fr.pdf" TargetMode="External"/><Relationship Id="rId26" Type="http://schemas.openxmlformats.org/officeDocument/2006/relationships/hyperlink" Target="http://www.ifrc.org/docs/appeals/10/MDRSN003dfr.pdf" TargetMode="External"/><Relationship Id="rId39" Type="http://schemas.openxmlformats.org/officeDocument/2006/relationships/hyperlink" Target="http://www.ifrc.org/docs/appeals/10/MDRKE013dfr.pdf" TargetMode="External"/><Relationship Id="rId21" Type="http://schemas.openxmlformats.org/officeDocument/2006/relationships/hyperlink" Target="http://www.ifrc.org/docs/appeals/10/MDRTZ010fr.pdf" TargetMode="External"/><Relationship Id="rId34" Type="http://schemas.openxmlformats.org/officeDocument/2006/relationships/hyperlink" Target="http://www.ifrc.org/docs/appeals/10/MDRME004dfr.pdf" TargetMode="External"/><Relationship Id="rId42" Type="http://schemas.openxmlformats.org/officeDocument/2006/relationships/hyperlink" Target="http://www.ifrc.org/docs/appeals/10/MDRZA004dfr.pdf" TargetMode="External"/><Relationship Id="rId47" Type="http://schemas.openxmlformats.org/officeDocument/2006/relationships/hyperlink" Target="http://www.ifrc.org/docs/appeals/10/MDRID001_FR.pdf" TargetMode="External"/><Relationship Id="rId50" Type="http://schemas.openxmlformats.org/officeDocument/2006/relationships/hyperlink" Target="http://www.ifrc.org/docs/appeals/10/MDRKE012fr.pdf" TargetMode="External"/><Relationship Id="rId55" Type="http://schemas.openxmlformats.org/officeDocument/2006/relationships/hyperlink" Target="http://www.ifrc.org/en/publications-and-reports/appeals/?ac=MDRHT008&amp;at=0&amp;c=&amp;co=&amp;dt=1&amp;f=&amp;re=&amp;t=&amp;ti=&amp;zo=" TargetMode="External"/><Relationship Id="rId63" Type="http://schemas.openxmlformats.org/officeDocument/2006/relationships/hyperlink" Target="http://www.ifrc.org/docs/appeals/09/MDRSY002ea.pdf" TargetMode="External"/><Relationship Id="rId68" Type="http://schemas.openxmlformats.org/officeDocument/2006/relationships/hyperlink" Target="http://www.ifrc.org/docs/appeals/10/MDRCF007fr.pdf" TargetMode="External"/><Relationship Id="rId76" Type="http://schemas.openxmlformats.org/officeDocument/2006/relationships/hyperlink" Target="http://www.ifrc.org/docs/appeals/10/MDRRU007dfr.pdf" TargetMode="External"/><Relationship Id="rId7" Type="http://schemas.openxmlformats.org/officeDocument/2006/relationships/hyperlink" Target="http://www.ifrc.org/docs/appeals/10/MDRSD009fr.pdf" TargetMode="External"/><Relationship Id="rId71" Type="http://schemas.openxmlformats.org/officeDocument/2006/relationships/hyperlink" Target="http://www.ifrc.org/docs/appeals/10/MDRMZ007fr.pdf" TargetMode="External"/><Relationship Id="rId2" Type="http://schemas.openxmlformats.org/officeDocument/2006/relationships/hyperlink" Target="http://www.ifrc.org/docs/Appeals/10/MDRCG006FR.pdf" TargetMode="External"/><Relationship Id="rId16" Type="http://schemas.openxmlformats.org/officeDocument/2006/relationships/hyperlink" Target="http://www.ifrc.org/docs/appeals/10/MDRID006fr.pdf" TargetMode="External"/><Relationship Id="rId29" Type="http://schemas.openxmlformats.org/officeDocument/2006/relationships/hyperlink" Target="http://www.ifrc.org/docs/appeals/10/MDRML005dfr.pdf" TargetMode="External"/><Relationship Id="rId11" Type="http://schemas.openxmlformats.org/officeDocument/2006/relationships/hyperlink" Target="http://www.ifrc.org/docs/appeals/10/MDR49006fr.pdf" TargetMode="External"/><Relationship Id="rId24" Type="http://schemas.openxmlformats.org/officeDocument/2006/relationships/hyperlink" Target="http://www.ifrc.org/docs/appeals/10/MDRGH003dfr.pdf" TargetMode="External"/><Relationship Id="rId32" Type="http://schemas.openxmlformats.org/officeDocument/2006/relationships/hyperlink" Target="http://www.ifrc.org/docs/appeals/10/MDRBA0062dfr.pdf" TargetMode="External"/><Relationship Id="rId37" Type="http://schemas.openxmlformats.org/officeDocument/2006/relationships/hyperlink" Target="file://C:\Documents%20and%20Settings\mitiku.raga\TEMP\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40" Type="http://schemas.openxmlformats.org/officeDocument/2006/relationships/hyperlink" Target="file://C:\Documents%20and%20Settings\mitiku.raga\TEMP\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45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Mapping,%202006%20-2011,%20Draft%20summary.xlsx" TargetMode="External"/><Relationship Id="rId53" Type="http://schemas.openxmlformats.org/officeDocument/2006/relationships/hyperlink" Target="http://www.ifrc.org/docs/appeals/10/MDRZM007fr.pdf" TargetMode="External"/><Relationship Id="rId58" Type="http://schemas.openxmlformats.org/officeDocument/2006/relationships/hyperlink" Target="http://www.ifrc.org/docs/appeals/10/MDR61007rea2.pdf" TargetMode="External"/><Relationship Id="rId66" Type="http://schemas.openxmlformats.org/officeDocument/2006/relationships/hyperlink" Target="http://www.ifrc.org/docs/appeals/10/MDRBD007drefFR.pdf" TargetMode="External"/><Relationship Id="rId74" Type="http://schemas.openxmlformats.org/officeDocument/2006/relationships/hyperlink" Target="http://www.ifrc.org/docs/appeals/10/MDRRS003dfr.pdf" TargetMode="External"/><Relationship Id="rId5" Type="http://schemas.openxmlformats.org/officeDocument/2006/relationships/hyperlink" Target="http://img.static.reliefweb.int/sites/reliefweb.int/files/resources/5F4E289E5E74A0B9C125785600429A48-Full_Report.pdf" TargetMode="External"/><Relationship Id="rId15" Type="http://schemas.openxmlformats.org/officeDocument/2006/relationships/hyperlink" Target="http://www.ifrc.org/docs/appeals/10/MDRNE005fr.pdf" TargetMode="External"/><Relationship Id="rId23" Type="http://schemas.openxmlformats.org/officeDocument/2006/relationships/hyperlink" Target="http://www.ifrc.org/docs/appeals/10/MDRBJ007dfr.pdf" TargetMode="External"/><Relationship Id="rId28" Type="http://schemas.openxmlformats.org/officeDocument/2006/relationships/hyperlink" Target="http://www.ifrc.org/docs/appeals/10/MDRNG008dfr.pdf" TargetMode="External"/><Relationship Id="rId36" Type="http://schemas.openxmlformats.org/officeDocument/2006/relationships/hyperlink" Target="file://C:\Documents%20and%20Settings\mitiku.raga\TEMP\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49" Type="http://schemas.openxmlformats.org/officeDocument/2006/relationships/hyperlink" Target="http://www.ifrc.org/docs/appeals/10/MDRRW006fr.pdf" TargetMode="External"/><Relationship Id="rId57" Type="http://schemas.openxmlformats.org/officeDocument/2006/relationships/hyperlink" Target="http://www.ifrc.org/docs/appeals/10/MDRPK006_1YR.pdf" TargetMode="External"/><Relationship Id="rId61" Type="http://schemas.openxmlformats.org/officeDocument/2006/relationships/hyperlink" Target="http://www.ifrc.org/docs/appeals/10/MDRUZ002EAfr.pdf" TargetMode="External"/><Relationship Id="rId10" Type="http://schemas.openxmlformats.org/officeDocument/2006/relationships/hyperlink" Target="http://www.ifrc.org/docs/appeals/10/MDRRS004EAfr.pdf" TargetMode="External"/><Relationship Id="rId19" Type="http://schemas.openxmlformats.org/officeDocument/2006/relationships/hyperlink" Target="http://www.ifrc.org/docs/appeals/10/MDRNP004FR.pdf" TargetMode="External"/><Relationship Id="rId31" Type="http://schemas.openxmlformats.org/officeDocument/2006/relationships/hyperlink" Target="http://www.ifrc.org/docs/appeals/10/MDRBZ002dfr.pdf" TargetMode="External"/><Relationship Id="rId44" Type="http://schemas.openxmlformats.org/officeDocument/2006/relationships/hyperlink" Target="http://www.ifrc.org/docs/appeals/10/MDRLK002EA.pdf" TargetMode="External"/><Relationship Id="rId52" Type="http://schemas.openxmlformats.org/officeDocument/2006/relationships/hyperlink" Target="http://www.ifrc.org/docs/appeals/rpts10/MDRPE004fr.pdf" TargetMode="External"/><Relationship Id="rId60" Type="http://schemas.openxmlformats.org/officeDocument/2006/relationships/hyperlink" Target="http://www.ifrc.org/docs/appeals/10/MDRTH001fr.pdf" TargetMode="External"/><Relationship Id="rId65" Type="http://schemas.openxmlformats.org/officeDocument/2006/relationships/hyperlink" Target="http://www.ifrc.org/docs/appeals/10/MDRRU008dfr.pdf" TargetMode="External"/><Relationship Id="rId73" Type="http://schemas.openxmlformats.org/officeDocument/2006/relationships/hyperlink" Target="http://www.ifrc.org/docs/appeals/10/MDRMW006fr.pdf" TargetMode="External"/><Relationship Id="rId78" Type="http://schemas.openxmlformats.org/officeDocument/2006/relationships/comments" Target="../comments3.xml"/><Relationship Id="rId4" Type="http://schemas.openxmlformats.org/officeDocument/2006/relationships/hyperlink" Target="http://www.ifrc.org/docs/appeals/10/MDRVN007fr.pdf" TargetMode="External"/><Relationship Id="rId9" Type="http://schemas.openxmlformats.org/officeDocument/2006/relationships/hyperlink" Target="http://www.ifrc.org/docs/appeals/10/MDRGM006dfr.pdf" TargetMode="External"/><Relationship Id="rId14" Type="http://schemas.openxmlformats.org/officeDocument/2006/relationships/hyperlink" Target="http://www.ifrc.org/docs/appeals/10/MDRBF010fr.pdf" TargetMode="External"/><Relationship Id="rId22" Type="http://schemas.openxmlformats.org/officeDocument/2006/relationships/hyperlink" Target="http://www.ifrc.org/docs/appeals/11/MDRMA004dfr.pdf" TargetMode="External"/><Relationship Id="rId27" Type="http://schemas.openxmlformats.org/officeDocument/2006/relationships/hyperlink" Target="http://www.ifrc.org/docs/appeals/10/MDRGN003dfr.pdf" TargetMode="External"/><Relationship Id="rId30" Type="http://schemas.openxmlformats.org/officeDocument/2006/relationships/hyperlink" Target="http://www.ifrc.org/docs/appeals/10/MDRCR007dfr.pdf" TargetMode="External"/><Relationship Id="rId35" Type="http://schemas.openxmlformats.org/officeDocument/2006/relationships/hyperlink" Target="file://C:\Documents%20and%20Settings\mitiku.raga\TEMP\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43" Type="http://schemas.openxmlformats.org/officeDocument/2006/relationships/hyperlink" Target="http://www.ifrc.org/docs/appeals/10/MDRGH002fr.pdf" TargetMode="External"/><Relationship Id="rId48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Mapping,%202006%20-2011,%20Draft%20summary.xlsx" TargetMode="External"/><Relationship Id="rId56" Type="http://schemas.openxmlformats.org/officeDocument/2006/relationships/hyperlink" Target="http://www.ifrc.org/docs/appeals/10/MDRKG007EAfr.pdf" TargetMode="External"/><Relationship Id="rId64" Type="http://schemas.openxmlformats.org/officeDocument/2006/relationships/hyperlink" Target="http://www.ifrc.org/docs/appeals/10/MDRVE001eu3.pdf" TargetMode="External"/><Relationship Id="rId69" Type="http://schemas.openxmlformats.org/officeDocument/2006/relationships/hyperlink" Target="http://www.ifrc.org/docs/appeals/10/MDRRU007dfr.pdf" TargetMode="External"/><Relationship Id="rId77" Type="http://schemas.openxmlformats.org/officeDocument/2006/relationships/vmlDrawing" Target="../drawings/vmlDrawing3.vml"/><Relationship Id="rId8" Type="http://schemas.openxmlformats.org/officeDocument/2006/relationships/hyperlink" Target="http://www.ifrc.org/docs/appeals/10/MDRPH006fr.pdf" TargetMode="External"/><Relationship Id="rId51" Type="http://schemas.openxmlformats.org/officeDocument/2006/relationships/hyperlink" Target="http://www.ifrc.org/docs/appeals/10/MDRME003dfr.pdf" TargetMode="External"/><Relationship Id="rId72" Type="http://schemas.openxmlformats.org/officeDocument/2006/relationships/hyperlink" Target="http://www.ifrc.org/docs/appeals/10/MDRMA003dfr.pdf" TargetMode="External"/><Relationship Id="rId3" Type="http://schemas.openxmlformats.org/officeDocument/2006/relationships/hyperlink" Target="http://reliefweb.int/sites/reliefweb.int/files/resources/MDRPA007ffr.pdf" TargetMode="External"/><Relationship Id="rId12" Type="http://schemas.openxmlformats.org/officeDocument/2006/relationships/hyperlink" Target="http://www.ifrc.org/docs/appeals/10/MDRPA007%20ea.pdf" TargetMode="External"/><Relationship Id="rId17" Type="http://schemas.openxmlformats.org/officeDocument/2006/relationships/hyperlink" Target="http://www.ifrc.org/docs/appeals/10/MDRTD005eafr.pdf" TargetMode="External"/><Relationship Id="rId25" Type="http://schemas.openxmlformats.org/officeDocument/2006/relationships/hyperlink" Target="http://www.ifrc.org/docs/appeals/10/MDRTG003dfr.pdf" TargetMode="External"/><Relationship Id="rId33" Type="http://schemas.openxmlformats.org/officeDocument/2006/relationships/hyperlink" Target="http://www.ifrc.org/docs/appeals/10/MDRRS005dfr.pdf" TargetMode="External"/><Relationship Id="rId38" Type="http://schemas.openxmlformats.org/officeDocument/2006/relationships/hyperlink" Target="file://C:\Documents%20and%20Settings\mitiku.raga\TEMP\:..:Documents:Microsoft%20User%20Data:Office%202011%20AutoRecovery:shared:health:Users:Joana:Documents:Microsoft%20User%20Data:Office%202011%20AutoRecovery:shared:health:14%20WatSan-EH:Lemlem%20Girmatsion:Project%20Mapping-Appeals&amp;dref(lemlem):Appeals%20mapping,%202006%20-2011,%20Draft%20summary.xlsx" TargetMode="External"/><Relationship Id="rId46" Type="http://schemas.openxmlformats.org/officeDocument/2006/relationships/hyperlink" Target="http://www.ifrc.org/docs/appeals/10/MDRGA003dfr.pdf" TargetMode="External"/><Relationship Id="rId59" Type="http://schemas.openxmlformats.org/officeDocument/2006/relationships/hyperlink" Target="http://www.ifrc.org/docs/appeals/10/MDRTD004fr.pdf" TargetMode="External"/><Relationship Id="rId67" Type="http://schemas.openxmlformats.org/officeDocument/2006/relationships/hyperlink" Target="http://www.ifrc.org/docs/appeals/10/MDRUA005dfr.pdf" TargetMode="External"/><Relationship Id="rId20" Type="http://schemas.openxmlformats.org/officeDocument/2006/relationships/hyperlink" Target="http://www.ifrc.org/docs/appeals/10/MDRKP002FR.pdf" TargetMode="External"/><Relationship Id="rId41" Type="http://schemas.openxmlformats.org/officeDocument/2006/relationships/hyperlink" Target="http://www.ifrc.org/docs/appeals/10/MDRMM003fr.pdf" TargetMode="External"/><Relationship Id="rId54" Type="http://schemas.openxmlformats.org/officeDocument/2006/relationships/hyperlink" Target="http://www.ifrc.org/docs/appeals/10/MDRTJ007fr.pdf" TargetMode="External"/><Relationship Id="rId62" Type="http://schemas.openxmlformats.org/officeDocument/2006/relationships/hyperlink" Target="http://www.ifrc.org/docs/appeals/10/MDRUG017fr.pdf" TargetMode="External"/><Relationship Id="rId70" Type="http://schemas.openxmlformats.org/officeDocument/2006/relationships/hyperlink" Target="http://www.ifrc.org/docs/appeals/10/MDRUG016fr.pdf" TargetMode="External"/><Relationship Id="rId75" Type="http://schemas.openxmlformats.org/officeDocument/2006/relationships/hyperlink" Target="http://www.ifrc.org/docs/appeals/rpts10/MDR43006dfr.pdf" TargetMode="External"/><Relationship Id="rId1" Type="http://schemas.openxmlformats.org/officeDocument/2006/relationships/hyperlink" Target="http://reliefweb.int/sites/reliefweb.int/files/resources/Full_Report_3736.pdf" TargetMode="External"/><Relationship Id="rId6" Type="http://schemas.openxmlformats.org/officeDocument/2006/relationships/hyperlink" Target="http://www.ifrc.org/docs/appeals/10/MDRCO008eu3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18" Type="http://schemas.openxmlformats.org/officeDocument/2006/relationships/hyperlink" Target="http://www.ifrc.org/docs/appeals/09/MDRCD006dfr.pdf" TargetMode="External"/><Relationship Id="rId26" Type="http://schemas.openxmlformats.org/officeDocument/2006/relationships/hyperlink" Target="http://www.ifrc.org/docs/appeals/09/MDRCF005dfr.pdf" TargetMode="External"/><Relationship Id="rId39" Type="http://schemas.openxmlformats.org/officeDocument/2006/relationships/hyperlink" Target="http://www.ifrc.org/docs/appeals/rpts08/MDRAR005fr.pdf" TargetMode="External"/><Relationship Id="rId21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4" Type="http://schemas.openxmlformats.org/officeDocument/2006/relationships/hyperlink" Target="http://www.ifrc.org/docs/appeals/09/MDRVN006fr.pdf" TargetMode="External"/><Relationship Id="rId42" Type="http://schemas.openxmlformats.org/officeDocument/2006/relationships/hyperlink" Target="http://www.ifrc.org/docs/appeals/09/MDRBA003dfr.pdf" TargetMode="External"/><Relationship Id="rId47" Type="http://schemas.openxmlformats.org/officeDocument/2006/relationships/hyperlink" Target="http://www.ifrc.org/docs/appeals/rpts09/MDRCR005fr.pdf" TargetMode="External"/><Relationship Id="rId50" Type="http://schemas.openxmlformats.org/officeDocument/2006/relationships/hyperlink" Target="http://www.ifrc.org/docs/appeals/09/MDRKE%20008fr.pdf" TargetMode="External"/><Relationship Id="rId55" Type="http://schemas.openxmlformats.org/officeDocument/2006/relationships/hyperlink" Target="http://www.ifrc.org/docs/appeals/rpts09/MDRPY007fr.pdf" TargetMode="External"/><Relationship Id="rId63" Type="http://schemas.openxmlformats.org/officeDocument/2006/relationships/hyperlink" Target="http://www.ifrc.org/docs/appeals/09/MDRRS002dfr.pdf" TargetMode="External"/><Relationship Id="rId7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Mapping,%202006%20-2011,%20Draft%20summary.xlsx" TargetMode="External"/><Relationship Id="rId2" Type="http://schemas.openxmlformats.org/officeDocument/2006/relationships/hyperlink" Target="http://www.ifrc.org/Utils/Search/Rss.ashx?ac=&amp;at=57&amp;c=&amp;co=&amp;dt=1&amp;f=2011&amp;feed=appeals&amp;re=&amp;t=2011&amp;ti=&amp;zo=" TargetMode="External"/><Relationship Id="rId16" Type="http://schemas.openxmlformats.org/officeDocument/2006/relationships/hyperlink" Target="http://www.ifrc.org/docs/appeals/09/MDRCF004dfr.pdf" TargetMode="External"/><Relationship Id="rId20" Type="http://schemas.openxmlformats.org/officeDocument/2006/relationships/hyperlink" Target="http://www.ifrc.org/docs/appeals/08/MDRCF003dfr.pdf" TargetMode="External"/><Relationship Id="rId29" Type="http://schemas.openxmlformats.org/officeDocument/2006/relationships/hyperlink" Target="http://www.ifrc.org/docs/appeals/09/MDRCO006fr.pdf" TargetMode="External"/><Relationship Id="rId41" Type="http://schemas.openxmlformats.org/officeDocument/2006/relationships/hyperlink" Target="http://www.ifrc.org/docs/appeals/09/MDRBA002dfr.pdf" TargetMode="External"/><Relationship Id="rId54" Type="http://schemas.openxmlformats.org/officeDocument/2006/relationships/hyperlink" Target="http://www.ifrc.org/docs/appeals/rpts09/MDRPY006fr.pdf" TargetMode="External"/><Relationship Id="rId62" Type="http://schemas.openxmlformats.org/officeDocument/2006/relationships/hyperlink" Target="http://www.ifrc.org/docs/appeals/09/MDR64006%20final%20report.pdf" TargetMode="External"/><Relationship Id="rId1" Type="http://schemas.openxmlformats.org/officeDocument/2006/relationships/hyperlink" Target="http://www.ifrc.org/docs/Appeals/09/MDRPH005fr.pdf" TargetMode="External"/><Relationship Id="rId6" Type="http://schemas.openxmlformats.org/officeDocument/2006/relationships/hyperlink" Target="http://www.ifrc.org/docs/appeals/09/MDRLK001FR.pdf" TargetMode="External"/><Relationship Id="rId11" Type="http://schemas.openxmlformats.org/officeDocument/2006/relationships/hyperlink" Target="http://www.ifrc.org/docs/appeals/10/MDRRU005dfr.pdf" TargetMode="External"/><Relationship Id="rId24" Type="http://schemas.openxmlformats.org/officeDocument/2006/relationships/hyperlink" Target="http://www.ifrc.org/docs/appeals/09/MDRZM006fr.pdf" TargetMode="External"/><Relationship Id="rId32" Type="http://schemas.openxmlformats.org/officeDocument/2006/relationships/hyperlink" Target="http://www.ifrc.org/docs/appeals/09/MDRGA002dfr.pdf" TargetMode="External"/><Relationship Id="rId37" Type="http://schemas.openxmlformats.org/officeDocument/2006/relationships/hyperlink" Target="http://www.ifrc.org/docs/appeals/09/MDRBF007dfr.pdf" TargetMode="External"/><Relationship Id="rId40" Type="http://schemas.openxmlformats.org/officeDocument/2006/relationships/hyperlink" Target="http://www.ifrc.org/docs/appeals/rpts09/MDRAR004fr.pdf" TargetMode="External"/><Relationship Id="rId45" Type="http://schemas.openxmlformats.org/officeDocument/2006/relationships/hyperlink" Target="http://www.ifrc.org/docs/appeals/09/MDRBJ005dfr.pdf" TargetMode="External"/><Relationship Id="rId53" Type="http://schemas.openxmlformats.org/officeDocument/2006/relationships/hyperlink" Target="http://www.ifrc.org/docs/appeals/09/mdrmw004fr.pdf" TargetMode="External"/><Relationship Id="rId58" Type="http://schemas.openxmlformats.org/officeDocument/2006/relationships/hyperlink" Target="http://www.ifrc.org/docs/appeals/09/MDRTZ008fr.pdf" TargetMode="External"/><Relationship Id="rId66" Type="http://schemas.openxmlformats.org/officeDocument/2006/relationships/comments" Target="../comments4.xml"/><Relationship Id="rId5" Type="http://schemas.openxmlformats.org/officeDocument/2006/relationships/hyperlink" Target="http://www.ifrc.org/docs/appeals/09/MDRTN003dfr.pdf" TargetMode="External"/><Relationship Id="rId15" Type="http://schemas.openxmlformats.org/officeDocument/2006/relationships/hyperlink" Target="http://www.ifrc.org/docs/appeals/09/MDRPK002_fr.pdf" TargetMode="External"/><Relationship Id="rId23" Type="http://schemas.openxmlformats.org/officeDocument/2006/relationships/hyperlink" Target="http://www.ifrc.org/docs/appeals/09/MDRCZ001dfr.pdf" TargetMode="External"/><Relationship Id="rId28" Type="http://schemas.openxmlformats.org/officeDocument/2006/relationships/hyperlink" Target="http://www.ifrc.org/docs/appeals/09/MDRSN002FR.pdf" TargetMode="External"/><Relationship Id="rId36" Type="http://schemas.openxmlformats.org/officeDocument/2006/relationships/hyperlink" Target="http://www.ifrc.org/docs/appeals/09/MDRCM007DREF-FR.pdf" TargetMode="External"/><Relationship Id="rId49" Type="http://schemas.openxmlformats.org/officeDocument/2006/relationships/hyperlink" Target="http://www.ifrc.org/docs/appeals/09/MDRIT001dfr.pdf" TargetMode="External"/><Relationship Id="rId57" Type="http://schemas.openxmlformats.org/officeDocument/2006/relationships/hyperlink" Target="http://www.ifrc.org/docs/appeals/09/MDRSV002fr.pdf" TargetMode="External"/><Relationship Id="rId61" Type="http://schemas.openxmlformats.org/officeDocument/2006/relationships/hyperlink" Target="http://www.ifrc.org/docs/appeals/rpts09/MDRMX00302.pdf" TargetMode="External"/><Relationship Id="rId10" Type="http://schemas.openxmlformats.org/officeDocument/2006/relationships/hyperlink" Target="http://www.ifrc.org/docs/appeals/09/MDRBW001final.pdf" TargetMode="External"/><Relationship Id="rId19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1" Type="http://schemas.openxmlformats.org/officeDocument/2006/relationships/hyperlink" Target="http://www.ifrc.org/docs/appeals/09/MDR61005ea.pdf" TargetMode="External"/><Relationship Id="rId44" Type="http://schemas.openxmlformats.org/officeDocument/2006/relationships/hyperlink" Target="http://www.ifrc.org/docs/appeals/09/MDRBF008fr.pdf" TargetMode="External"/><Relationship Id="rId52" Type="http://schemas.openxmlformats.org/officeDocument/2006/relationships/hyperlink" Target="http://www.ifrc.org/docs/appeals/09/MDRMG004fr.pdf" TargetMode="External"/><Relationship Id="rId60" Type="http://schemas.openxmlformats.org/officeDocument/2006/relationships/hyperlink" Target="http://www.ifrc.org/docs/appeals/09/MDRUG014fr.pdf" TargetMode="External"/><Relationship Id="rId65" Type="http://schemas.openxmlformats.org/officeDocument/2006/relationships/vmlDrawing" Target="../drawings/vmlDrawing4.vml"/><Relationship Id="rId4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Mapping,%202006%20-2011,%20Draft%20summary.xlsx" TargetMode="External"/><Relationship Id="rId9" Type="http://schemas.openxmlformats.org/officeDocument/2006/relationships/hyperlink" Target="http://www.ifrc.org/docs/appeals/09/MDRBD004fr.pdf" TargetMode="External"/><Relationship Id="rId14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22" Type="http://schemas.openxmlformats.org/officeDocument/2006/relationships/hyperlink" Target="http://www.ifrc.org/docs/appeals/10/MDR61006dfr.pdf" TargetMode="External"/><Relationship Id="rId27" Type="http://schemas.openxmlformats.org/officeDocument/2006/relationships/hyperlink" Target="http://www.ifrc.org/docs/appeals/09/MDRET006fr.pdf" TargetMode="External"/><Relationship Id="rId30" Type="http://schemas.openxmlformats.org/officeDocument/2006/relationships/hyperlink" Target="http://www.ifrc.org/docs/appeals/09/MDRKE010fr.pdf" TargetMode="External"/><Relationship Id="rId35" Type="http://schemas.openxmlformats.org/officeDocument/2006/relationships/hyperlink" Target="http://www.ifrc.org/docs/appeals/11/MDRSY001efr.pdf" TargetMode="External"/><Relationship Id="rId43" Type="http://schemas.openxmlformats.org/officeDocument/2006/relationships/hyperlink" Target="http://www.ifrc.org/docs/appeals/09/MDRBA004dfr.pdf" TargetMode="External"/><Relationship Id="rId48" Type="http://schemas.openxmlformats.org/officeDocument/2006/relationships/hyperlink" Target="http://www.ifrc.org/docs/appeals/rpts09/MDRHN001fr.pdf" TargetMode="External"/><Relationship Id="rId56" Type="http://schemas.openxmlformats.org/officeDocument/2006/relationships/hyperlink" Target="http://www.ifrc.org/docs/appeals/09/MDRSD006fr.pdf" TargetMode="External"/><Relationship Id="rId64" Type="http://schemas.openxmlformats.org/officeDocument/2006/relationships/hyperlink" Target="http://www.ifrc.org/docs/appeals/09/MDR61004-64005-63002-finrep.pdf" TargetMode="External"/><Relationship Id="rId8" Type="http://schemas.openxmlformats.org/officeDocument/2006/relationships/hyperlink" Target="http://www.ifrc.org/docs/appeals/10/MDRCF006eafr.pdf" TargetMode="External"/><Relationship Id="rId51" Type="http://schemas.openxmlformats.org/officeDocument/2006/relationships/hyperlink" Target="http://www.ifrc.org/docs/appeals/09/MDRKM002fr.pdf" TargetMode="External"/><Relationship Id="rId3" Type="http://schemas.openxmlformats.org/officeDocument/2006/relationships/hyperlink" Target="http://www.ifrc.org/docs/appeals/09/MDRWS001_FNFINAL.pdf" TargetMode="External"/><Relationship Id="rId12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17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25" Type="http://schemas.openxmlformats.org/officeDocument/2006/relationships/hyperlink" Target="http://www.ifrc.org/docs/appeals/10/MDRCG005dfr.pdf" TargetMode="External"/><Relationship Id="rId33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38" Type="http://schemas.openxmlformats.org/officeDocument/2006/relationships/hyperlink" Target="http://www.ifrc.org/docs/appeals/09/MDRNE004dfr.pdf" TargetMode="External"/><Relationship Id="rId46" Type="http://schemas.openxmlformats.org/officeDocument/2006/relationships/hyperlink" Target="http://www.ifrc.org/docs/appeals/rpts09/MDRBO004fr.pdf" TargetMode="External"/><Relationship Id="rId59" Type="http://schemas.openxmlformats.org/officeDocument/2006/relationships/hyperlink" Target="http://www.ifrc.org/docs/appeals/09/MDRUG013fr.pdf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ifrc.org/docs/appeals/08/MDRLA001fr.pdf" TargetMode="External"/><Relationship Id="rId21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4" Type="http://schemas.openxmlformats.org/officeDocument/2006/relationships/hyperlink" Target="http://www.ifrc.org/docs/appeals/08/MDRTJ004efr.pdf" TargetMode="External"/><Relationship Id="rId42" Type="http://schemas.openxmlformats.org/officeDocument/2006/relationships/hyperlink" Target="http://www.ifrc.org/docs/appeals/08/MDRMG003fr.pdf" TargetMode="External"/><Relationship Id="rId47" Type="http://schemas.openxmlformats.org/officeDocument/2006/relationships/hyperlink" Target="../../../Temp/Mapping,%202006%20-2011,%20Draft%20summary,%20Mitiku.xls" TargetMode="External"/><Relationship Id="rId50" Type="http://schemas.openxmlformats.org/officeDocument/2006/relationships/hyperlink" Target="http://www.ifrc.org/docs/appeals/08/MDR64002fr.pdf" TargetMode="External"/><Relationship Id="rId55" Type="http://schemas.openxmlformats.org/officeDocument/2006/relationships/hyperlink" Target="../../../Temp/Mapping,%202006%20-2011,%20Draft%20summary,%20Mitiku.xls" TargetMode="External"/><Relationship Id="rId63" Type="http://schemas.openxmlformats.org/officeDocument/2006/relationships/hyperlink" Target="../../../Temp/Mapping,%202006%20-2011,%20Draft%20summary,%20Mitiku.xls" TargetMode="External"/><Relationship Id="rId68" Type="http://schemas.openxmlformats.org/officeDocument/2006/relationships/hyperlink" Target="../../../Temp/Mapping,%202006%20-2011,%20Draft%20summary,%20Mitiku.xls" TargetMode="External"/><Relationship Id="rId76" Type="http://schemas.openxmlformats.org/officeDocument/2006/relationships/hyperlink" Target="../../../Temp/Mapping,%202006%20-2011,%20Draft%20summary,%20Mitiku.xls" TargetMode="External"/><Relationship Id="rId84" Type="http://schemas.openxmlformats.org/officeDocument/2006/relationships/hyperlink" Target="../../../Temp/Mapping,%202006%20-2011,%20Draft%20summary,%20Mitiku.xls" TargetMode="External"/><Relationship Id="rId89" Type="http://schemas.openxmlformats.org/officeDocument/2006/relationships/hyperlink" Target="../../../Temp/Mapping,%202006%20-2011,%20Draft%20summary,%20Mitiku.xls" TargetMode="External"/><Relationship Id="rId97" Type="http://schemas.openxmlformats.org/officeDocument/2006/relationships/hyperlink" Target="http://www.ifrc.org/docs/appeals/08/MDRGW001dfr.pdf" TargetMode="External"/><Relationship Id="rId7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71" Type="http://schemas.openxmlformats.org/officeDocument/2006/relationships/hyperlink" Target="../../../Temp/Mapping,%202006%20-2011,%20Draft%20summary,%20Mitiku.xls" TargetMode="External"/><Relationship Id="rId92" Type="http://schemas.openxmlformats.org/officeDocument/2006/relationships/hyperlink" Target="../../../Temp/Mapping,%202006%20-2011,%20Draft%20summary,%20Mitiku.xls" TargetMode="External"/><Relationship Id="rId2" Type="http://schemas.openxmlformats.org/officeDocument/2006/relationships/hyperlink" Target="http://www.ifrc.org/docs/appeals/08/MDRHT005efr.pdf" TargetMode="External"/><Relationship Id="rId16" Type="http://schemas.openxmlformats.org/officeDocument/2006/relationships/hyperlink" Target="http://www.ifrc.org/docs/appeals/08/MDRSR002fr.pdf" TargetMode="External"/><Relationship Id="rId29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11" Type="http://schemas.openxmlformats.org/officeDocument/2006/relationships/hyperlink" Target="http://www.ifrc.org/docs/appeals/08/MDRPH004fr.pdf" TargetMode="External"/><Relationship Id="rId24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2" Type="http://schemas.openxmlformats.org/officeDocument/2006/relationships/hyperlink" Target="http://www.ifrc.org/docs/appeals/08/MDRBJ001dfr.pdf" TargetMode="External"/><Relationship Id="rId37" Type="http://schemas.openxmlformats.org/officeDocument/2006/relationships/hyperlink" Target="http://www.ifrc.org/docs/appeals/08/MDRNG006fr.pdf" TargetMode="External"/><Relationship Id="rId40" Type="http://schemas.openxmlformats.org/officeDocument/2006/relationships/hyperlink" Target="http://www.ifrc.org/docs/appeals/08/MDRCM006dfr.pdf" TargetMode="External"/><Relationship Id="rId45" Type="http://schemas.openxmlformats.org/officeDocument/2006/relationships/hyperlink" Target="http://www.ifrc.org/docs/appeals/08/MDRGE001dfr.pdf" TargetMode="External"/><Relationship Id="rId53" Type="http://schemas.openxmlformats.org/officeDocument/2006/relationships/hyperlink" Target="../../../Temp/Mapping,%202006%20-2011,%20Draft%20summary,%20Mitiku.xls" TargetMode="External"/><Relationship Id="rId58" Type="http://schemas.openxmlformats.org/officeDocument/2006/relationships/hyperlink" Target="../../../Temp/Mapping,%202006%20-2011,%20Draft%20summary,%20Mitiku.xls" TargetMode="External"/><Relationship Id="rId66" Type="http://schemas.openxmlformats.org/officeDocument/2006/relationships/hyperlink" Target="http://www.ifrc.org/docs/appeals/08/MDRGM004dfr.pdf" TargetMode="External"/><Relationship Id="rId74" Type="http://schemas.openxmlformats.org/officeDocument/2006/relationships/hyperlink" Target="../../../Temp/Mapping,%202006%20-2011,%20Draft%20summary,%20Mitiku.xls" TargetMode="External"/><Relationship Id="rId79" Type="http://schemas.openxmlformats.org/officeDocument/2006/relationships/hyperlink" Target="http://www.ifrc.org/docs/appeals/08/MDRYE002efr.pdf" TargetMode="External"/><Relationship Id="rId87" Type="http://schemas.openxmlformats.org/officeDocument/2006/relationships/hyperlink" Target="../../../Temp/Mapping,%202006%20-2011,%20Draft%20summary,%20Mitiku.xls" TargetMode="External"/><Relationship Id="rId5" Type="http://schemas.openxmlformats.org/officeDocument/2006/relationships/hyperlink" Target="http://www.ifrc.org/docs/appeals/08/MDRET005fr.pdf" TargetMode="External"/><Relationship Id="rId61" Type="http://schemas.openxmlformats.org/officeDocument/2006/relationships/hyperlink" Target="http://www.ifrc.org/docs/appeals/rpts08/MDRCO003fr.pdf" TargetMode="External"/><Relationship Id="rId82" Type="http://schemas.openxmlformats.org/officeDocument/2006/relationships/hyperlink" Target="../../../Temp/Mapping,%202006%20-2011,%20Draft%20summary,%20Mitiku.xls" TargetMode="External"/><Relationship Id="rId90" Type="http://schemas.openxmlformats.org/officeDocument/2006/relationships/hyperlink" Target="../../../Temp/Mapping,%202006%20-2011,%20Draft%20summary,%20Mitiku.xls" TargetMode="External"/><Relationship Id="rId95" Type="http://schemas.openxmlformats.org/officeDocument/2006/relationships/hyperlink" Target="http://www.ifrc.org/docs/appeals/08/MDRCD004fr.pdf" TargetMode="External"/><Relationship Id="rId19" Type="http://schemas.openxmlformats.org/officeDocument/2006/relationships/hyperlink" Target="http://www.ifrc.org/docs/appeals/08/MDRCD005dfr.pdf" TargetMode="External"/><Relationship Id="rId14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22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27" Type="http://schemas.openxmlformats.org/officeDocument/2006/relationships/hyperlink" Target="http://www.ifrc.org/docs/appeals/08/MDRZW003_final.pdf" TargetMode="External"/><Relationship Id="rId30" Type="http://schemas.openxmlformats.org/officeDocument/2006/relationships/hyperlink" Target="http://www.ifrc.org/docs/appeals/08/MDRUG009fr.pdf" TargetMode="External"/><Relationship Id="rId35" Type="http://schemas.openxmlformats.org/officeDocument/2006/relationships/hyperlink" Target="http://www.ifrc.org/docs/appeals/08/MDRLB001dfr.pdf" TargetMode="External"/><Relationship Id="rId43" Type="http://schemas.openxmlformats.org/officeDocument/2006/relationships/hyperlink" Target="http://www.ifrc.org/docs/appeals/08/MDRCN00332.pdf" TargetMode="External"/><Relationship Id="rId48" Type="http://schemas.openxmlformats.org/officeDocument/2006/relationships/hyperlink" Target="../../../Temp/Mapping,%202006%20-2011,%20Draft%20summary.xls" TargetMode="External"/><Relationship Id="rId56" Type="http://schemas.openxmlformats.org/officeDocument/2006/relationships/hyperlink" Target="../../../Temp/Mapping,%202006%20-2011,%20Draft%20summary,%20Mitiku.xls" TargetMode="External"/><Relationship Id="rId64" Type="http://schemas.openxmlformats.org/officeDocument/2006/relationships/hyperlink" Target="../../../Temp/Mapping,%202006%20-2011,%20Draft%20summary,%20Mitiku.xls" TargetMode="External"/><Relationship Id="rId69" Type="http://schemas.openxmlformats.org/officeDocument/2006/relationships/hyperlink" Target="../../../Temp/Mapping,%202006%20-2011,%20Draft%20summary,%20Mitiku.xls" TargetMode="External"/><Relationship Id="rId77" Type="http://schemas.openxmlformats.org/officeDocument/2006/relationships/hyperlink" Target="../../../Temp/Mapping,%202006%20-2011,%20Draft%20summary,%20Mitiku.xls" TargetMode="External"/><Relationship Id="rId100" Type="http://schemas.openxmlformats.org/officeDocument/2006/relationships/vmlDrawing" Target="../drawings/vmlDrawing5.vml"/><Relationship Id="rId8" Type="http://schemas.openxmlformats.org/officeDocument/2006/relationships/hyperlink" Target="http://www.ifrc.org/docs/appeals/09/MDRNP002FR.pdf" TargetMode="External"/><Relationship Id="rId51" Type="http://schemas.openxmlformats.org/officeDocument/2006/relationships/hyperlink" Target="../../../Temp/Mapping,%202006%20-2011,%20Draft%20summary,%20Mitiku.xls" TargetMode="External"/><Relationship Id="rId72" Type="http://schemas.openxmlformats.org/officeDocument/2006/relationships/hyperlink" Target="../../../Temp/Mapping,%202006%20-2011,%20Draft%20summary,%20Mitiku.xls" TargetMode="External"/><Relationship Id="rId80" Type="http://schemas.openxmlformats.org/officeDocument/2006/relationships/hyperlink" Target="../../../Temp/Mapping,%202006%20-2011,%20Draft%20summary,%20Mitiku.xls" TargetMode="External"/><Relationship Id="rId85" Type="http://schemas.openxmlformats.org/officeDocument/2006/relationships/hyperlink" Target="../../../Temp/Mapping,%202006%20-2011,%20Draft%20summary,%20Mitiku.xls" TargetMode="External"/><Relationship Id="rId93" Type="http://schemas.openxmlformats.org/officeDocument/2006/relationships/hyperlink" Target="http://www.ifrc.org/docs/appeals/09/MDRPK002_fr.pdf" TargetMode="External"/><Relationship Id="rId98" Type="http://schemas.openxmlformats.org/officeDocument/2006/relationships/hyperlink" Target="http://www.ifrc.org/docs/appeals/rpts08/MDRPY005dfr.pdf" TargetMode="External"/><Relationship Id="rId3" Type="http://schemas.openxmlformats.org/officeDocument/2006/relationships/hyperlink" Target="http://www.ifrc.org/docs/appeals/08/MDRZW004fr.pdf" TargetMode="External"/><Relationship Id="rId12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17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25" Type="http://schemas.openxmlformats.org/officeDocument/2006/relationships/hyperlink" Target="http://www.ifrc.org/docs/appeals/08/MDRBF006dfr.pdf" TargetMode="External"/><Relationship Id="rId33" Type="http://schemas.openxmlformats.org/officeDocument/2006/relationships/hyperlink" Target="http://www.ifrc.org/docs/appeals/08/MDRBJ002dfr.pdf" TargetMode="External"/><Relationship Id="rId38" Type="http://schemas.openxmlformats.org/officeDocument/2006/relationships/hyperlink" Target="http://www.ifrc.org/docs/appeals/08/MDRNG007efr.pdf" TargetMode="External"/><Relationship Id="rId46" Type="http://schemas.openxmlformats.org/officeDocument/2006/relationships/hyperlink" Target="http://ifrc.org/docs/appeals/rpts08/MDR43003dfr.pdf" TargetMode="External"/><Relationship Id="rId59" Type="http://schemas.openxmlformats.org/officeDocument/2006/relationships/hyperlink" Target="../../../Temp/Mapping,%202006%20-2011,%20Draft%20summary,%20Mitiku.xls" TargetMode="External"/><Relationship Id="rId67" Type="http://schemas.openxmlformats.org/officeDocument/2006/relationships/hyperlink" Target="../../../Temp/Mapping,%202006%20-2011,%20Draft%20summary,%20Mitiku.xls" TargetMode="External"/><Relationship Id="rId20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41" Type="http://schemas.openxmlformats.org/officeDocument/2006/relationships/hyperlink" Target="http://www.ifrc.org/docs/appeals/08/MDR62003efr.pdf" TargetMode="External"/><Relationship Id="rId54" Type="http://schemas.openxmlformats.org/officeDocument/2006/relationships/hyperlink" Target="../../../Temp/Mapping,%202006%20-2011,%20Draft%20summary,%20Mitiku.xls" TargetMode="External"/><Relationship Id="rId62" Type="http://schemas.openxmlformats.org/officeDocument/2006/relationships/hyperlink" Target="../../../Temp/Mapping,%202006%20-2011,%20Draft%20summary,%20Mitiku.xls" TargetMode="External"/><Relationship Id="rId70" Type="http://schemas.openxmlformats.org/officeDocument/2006/relationships/hyperlink" Target="../../../Temp/Mapping,%202006%20-2011,%20Draft%20summary,%20Mitiku.xls" TargetMode="External"/><Relationship Id="rId75" Type="http://schemas.openxmlformats.org/officeDocument/2006/relationships/hyperlink" Target="../../../Temp/Mapping,%202006%20-2011,%20Draft%20summary,%20Mitiku.xls" TargetMode="External"/><Relationship Id="rId83" Type="http://schemas.openxmlformats.org/officeDocument/2006/relationships/hyperlink" Target="../../../Temp/Mapping,%202006%20-2011,%20Draft%20summary,%20Mitiku.xls" TargetMode="External"/><Relationship Id="rId88" Type="http://schemas.openxmlformats.org/officeDocument/2006/relationships/hyperlink" Target="../../../Temp/Mapping,%202006%20-2011,%20Draft%20summary,%20Mitiku.xls" TargetMode="External"/><Relationship Id="rId91" Type="http://schemas.openxmlformats.org/officeDocument/2006/relationships/hyperlink" Target="../../../Temp/Mapping,%202006%20-2011,%20Draft%20summary,%20Mitiku.xls" TargetMode="External"/><Relationship Id="rId96" Type="http://schemas.openxmlformats.org/officeDocument/2006/relationships/hyperlink" Target="http://www.ifrc.org/docs/appeals/08/MDREG007final.pdf" TargetMode="External"/><Relationship Id="rId1" Type="http://schemas.openxmlformats.org/officeDocument/2006/relationships/hyperlink" Target="http://www.ifrc.org/docs/appeals/08/MDRMM002fr.pdf" TargetMode="External"/><Relationship Id="rId6" Type="http://schemas.openxmlformats.org/officeDocument/2006/relationships/hyperlink" Target="http://www.ifrc.org/docs/appeals/08/MDR49003fr.pdf" TargetMode="External"/><Relationship Id="rId15" Type="http://schemas.openxmlformats.org/officeDocument/2006/relationships/hyperlink" Target="http://www.ifrc.org/docs/appeals/08/MDR61003fr.pdf" TargetMode="External"/><Relationship Id="rId23" Type="http://schemas.openxmlformats.org/officeDocument/2006/relationships/hyperlink" Target="http://www.ifrc.org/docs/appeals/08/MDRBJ003dfr.pdf" TargetMode="External"/><Relationship Id="rId28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6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49" Type="http://schemas.openxmlformats.org/officeDocument/2006/relationships/hyperlink" Target="../../../Temp/Mapping,%202006%20-2011,%20Draft%20summary,%20Mitiku.xls" TargetMode="External"/><Relationship Id="rId57" Type="http://schemas.openxmlformats.org/officeDocument/2006/relationships/hyperlink" Target="../../../Temp/Mapping,%202006%20-2011,%20Draft%20summary,%20Mitiku.xls" TargetMode="External"/><Relationship Id="rId10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1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44" Type="http://schemas.openxmlformats.org/officeDocument/2006/relationships/hyperlink" Target="http://www.ifrc.org/docs/appeals/08/MDR6400304.pdf" TargetMode="External"/><Relationship Id="rId52" Type="http://schemas.openxmlformats.org/officeDocument/2006/relationships/hyperlink" Target="../../../Temp/Mapping,%202006%20-2011,%20Draft%20summary,%20Mitiku.xls" TargetMode="External"/><Relationship Id="rId60" Type="http://schemas.openxmlformats.org/officeDocument/2006/relationships/hyperlink" Target="../../../Temp/Mapping,%202006%20-2011,%20Draft%20summary,%20Mitiku.xls" TargetMode="External"/><Relationship Id="rId65" Type="http://schemas.openxmlformats.org/officeDocument/2006/relationships/hyperlink" Target="../../../Temp/Mapping,%202006%20-2011,%20Draft%20summary,%20Mitiku.xls" TargetMode="External"/><Relationship Id="rId73" Type="http://schemas.openxmlformats.org/officeDocument/2006/relationships/hyperlink" Target="http://www.ifrc.org/docs/appeals/08/MDRKZ002dfr.pdf" TargetMode="External"/><Relationship Id="rId78" Type="http://schemas.openxmlformats.org/officeDocument/2006/relationships/hyperlink" Target="http://www.ifrc.org/docs/appeals/08/MDRMZ005final.pdf" TargetMode="External"/><Relationship Id="rId81" Type="http://schemas.openxmlformats.org/officeDocument/2006/relationships/hyperlink" Target="../../../Temp/Mapping,%202006%20-2011,%20Draft%20summary,%20Mitiku.xls" TargetMode="External"/><Relationship Id="rId86" Type="http://schemas.openxmlformats.org/officeDocument/2006/relationships/hyperlink" Target="http://www.ifrc.org/docs/appeals/08/MDRUG008fr.pdf" TargetMode="External"/><Relationship Id="rId94" Type="http://schemas.openxmlformats.org/officeDocument/2006/relationships/hyperlink" Target="http://www.ifrc.org/docs/appeals/08/MDR43004fr.pdf" TargetMode="External"/><Relationship Id="rId99" Type="http://schemas.openxmlformats.org/officeDocument/2006/relationships/hyperlink" Target="http://www.ifrc.org/docs/appeals/08/MDRCG004dfr.pdf" TargetMode="External"/><Relationship Id="rId101" Type="http://schemas.openxmlformats.org/officeDocument/2006/relationships/comments" Target="../comments5.xml"/><Relationship Id="rId4" Type="http://schemas.openxmlformats.org/officeDocument/2006/relationships/hyperlink" Target="http://www.ifrc.org/docs/appeals/08/MDRVN005FR.pdf" TargetMode="External"/><Relationship Id="rId9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13" Type="http://schemas.openxmlformats.org/officeDocument/2006/relationships/hyperlink" Target="http://www.ifrc.org/docs/appeals/08/MDRMA001final.pdf" TargetMode="External"/><Relationship Id="rId18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9" Type="http://schemas.openxmlformats.org/officeDocument/2006/relationships/hyperlink" Target="http://www.ifrc.org/docs/appeals/08/MDRBJ004dfr.pdf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18" Type="http://schemas.openxmlformats.org/officeDocument/2006/relationships/hyperlink" Target="http://www.ifrc.org/docs/appeals/07/MDREG006final.pdf" TargetMode="External"/><Relationship Id="rId26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9" Type="http://schemas.openxmlformats.org/officeDocument/2006/relationships/hyperlink" Target="http://www.ifrc.org/docs/appeals/07/MDRML004fr.pdf" TargetMode="External"/><Relationship Id="rId21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4" Type="http://schemas.openxmlformats.org/officeDocument/2006/relationships/hyperlink" Target="http://www.ifrc.org/docs/appeals/07/MDRGN002dfr.pdf" TargetMode="External"/><Relationship Id="rId42" Type="http://schemas.openxmlformats.org/officeDocument/2006/relationships/hyperlink" Target="http://www.ifrc.org/docs/appeals/07/MDRRU002final.pdf" TargetMode="External"/><Relationship Id="rId47" Type="http://schemas.openxmlformats.org/officeDocument/2006/relationships/hyperlink" Target="http://www.ifrc.org/docs/appeals/07/MDRUG005fr.pdf" TargetMode="External"/><Relationship Id="rId50" Type="http://schemas.openxmlformats.org/officeDocument/2006/relationships/hyperlink" Target="http://www.ifrc.org/docs/appeals/07/MDRRS001final.pdf" TargetMode="External"/><Relationship Id="rId55" Type="http://schemas.openxmlformats.org/officeDocument/2006/relationships/hyperlink" Target="http://www.ifrc.org/docs/appeals/07/MDRUG006%20fin%20report%20rev.pdf" TargetMode="External"/><Relationship Id="rId7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2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Mapping,%202006%20-2011,%20Draft%20summary.xlsx" TargetMode="External"/><Relationship Id="rId16" Type="http://schemas.openxmlformats.org/officeDocument/2006/relationships/hyperlink" Target="http://www.ifrc.org/docs/appeals/08/MDRNG005dfr.pdf" TargetMode="External"/><Relationship Id="rId20" Type="http://schemas.openxmlformats.org/officeDocument/2006/relationships/hyperlink" Target="http://www.ifrc.org/docs/appeals/07/MDRNA003final.pdf" TargetMode="External"/><Relationship Id="rId29" Type="http://schemas.openxmlformats.org/officeDocument/2006/relationships/hyperlink" Target="http://www.ifrc.org/docs/appeals/07/MDRNG004fr_3.pdf" TargetMode="External"/><Relationship Id="rId41" Type="http://schemas.openxmlformats.org/officeDocument/2006/relationships/hyperlink" Target="http://www.ifrc.org/docs/appeals/09/MDRNP001Final.pdf" TargetMode="External"/><Relationship Id="rId54" Type="http://schemas.openxmlformats.org/officeDocument/2006/relationships/hyperlink" Target="http://www.ifrc.org/docs/appeals/07/MDRCD002dfr.pdf" TargetMode="External"/><Relationship Id="rId1" Type="http://schemas.openxmlformats.org/officeDocument/2006/relationships/hyperlink" Target="http://www.ifrc.org/docs/appeals/07/MDR81002efr.pdf" TargetMode="External"/><Relationship Id="rId6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11" Type="http://schemas.openxmlformats.org/officeDocument/2006/relationships/hyperlink" Target="http://www.ifrc.org/docs/appeals/07/MDRET004frep.pdf" TargetMode="External"/><Relationship Id="rId24" Type="http://schemas.openxmlformats.org/officeDocument/2006/relationships/hyperlink" Target="http://www.ifrc.org/docs/appeals/07/MDRGM003fr.pdf" TargetMode="External"/><Relationship Id="rId32" Type="http://schemas.openxmlformats.org/officeDocument/2006/relationships/hyperlink" Target="http://www.ifrc.org/docs/appeals/07/MDRTN001final.pdf" TargetMode="External"/><Relationship Id="rId37" Type="http://schemas.openxmlformats.org/officeDocument/2006/relationships/hyperlink" Target="http://reliefweb.int/sites/reliefweb.int/files/resources/0CCD161F899C96B4C12573950048FC2C-Full_Report.pdf" TargetMode="External"/><Relationship Id="rId40" Type="http://schemas.openxmlformats.org/officeDocument/2006/relationships/hyperlink" Target="http://www.ifrc.org/docs/appeals/rpts08/MDRAR002final.pdf" TargetMode="External"/><Relationship Id="rId45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53" Type="http://schemas.openxmlformats.org/officeDocument/2006/relationships/hyperlink" Target="http://www.ifrc.org/docs/appeals/07/MDRIQ002final.pdf" TargetMode="External"/><Relationship Id="rId58" Type="http://schemas.openxmlformats.org/officeDocument/2006/relationships/hyperlink" Target="http://www.ifrc.org/docs/appeals/07/MDR61001final.pdf" TargetMode="External"/><Relationship Id="rId5" Type="http://schemas.openxmlformats.org/officeDocument/2006/relationships/hyperlink" Target="http://www.ifrc.org/docs/appeals/07/MDR49001fr.pdf" TargetMode="External"/><Relationship Id="rId15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23" Type="http://schemas.openxmlformats.org/officeDocument/2006/relationships/hyperlink" Target="http://www.ifrc.org/docs/appeals/07/MDRCD001fr_.pdf" TargetMode="External"/><Relationship Id="rId28" Type="http://schemas.openxmlformats.org/officeDocument/2006/relationships/hyperlink" Target="http://www.ifrc.org/docs/appeals/07/MDRTG001fr.pdf" TargetMode="External"/><Relationship Id="rId36" Type="http://schemas.openxmlformats.org/officeDocument/2006/relationships/hyperlink" Target="http://www.ifrc.org/docs/appeals/rpts08/MDRCO002final.pdf" TargetMode="External"/><Relationship Id="rId49" Type="http://schemas.openxmlformats.org/officeDocument/2006/relationships/hyperlink" Target="http://www.ifrc.org/docs/appeals/07/MDRKV002Final.pdf" TargetMode="External"/><Relationship Id="rId57" Type="http://schemas.openxmlformats.org/officeDocument/2006/relationships/hyperlink" Target="http://www.ifrc.org/docs/appeals/07/MDR43002fr.pdf" TargetMode="External"/><Relationship Id="rId61" Type="http://schemas.openxmlformats.org/officeDocument/2006/relationships/comments" Target="../comments6.xml"/><Relationship Id="rId10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19" Type="http://schemas.openxmlformats.org/officeDocument/2006/relationships/hyperlink" Target="http://www.ifrc.org/docs/appeals/08/MDR61002%20final.pdf" TargetMode="External"/><Relationship Id="rId31" Type="http://schemas.openxmlformats.org/officeDocument/2006/relationships/hyperlink" Target="http://www.ifrc.org/docs/appeals/07/MDRPS002final.pdf" TargetMode="External"/><Relationship Id="rId44" Type="http://schemas.openxmlformats.org/officeDocument/2006/relationships/hyperlink" Target="http://www.ifrc.org/docs/appeals/08/Mdr63001fr.pdf" TargetMode="External"/><Relationship Id="rId52" Type="http://schemas.openxmlformats.org/officeDocument/2006/relationships/hyperlink" Target="http://www.ifrc.org/docs/appeals/07/MDRCM005fr.pdf" TargetMode="External"/><Relationship Id="rId60" Type="http://schemas.openxmlformats.org/officeDocument/2006/relationships/vmlDrawing" Target="../drawings/vmlDrawing6.vml"/><Relationship Id="rId4" Type="http://schemas.openxmlformats.org/officeDocument/2006/relationships/hyperlink" Target="http://www.ifrc.org/docs/appeals/07/MDRBD003FR.pdf" TargetMode="External"/><Relationship Id="rId9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14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22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27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0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5" Type="http://schemas.openxmlformats.org/officeDocument/2006/relationships/hyperlink" Target="http://www.ifrc.org/docs/appeals/07/MDRCG002fr2.pdf" TargetMode="External"/><Relationship Id="rId43" Type="http://schemas.openxmlformats.org/officeDocument/2006/relationships/hyperlink" Target="http://www.ifrc.org/docs/appeals/07/MDR49002fr.pdf" TargetMode="External"/><Relationship Id="rId48" Type="http://schemas.openxmlformats.org/officeDocument/2006/relationships/hyperlink" Target="../../../C/Documents/Microsoft%20User%20Data/Office%202011%20AutoRecovery/shared/health/Users/Joana/Documents/Microsoft%20User%20Data/Office%202011%20AutoRecovery/shared/health/14%20WatSan-EH/Lemlem%20Girmatsion/General%20Appeal%20and%20DREF%20mapping/Appeals%20mapping-%202009.xlsx" TargetMode="External"/><Relationship Id="rId56" Type="http://schemas.openxmlformats.org/officeDocument/2006/relationships/hyperlink" Target="http://www.ifrc.org/docs/Appeals/07/MDRPK001FR.pdf" TargetMode="External"/><Relationship Id="rId8" Type="http://schemas.openxmlformats.org/officeDocument/2006/relationships/hyperlink" Target="http://www.ifrc.org/docs/appeals/07/MDRSB001FR.pdf" TargetMode="External"/><Relationship Id="rId51" Type="http://schemas.openxmlformats.org/officeDocument/2006/relationships/hyperlink" Target="http://www.ifrc.org/docs/appeals/07/MDRBD001FR.pdf" TargetMode="External"/><Relationship Id="rId3" Type="http://schemas.openxmlformats.org/officeDocument/2006/relationships/hyperlink" Target="http://www.ifrc.org/docs/appeals/07/MDRSD004%20Final%20Report.pdf" TargetMode="External"/><Relationship Id="rId12" Type="http://schemas.openxmlformats.org/officeDocument/2006/relationships/hyperlink" Target="http://www.ifrc.org/docs/appeals/07/MDRBF004dfr.pdf" TargetMode="External"/><Relationship Id="rId17" Type="http://schemas.openxmlformats.org/officeDocument/2006/relationships/hyperlink" Target="http://www.ifrc.org/docs/appeals/07/MDRCM003dfr.pdf" TargetMode="External"/><Relationship Id="rId25" Type="http://schemas.openxmlformats.org/officeDocument/2006/relationships/hyperlink" Target="file://C:\Documents%20and%20Settings\mitiku.raga\Local%20Settings\C\Documents\Microsoft%20User%20Data\Office%202011%20AutoRecovery\shared\health\Users\Joana\Documents\Microsoft%20User%20Data\Office%202011%20AutoRecovery\shared\health\14%20WatSan-EH\Lemlem%20Girmatsion\General%20Appeal%20and%20DREF%20mapping\Appeals%20mapping-%202009.xlsx" TargetMode="External"/><Relationship Id="rId33" Type="http://schemas.openxmlformats.org/officeDocument/2006/relationships/hyperlink" Target="http://www.ifrc.org/docs/appeals/07/MDRTJ002final.pdf" TargetMode="External"/><Relationship Id="rId38" Type="http://schemas.openxmlformats.org/officeDocument/2006/relationships/hyperlink" Target="http://www.ifrc.org/docs/appeals/07/MDRMG001fr.pdf" TargetMode="External"/><Relationship Id="rId46" Type="http://schemas.openxmlformats.org/officeDocument/2006/relationships/hyperlink" Target="http://www.ifrc.org/docs/appeals/09/MDRVN002fr.pdf" TargetMode="External"/><Relationship Id="rId59" Type="http://schemas.openxmlformats.org/officeDocument/2006/relationships/hyperlink" Target="http://www.ifrc.org/docs/appeals/10/MDRID001_FR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29"/>
  <sheetViews>
    <sheetView zoomScale="80" zoomScaleNormal="80" zoomScalePageLayoutView="90" workbookViewId="0">
      <selection activeCell="AA4" sqref="AA4"/>
    </sheetView>
  </sheetViews>
  <sheetFormatPr defaultColWidth="8.85546875" defaultRowHeight="12.75"/>
  <cols>
    <col min="1" max="1" width="14.140625" customWidth="1"/>
    <col min="2" max="2" width="31.42578125" customWidth="1"/>
    <col min="3" max="3" width="13.7109375" customWidth="1"/>
    <col min="4" max="4" width="15" customWidth="1"/>
    <col min="5" max="5" width="14.28515625" customWidth="1"/>
    <col min="6" max="6" width="15.42578125" customWidth="1"/>
    <col min="7" max="7" width="14.5703125" customWidth="1"/>
    <col min="8" max="8" width="13.28515625" customWidth="1"/>
    <col min="9" max="9" width="11" bestFit="1" customWidth="1"/>
    <col min="10" max="10" width="15.42578125" customWidth="1"/>
    <col min="11" max="11" width="12.28515625" customWidth="1"/>
    <col min="12" max="12" width="10.85546875" customWidth="1"/>
    <col min="13" max="13" width="12.28515625" style="2" customWidth="1"/>
    <col min="14" max="14" width="11.5703125" customWidth="1"/>
    <col min="15" max="15" width="11.140625" customWidth="1"/>
    <col min="16" max="16" width="11.85546875" bestFit="1" customWidth="1"/>
    <col min="17" max="17" width="13.5703125" customWidth="1"/>
    <col min="18" max="18" width="11.85546875" bestFit="1" customWidth="1"/>
    <col min="19" max="19" width="15" customWidth="1"/>
    <col min="20" max="20" width="16.5703125" customWidth="1"/>
    <col min="21" max="22" width="13.5703125" customWidth="1"/>
    <col min="23" max="23" width="11.7109375" style="2" customWidth="1"/>
    <col min="24" max="24" width="13.42578125" customWidth="1"/>
    <col min="25" max="25" width="13" customWidth="1"/>
    <col min="26" max="26" width="13.85546875" customWidth="1"/>
    <col min="27" max="27" width="13.5703125" customWidth="1"/>
    <col min="29" max="29" width="12.140625" customWidth="1"/>
    <col min="30" max="30" width="11.140625" customWidth="1"/>
    <col min="31" max="31" width="12.140625" customWidth="1"/>
  </cols>
  <sheetData>
    <row r="2" spans="2:32">
      <c r="B2" s="995" t="s">
        <v>2505</v>
      </c>
    </row>
    <row r="3" spans="2:32" s="545" customFormat="1" ht="35.25" customHeight="1">
      <c r="B3" s="551" t="s">
        <v>2316</v>
      </c>
      <c r="C3" s="565" t="s">
        <v>2317</v>
      </c>
      <c r="D3" s="546" t="s">
        <v>1536</v>
      </c>
      <c r="E3" s="546" t="s">
        <v>2447</v>
      </c>
      <c r="F3" s="546" t="s">
        <v>2448</v>
      </c>
      <c r="G3" s="546" t="s">
        <v>1035</v>
      </c>
      <c r="H3" s="546" t="s">
        <v>2450</v>
      </c>
      <c r="I3" s="546" t="s">
        <v>115</v>
      </c>
      <c r="J3" s="564" t="s">
        <v>2443</v>
      </c>
      <c r="K3" s="559" t="s">
        <v>2444</v>
      </c>
      <c r="L3" s="559" t="s">
        <v>50</v>
      </c>
      <c r="M3" s="558" t="s">
        <v>93</v>
      </c>
      <c r="N3" s="558" t="s">
        <v>92</v>
      </c>
      <c r="O3" s="558" t="s">
        <v>91</v>
      </c>
      <c r="P3" s="559" t="s">
        <v>48</v>
      </c>
      <c r="Q3" s="559" t="s">
        <v>49</v>
      </c>
      <c r="R3" s="559" t="s">
        <v>2360</v>
      </c>
      <c r="S3" s="977" t="s">
        <v>76</v>
      </c>
      <c r="T3" s="977" t="s">
        <v>77</v>
      </c>
      <c r="U3" s="560" t="s">
        <v>82</v>
      </c>
      <c r="V3" s="560" t="s">
        <v>109</v>
      </c>
      <c r="W3" s="560" t="s">
        <v>110</v>
      </c>
      <c r="X3" s="560" t="s">
        <v>81</v>
      </c>
      <c r="Y3" s="560" t="s">
        <v>33</v>
      </c>
      <c r="Z3" s="560" t="s">
        <v>34</v>
      </c>
      <c r="AA3" s="977" t="s">
        <v>32</v>
      </c>
      <c r="AB3" s="561" t="s">
        <v>86</v>
      </c>
      <c r="AC3" s="562" t="s">
        <v>2449</v>
      </c>
      <c r="AD3" s="563" t="s">
        <v>47</v>
      </c>
      <c r="AE3" s="978" t="s">
        <v>74</v>
      </c>
      <c r="AF3" s="547"/>
    </row>
    <row r="4" spans="2:32" ht="15">
      <c r="B4" s="550">
        <v>2004</v>
      </c>
      <c r="C4" s="568">
        <v>57</v>
      </c>
      <c r="D4" s="534">
        <f>'2004'!J61</f>
        <v>9757618</v>
      </c>
      <c r="E4" s="534">
        <f>'2004'!K61</f>
        <v>68764130</v>
      </c>
      <c r="F4" s="534">
        <f>'2004'!L61</f>
        <v>735812280.08999896</v>
      </c>
      <c r="G4" s="534">
        <f>'2004'!M61</f>
        <v>715301961.09999919</v>
      </c>
      <c r="H4" s="534">
        <f>'2004'!N61</f>
        <v>35.737160872779157</v>
      </c>
      <c r="I4" s="534">
        <f>'2004'!O61</f>
        <v>85.253211394491345</v>
      </c>
      <c r="J4" s="534">
        <f>'2004'!P61</f>
        <v>965541</v>
      </c>
      <c r="K4" s="534">
        <f>'2004'!Q61</f>
        <v>400610</v>
      </c>
      <c r="L4" s="534">
        <f>'2004'!R61</f>
        <v>989581</v>
      </c>
      <c r="M4" s="972"/>
      <c r="N4" s="534">
        <f>'2004'!T61</f>
        <v>14557</v>
      </c>
      <c r="O4" s="534">
        <f>'2004'!U61</f>
        <v>192986</v>
      </c>
      <c r="P4" s="534">
        <f>'2004'!V61</f>
        <v>4760112</v>
      </c>
      <c r="Q4" s="534">
        <f>'2004'!W61</f>
        <v>77665294.159999996</v>
      </c>
      <c r="R4" s="534">
        <f>'2004'!X61</f>
        <v>13.395029928312248</v>
      </c>
      <c r="S4" s="984">
        <f>'2004'!Z61</f>
        <v>265687</v>
      </c>
      <c r="T4" s="984">
        <f>'2004'!AA61</f>
        <v>2941280</v>
      </c>
      <c r="U4" s="534">
        <f>'2004'!AB61</f>
        <v>4126</v>
      </c>
      <c r="V4" s="534">
        <f>'2004'!AC61</f>
        <v>277696</v>
      </c>
      <c r="W4" s="972"/>
      <c r="X4" s="534">
        <f>'2004'!AE61</f>
        <v>1175892</v>
      </c>
      <c r="Y4" s="534">
        <f>'2004'!AF61</f>
        <v>0</v>
      </c>
      <c r="Z4" s="534">
        <f>'2004'!AG61</f>
        <v>44938</v>
      </c>
      <c r="AA4" s="984">
        <f>'2004'!AH61</f>
        <v>18950</v>
      </c>
      <c r="AB4" s="534">
        <f>'2004'!AI61</f>
        <v>2159</v>
      </c>
      <c r="AC4" s="534">
        <f>'2004'!AJ61</f>
        <v>3225917</v>
      </c>
      <c r="AD4" s="534">
        <f>'2004'!AK61</f>
        <v>1162356</v>
      </c>
      <c r="AE4" s="979">
        <f>'2004'!AL61</f>
        <v>96695690</v>
      </c>
    </row>
    <row r="5" spans="2:32" ht="15">
      <c r="B5" s="533">
        <v>2005</v>
      </c>
      <c r="C5" s="569">
        <v>94</v>
      </c>
      <c r="D5" s="537">
        <f>'2005'!J98</f>
        <v>8849388</v>
      </c>
      <c r="E5" s="537">
        <f>'2005'!K98</f>
        <v>272434936</v>
      </c>
      <c r="F5" s="537">
        <f>'2005'!L98</f>
        <v>232357427.88</v>
      </c>
      <c r="G5" s="537">
        <f>'2005'!M98</f>
        <v>225819406.82000005</v>
      </c>
      <c r="H5" s="537">
        <f>'2005'!N98</f>
        <v>31.388474870933869</v>
      </c>
      <c r="I5" s="537">
        <f>'2005'!O98</f>
        <v>81.934040414438599</v>
      </c>
      <c r="J5" s="537">
        <f>'2005'!P98</f>
        <v>1957235</v>
      </c>
      <c r="K5" s="537">
        <f>'2005'!Q98</f>
        <v>204670</v>
      </c>
      <c r="L5" s="537">
        <f>'2005'!R98</f>
        <v>1985206</v>
      </c>
      <c r="M5" s="540"/>
      <c r="N5" s="537">
        <f>'2005'!T98</f>
        <v>2099</v>
      </c>
      <c r="O5" s="537">
        <f>'2005'!U98</f>
        <v>1851287</v>
      </c>
      <c r="P5" s="537">
        <f>'2005'!V98</f>
        <v>4859622</v>
      </c>
      <c r="Q5" s="537">
        <f>'2005'!W98</f>
        <v>10339590.66</v>
      </c>
      <c r="R5" s="537">
        <f>'2005'!X98</f>
        <v>17.230663015581722</v>
      </c>
      <c r="S5" s="985">
        <f>'2005'!Z98</f>
        <v>494953</v>
      </c>
      <c r="T5" s="985">
        <f>'2005'!AA98</f>
        <v>3544559</v>
      </c>
      <c r="U5" s="537">
        <f>'2005'!AB98</f>
        <v>7380</v>
      </c>
      <c r="V5" s="537">
        <f>'2005'!AC98</f>
        <v>885</v>
      </c>
      <c r="W5" s="540"/>
      <c r="X5" s="537">
        <f>'2005'!AE98</f>
        <v>41028</v>
      </c>
      <c r="Y5" s="537">
        <f>'2005'!AF98</f>
        <v>0</v>
      </c>
      <c r="Z5" s="537">
        <f>'2005'!AG98</f>
        <v>0</v>
      </c>
      <c r="AA5" s="985">
        <f>'2005'!AH98</f>
        <v>312048</v>
      </c>
      <c r="AB5" s="537">
        <f>'2005'!AI98</f>
        <v>2850</v>
      </c>
      <c r="AC5" s="537">
        <f>'2005'!AJ98</f>
        <v>4351560</v>
      </c>
      <c r="AD5" s="537">
        <f>'2005'!AK98</f>
        <v>4258433</v>
      </c>
      <c r="AE5" s="648">
        <f>'2005'!AL98</f>
        <v>3358863</v>
      </c>
    </row>
    <row r="6" spans="2:32" ht="15">
      <c r="B6" s="533">
        <v>2006</v>
      </c>
      <c r="C6" s="569">
        <v>95</v>
      </c>
      <c r="D6" s="540">
        <f>'2006'!J98</f>
        <v>9267784</v>
      </c>
      <c r="E6" s="540">
        <f>'2006'!K98</f>
        <v>117531476</v>
      </c>
      <c r="F6" s="540">
        <f>'2006'!L98</f>
        <v>86442817</v>
      </c>
      <c r="G6" s="540">
        <f>'2006'!M98</f>
        <v>85732152</v>
      </c>
      <c r="H6" s="540">
        <f>'2006'!N98</f>
        <v>26.60289111056154</v>
      </c>
      <c r="I6" s="540">
        <f>'2006'!O98</f>
        <v>85.433809523809543</v>
      </c>
      <c r="J6" s="540">
        <f>'2006'!P98</f>
        <v>1196936</v>
      </c>
      <c r="K6" s="540">
        <f>'2006'!Q98</f>
        <v>780462</v>
      </c>
      <c r="L6" s="540">
        <f>'2006'!R98</f>
        <v>1317343</v>
      </c>
      <c r="M6" s="540"/>
      <c r="N6" s="540">
        <f>'2006'!T98</f>
        <v>2737</v>
      </c>
      <c r="O6" s="540">
        <f>'2006'!U98</f>
        <v>1322187</v>
      </c>
      <c r="P6" s="540">
        <f>'2006'!V98</f>
        <v>9097404</v>
      </c>
      <c r="Q6" s="540">
        <f>'2006'!W98</f>
        <v>2518448.7000000002</v>
      </c>
      <c r="R6" s="540">
        <f>'2006'!X98</f>
        <v>5.1290854438331852</v>
      </c>
      <c r="S6" s="985">
        <f>'2006'!Z98</f>
        <v>15374</v>
      </c>
      <c r="T6" s="985">
        <f>'2006'!AA98</f>
        <v>2497039</v>
      </c>
      <c r="U6" s="540">
        <f>'2006'!AB98</f>
        <v>7394</v>
      </c>
      <c r="V6" s="540">
        <f>'2006'!AC98</f>
        <v>259</v>
      </c>
      <c r="W6" s="540"/>
      <c r="X6" s="540">
        <f>'2006'!AE98</f>
        <v>1820194</v>
      </c>
      <c r="Y6" s="540">
        <f>'2006'!AF98</f>
        <v>0</v>
      </c>
      <c r="Z6" s="540">
        <f>'2006'!AG98</f>
        <v>1508</v>
      </c>
      <c r="AA6" s="985">
        <f>'2006'!AH98</f>
        <v>16495</v>
      </c>
      <c r="AB6" s="540">
        <f>'2006'!AI98</f>
        <v>0</v>
      </c>
      <c r="AC6" s="540">
        <f>'2006'!AJ98</f>
        <v>2528908</v>
      </c>
      <c r="AD6" s="540">
        <f>'2006'!AK98</f>
        <v>3474501</v>
      </c>
      <c r="AE6" s="649">
        <f>'2006'!AL98</f>
        <v>2138419.0700000003</v>
      </c>
    </row>
    <row r="7" spans="2:32" ht="15">
      <c r="B7" s="533">
        <v>2007</v>
      </c>
      <c r="C7" s="569">
        <v>95</v>
      </c>
      <c r="D7" s="537">
        <f>'2007'!J100</f>
        <v>18905348</v>
      </c>
      <c r="E7" s="537">
        <f>'2007'!K100</f>
        <v>179488747</v>
      </c>
      <c r="F7" s="537">
        <f>'2007'!L100</f>
        <v>128351207.67</v>
      </c>
      <c r="G7" s="537">
        <f>'2007'!M100</f>
        <v>124685471.67</v>
      </c>
      <c r="H7" s="537">
        <f>'2007'!N100</f>
        <v>31.953448980034906</v>
      </c>
      <c r="I7" s="537">
        <f>'2007'!O100</f>
        <v>87.577904145000304</v>
      </c>
      <c r="J7" s="537">
        <f>'2007'!P100</f>
        <v>2336772</v>
      </c>
      <c r="K7" s="537">
        <f>'2007'!Q100</f>
        <v>293468</v>
      </c>
      <c r="L7" s="537">
        <f>'2007'!R100</f>
        <v>2429892</v>
      </c>
      <c r="M7" s="540"/>
      <c r="N7" s="537">
        <f>'2007'!T100</f>
        <v>21252</v>
      </c>
      <c r="O7" s="537">
        <f>'2007'!U100</f>
        <v>6475223</v>
      </c>
      <c r="P7" s="537">
        <f>'2007'!V100</f>
        <v>8812701</v>
      </c>
      <c r="Q7" s="537">
        <f>'2007'!W100</f>
        <v>3799283.76</v>
      </c>
      <c r="R7" s="537">
        <f>'2007'!X100</f>
        <v>3.5594011978045863</v>
      </c>
      <c r="S7" s="985">
        <f>'2007'!Z100</f>
        <v>128755</v>
      </c>
      <c r="T7" s="985">
        <f>'2007'!AA100</f>
        <v>10549692</v>
      </c>
      <c r="U7" s="537">
        <f>'2007'!AB100</f>
        <v>13110</v>
      </c>
      <c r="V7" s="537">
        <f>'2007'!AC100</f>
        <v>2738</v>
      </c>
      <c r="W7" s="540"/>
      <c r="X7" s="537">
        <f>'2007'!AE100</f>
        <v>315251</v>
      </c>
      <c r="Y7" s="537">
        <f>'2007'!AF100</f>
        <v>0</v>
      </c>
      <c r="Z7" s="537">
        <f>'2007'!AG100</f>
        <v>35000</v>
      </c>
      <c r="AA7" s="985">
        <f>'2007'!AH100</f>
        <v>95425</v>
      </c>
      <c r="AB7" s="537">
        <f>'2007'!AI100</f>
        <v>1473</v>
      </c>
      <c r="AC7" s="537">
        <f>'2007'!AJ100</f>
        <v>10766067</v>
      </c>
      <c r="AD7" s="537">
        <f>'2007'!AK100</f>
        <v>7391653</v>
      </c>
      <c r="AE7" s="648">
        <f>'2007'!AL100</f>
        <v>5612910.3600000003</v>
      </c>
    </row>
    <row r="8" spans="2:32" ht="15">
      <c r="B8" s="533">
        <v>2008</v>
      </c>
      <c r="C8" s="569">
        <v>101</v>
      </c>
      <c r="D8" s="537">
        <f>'2008'!J105</f>
        <v>23198767</v>
      </c>
      <c r="E8" s="537">
        <f>'2008'!K105</f>
        <v>418968870</v>
      </c>
      <c r="F8" s="537">
        <f>'2008'!L105</f>
        <v>285267418</v>
      </c>
      <c r="G8" s="537">
        <f>'2008'!M105</f>
        <v>271956957</v>
      </c>
      <c r="H8" s="537">
        <f>'2008'!N105</f>
        <v>47.927366768174871</v>
      </c>
      <c r="I8" s="537">
        <f>'2008'!O105</f>
        <v>85.509472718230455</v>
      </c>
      <c r="J8" s="537">
        <f>'2008'!P105</f>
        <v>1017774</v>
      </c>
      <c r="K8" s="537">
        <f>'2008'!Q105</f>
        <v>394137</v>
      </c>
      <c r="L8" s="537">
        <f>'2008'!R105</f>
        <v>1425031</v>
      </c>
      <c r="M8" s="540"/>
      <c r="N8" s="537">
        <f>'2008'!T105</f>
        <v>4674</v>
      </c>
      <c r="O8" s="537">
        <f>'2008'!U105</f>
        <v>4094687</v>
      </c>
      <c r="P8" s="537">
        <f>'2008'!V105</f>
        <v>16551198</v>
      </c>
      <c r="Q8" s="537">
        <f>'2008'!W105</f>
        <v>9332084.620000001</v>
      </c>
      <c r="R8" s="537">
        <f>'2008'!X105</f>
        <v>10.159355455756533</v>
      </c>
      <c r="S8" s="985">
        <f>'2008'!Z105</f>
        <v>374085</v>
      </c>
      <c r="T8" s="985">
        <f>'2008'!AA105</f>
        <v>3641422</v>
      </c>
      <c r="U8" s="537">
        <f>'2008'!AB105</f>
        <v>87080</v>
      </c>
      <c r="V8" s="537">
        <f>'2008'!AC105</f>
        <v>51088</v>
      </c>
      <c r="W8" s="540"/>
      <c r="X8" s="537">
        <f>'2008'!AE105</f>
        <v>82514</v>
      </c>
      <c r="Y8" s="537">
        <f>'2008'!AF105</f>
        <v>0</v>
      </c>
      <c r="Z8" s="537">
        <f>'2008'!AG105</f>
        <v>0</v>
      </c>
      <c r="AA8" s="985">
        <f>'2008'!AH105</f>
        <v>52635</v>
      </c>
      <c r="AB8" s="537">
        <f>'2008'!AI105</f>
        <v>201</v>
      </c>
      <c r="AC8" s="537">
        <f>'2008'!AJ105</f>
        <v>4068142</v>
      </c>
      <c r="AD8" s="537">
        <f>'2008'!AK105</f>
        <v>4970046</v>
      </c>
      <c r="AE8" s="648">
        <f>'2008'!AL105</f>
        <v>2105138.59</v>
      </c>
    </row>
    <row r="9" spans="2:32" ht="15">
      <c r="B9" s="533">
        <v>2009</v>
      </c>
      <c r="C9" s="569">
        <v>93</v>
      </c>
      <c r="D9" s="537">
        <f>'2009'!J97</f>
        <v>38774110</v>
      </c>
      <c r="E9" s="537">
        <f>'2009'!K97</f>
        <v>72860907</v>
      </c>
      <c r="F9" s="537">
        <f>'2009'!L97</f>
        <v>58137427</v>
      </c>
      <c r="G9" s="537">
        <f>'2009'!M97</f>
        <v>54995130.139999993</v>
      </c>
      <c r="H9" s="537">
        <f>'2009'!N97</f>
        <v>37.98360180496703</v>
      </c>
      <c r="I9" s="537">
        <f>'2009'!O97</f>
        <v>88.500321117828662</v>
      </c>
      <c r="J9" s="537">
        <f>'2009'!P97</f>
        <v>2428623</v>
      </c>
      <c r="K9" s="537">
        <f>'2009'!Q97</f>
        <v>710693</v>
      </c>
      <c r="L9" s="537">
        <f>'2009'!R97</f>
        <v>2568951</v>
      </c>
      <c r="M9" s="540"/>
      <c r="N9" s="537">
        <f>'2009'!T97</f>
        <v>4667</v>
      </c>
      <c r="O9" s="537">
        <f>'2009'!U97</f>
        <v>4638770</v>
      </c>
      <c r="P9" s="537">
        <f>'2009'!V97</f>
        <v>6493445</v>
      </c>
      <c r="Q9" s="537">
        <f>'2009'!W97</f>
        <v>4323180.16</v>
      </c>
      <c r="R9" s="537">
        <f>'2009'!X97</f>
        <v>10.298396539713284</v>
      </c>
      <c r="S9" s="985">
        <f>'2009'!Z97</f>
        <v>174159</v>
      </c>
      <c r="T9" s="985">
        <f>'2009'!AA97</f>
        <v>12435566</v>
      </c>
      <c r="U9" s="537">
        <f>'2009'!AB97</f>
        <v>37427</v>
      </c>
      <c r="V9" s="537">
        <f>'2009'!AC97</f>
        <v>1342</v>
      </c>
      <c r="W9" s="540"/>
      <c r="X9" s="537">
        <f>'2009'!AE97</f>
        <v>137430</v>
      </c>
      <c r="Y9" s="537">
        <f>'2009'!AF97</f>
        <v>0</v>
      </c>
      <c r="Z9" s="537">
        <f>'2009'!AG97</f>
        <v>7200</v>
      </c>
      <c r="AA9" s="985">
        <f>'2009'!AH97</f>
        <v>120851</v>
      </c>
      <c r="AB9" s="537">
        <f>'2009'!AI97</f>
        <v>554</v>
      </c>
      <c r="AC9" s="537">
        <f>'2009'!AJ97</f>
        <v>12730576</v>
      </c>
      <c r="AD9" s="537">
        <f>'2009'!AK97</f>
        <v>1019872</v>
      </c>
      <c r="AE9" s="648">
        <f>'2009'!AL97</f>
        <v>772984.9</v>
      </c>
    </row>
    <row r="10" spans="2:32" ht="15">
      <c r="B10" s="533">
        <v>2010</v>
      </c>
      <c r="C10" s="569">
        <v>128</v>
      </c>
      <c r="D10" s="537">
        <f>'2010'!J132</f>
        <v>17039001</v>
      </c>
      <c r="E10" s="537">
        <f>'2010'!K132</f>
        <v>544934870</v>
      </c>
      <c r="F10" s="537">
        <f>'2010'!L132</f>
        <v>406220618</v>
      </c>
      <c r="G10" s="537">
        <f>'2010'!M132</f>
        <v>305656574.18000001</v>
      </c>
      <c r="H10" s="537">
        <f>'2010'!N132</f>
        <v>42.218196165445775</v>
      </c>
      <c r="I10" s="537">
        <f>'2010'!O132</f>
        <v>88.547981651376148</v>
      </c>
      <c r="J10" s="537">
        <f>'2010'!P132</f>
        <v>2308854</v>
      </c>
      <c r="K10" s="537">
        <f>'2010'!Q132</f>
        <v>890088</v>
      </c>
      <c r="L10" s="537">
        <f>'2010'!R132</f>
        <v>2523041</v>
      </c>
      <c r="M10" s="540">
        <f>'2010'!S132</f>
        <v>18</v>
      </c>
      <c r="N10" s="537">
        <f>'2010'!T132</f>
        <v>3859</v>
      </c>
      <c r="O10" s="537">
        <f>'2010'!U132</f>
        <v>2600598</v>
      </c>
      <c r="P10" s="537">
        <f>'2010'!V132</f>
        <v>38999626</v>
      </c>
      <c r="Q10" s="537">
        <f>'2010'!W132</f>
        <v>27694680.520000003</v>
      </c>
      <c r="R10" s="537">
        <f>'2010'!X132</f>
        <v>9.4993021580779295</v>
      </c>
      <c r="S10" s="985">
        <f>'2010'!Z132</f>
        <v>51603</v>
      </c>
      <c r="T10" s="985">
        <f>'2010'!AA132</f>
        <v>5211845</v>
      </c>
      <c r="U10" s="537">
        <f>'2010'!AB132</f>
        <v>169536</v>
      </c>
      <c r="V10" s="537">
        <f>'2010'!AC132</f>
        <v>13</v>
      </c>
      <c r="W10" s="540"/>
      <c r="X10" s="537">
        <f>'2010'!AE132</f>
        <v>159875</v>
      </c>
      <c r="Y10" s="537">
        <f>'2010'!AF132</f>
        <v>0</v>
      </c>
      <c r="Z10" s="537">
        <f>'2010'!AG132</f>
        <v>32164</v>
      </c>
      <c r="AA10" s="985">
        <f>'2010'!AH132</f>
        <v>36970</v>
      </c>
      <c r="AB10" s="537">
        <f>'2010'!AI132</f>
        <v>384</v>
      </c>
      <c r="AC10" s="537">
        <f>'2010'!AJ132</f>
        <v>5300418</v>
      </c>
      <c r="AD10" s="537">
        <f>'2010'!AK132</f>
        <v>8919089</v>
      </c>
      <c r="AE10" s="648">
        <f>'2010'!AL132</f>
        <v>4454019.75</v>
      </c>
    </row>
    <row r="11" spans="2:32" ht="15">
      <c r="B11" s="533">
        <v>2011</v>
      </c>
      <c r="C11" s="569">
        <v>111</v>
      </c>
      <c r="D11" s="542">
        <f>'2011'!J115</f>
        <v>27446633</v>
      </c>
      <c r="E11" s="542">
        <f>'2011'!K115</f>
        <v>191149439</v>
      </c>
      <c r="F11" s="542">
        <f>'2011'!L115</f>
        <v>84214822.039999992</v>
      </c>
      <c r="G11" s="542">
        <f>'2011'!M115</f>
        <v>68778362.911599994</v>
      </c>
      <c r="H11" s="542">
        <f>'2011'!N115</f>
        <v>24.92891097980781</v>
      </c>
      <c r="I11" s="542">
        <f>'2011'!O115</f>
        <v>88.359962555264147</v>
      </c>
      <c r="J11" s="542">
        <f>'2011'!P115</f>
        <v>1348195</v>
      </c>
      <c r="K11" s="542">
        <f>'2011'!Q115</f>
        <v>567823</v>
      </c>
      <c r="L11" s="542">
        <f>'2011'!R115</f>
        <v>1422918</v>
      </c>
      <c r="M11" s="659">
        <f>'2011'!S115</f>
        <v>24</v>
      </c>
      <c r="N11" s="542">
        <f>'2011'!T115</f>
        <v>11639</v>
      </c>
      <c r="O11" s="542">
        <f>'2011'!U115</f>
        <v>4997039</v>
      </c>
      <c r="P11" s="542">
        <f>'2011'!V115</f>
        <v>24844043</v>
      </c>
      <c r="Q11" s="542">
        <f>'2011'!W115</f>
        <v>5053991.51</v>
      </c>
      <c r="R11" s="542">
        <f>'2011'!X115</f>
        <v>5.0891433275642175</v>
      </c>
      <c r="S11" s="986">
        <f>'2011'!Z115</f>
        <v>149426</v>
      </c>
      <c r="T11" s="986">
        <f>'2011'!AA115</f>
        <v>16756696</v>
      </c>
      <c r="U11" s="542">
        <f>'2011'!AB115</f>
        <v>20139</v>
      </c>
      <c r="V11" s="659">
        <f>'2011'!AC115</f>
        <v>15</v>
      </c>
      <c r="W11" s="659"/>
      <c r="X11" s="542">
        <f>'2011'!AE115</f>
        <v>157210.6</v>
      </c>
      <c r="Y11" s="542">
        <f>'2011'!AF115</f>
        <v>0</v>
      </c>
      <c r="Z11" s="542">
        <f>'2011'!AG115</f>
        <v>0</v>
      </c>
      <c r="AA11" s="986">
        <f>'2011'!AH115</f>
        <v>14305</v>
      </c>
      <c r="AB11" s="542">
        <f>'2011'!AI115</f>
        <v>201</v>
      </c>
      <c r="AC11" s="542">
        <f>'2011'!AJ115</f>
        <v>16920427</v>
      </c>
      <c r="AD11" s="542">
        <f>'2011'!AK115</f>
        <v>3096847</v>
      </c>
      <c r="AE11" s="568">
        <f>'2011'!AL115</f>
        <v>970721.39</v>
      </c>
    </row>
    <row r="12" spans="2:32" ht="15">
      <c r="B12" s="567" t="s">
        <v>2433</v>
      </c>
      <c r="C12" s="570">
        <f>AVERAGE(C4:C11)</f>
        <v>96.75</v>
      </c>
      <c r="D12" s="570">
        <f t="shared" ref="D12:H12" si="0">AVERAGE(D4:D11)</f>
        <v>19154831.125</v>
      </c>
      <c r="E12" s="570">
        <f>AVERAGE(E4:E11)</f>
        <v>233266671.875</v>
      </c>
      <c r="F12" s="570">
        <f t="shared" si="0"/>
        <v>252100502.20999986</v>
      </c>
      <c r="G12" s="570">
        <f t="shared" si="0"/>
        <v>231615751.97769994</v>
      </c>
      <c r="H12" s="570">
        <f t="shared" si="0"/>
        <v>34.842506444088123</v>
      </c>
      <c r="I12" s="570">
        <f>AVERAGE(I4:I11)</f>
        <v>86.389587940054895</v>
      </c>
      <c r="J12" s="570">
        <f>AVERAGE(J4:J11)</f>
        <v>1694991.25</v>
      </c>
      <c r="K12" s="570">
        <f t="shared" ref="K12:AE12" si="1">AVERAGE(K4:K11)</f>
        <v>530243.875</v>
      </c>
      <c r="L12" s="570">
        <f t="shared" si="1"/>
        <v>1832745.375</v>
      </c>
      <c r="M12" s="973">
        <f t="shared" si="1"/>
        <v>21</v>
      </c>
      <c r="N12" s="570">
        <f t="shared" si="1"/>
        <v>8185.5</v>
      </c>
      <c r="O12" s="570">
        <f t="shared" si="1"/>
        <v>3271597.125</v>
      </c>
      <c r="P12" s="570">
        <f t="shared" si="1"/>
        <v>14302268.875</v>
      </c>
      <c r="Q12" s="570">
        <f t="shared" si="1"/>
        <v>17590819.26125</v>
      </c>
      <c r="R12" s="570">
        <f t="shared" si="1"/>
        <v>9.2950471333304634</v>
      </c>
      <c r="S12" s="987">
        <f t="shared" si="1"/>
        <v>206755.25</v>
      </c>
      <c r="T12" s="987">
        <f t="shared" si="1"/>
        <v>7197262.375</v>
      </c>
      <c r="U12" s="570">
        <f t="shared" si="1"/>
        <v>43274</v>
      </c>
      <c r="V12" s="570">
        <f t="shared" si="1"/>
        <v>41754.5</v>
      </c>
      <c r="W12" s="973"/>
      <c r="X12" s="570"/>
      <c r="Y12" s="570">
        <f t="shared" si="1"/>
        <v>0</v>
      </c>
      <c r="Z12" s="570">
        <f t="shared" si="1"/>
        <v>15101.25</v>
      </c>
      <c r="AA12" s="987">
        <f t="shared" si="1"/>
        <v>83459.875</v>
      </c>
      <c r="AB12" s="570">
        <f t="shared" si="1"/>
        <v>977.75</v>
      </c>
      <c r="AC12" s="570">
        <f t="shared" si="1"/>
        <v>7486501.875</v>
      </c>
      <c r="AD12" s="570">
        <f t="shared" si="1"/>
        <v>4286599.625</v>
      </c>
      <c r="AE12" s="980">
        <f t="shared" si="1"/>
        <v>14513593.3825</v>
      </c>
    </row>
    <row r="13" spans="2:32" ht="15">
      <c r="B13" s="252"/>
      <c r="C13" s="252"/>
      <c r="D13" s="252"/>
      <c r="E13" s="252"/>
      <c r="F13" s="252"/>
      <c r="G13" s="252"/>
    </row>
    <row r="16" spans="2:32" ht="37.5" customHeight="1">
      <c r="B16" s="199"/>
      <c r="C16" s="565" t="s">
        <v>2317</v>
      </c>
      <c r="D16" s="552" t="s">
        <v>1536</v>
      </c>
      <c r="E16" s="552" t="s">
        <v>2447</v>
      </c>
      <c r="F16" s="552" t="s">
        <v>2448</v>
      </c>
      <c r="G16" s="552" t="s">
        <v>1035</v>
      </c>
      <c r="H16" s="552" t="s">
        <v>2450</v>
      </c>
      <c r="I16" s="552" t="s">
        <v>115</v>
      </c>
      <c r="J16" s="575" t="s">
        <v>2443</v>
      </c>
      <c r="K16" s="554" t="s">
        <v>2444</v>
      </c>
      <c r="L16" s="554" t="s">
        <v>50</v>
      </c>
      <c r="M16" s="553" t="s">
        <v>93</v>
      </c>
      <c r="N16" s="553" t="s">
        <v>92</v>
      </c>
      <c r="O16" s="553" t="s">
        <v>91</v>
      </c>
      <c r="P16" s="554" t="s">
        <v>48</v>
      </c>
      <c r="Q16" s="554" t="s">
        <v>49</v>
      </c>
      <c r="R16" s="554" t="s">
        <v>2360</v>
      </c>
      <c r="S16" s="988" t="s">
        <v>76</v>
      </c>
      <c r="T16" s="988" t="s">
        <v>77</v>
      </c>
      <c r="U16" s="555" t="s">
        <v>82</v>
      </c>
      <c r="V16" s="555" t="s">
        <v>109</v>
      </c>
      <c r="W16" s="555" t="s">
        <v>110</v>
      </c>
      <c r="X16" s="555" t="s">
        <v>81</v>
      </c>
      <c r="Y16" s="555" t="s">
        <v>33</v>
      </c>
      <c r="Z16" s="555" t="s">
        <v>34</v>
      </c>
      <c r="AA16" s="988" t="s">
        <v>32</v>
      </c>
      <c r="AB16" s="556" t="s">
        <v>86</v>
      </c>
      <c r="AC16" s="557" t="s">
        <v>2449</v>
      </c>
      <c r="AD16" s="548" t="s">
        <v>47</v>
      </c>
      <c r="AE16" s="981" t="s">
        <v>74</v>
      </c>
    </row>
    <row r="17" spans="2:31" ht="24.75" customHeight="1">
      <c r="B17" s="573" t="s">
        <v>1692</v>
      </c>
      <c r="C17" s="534">
        <v>363</v>
      </c>
      <c r="D17" s="651">
        <v>109158279</v>
      </c>
      <c r="E17" s="652">
        <v>562161700</v>
      </c>
      <c r="F17" s="652">
        <v>242986098</v>
      </c>
      <c r="G17" s="653">
        <v>238750111</v>
      </c>
      <c r="H17" s="653">
        <v>25</v>
      </c>
      <c r="I17" s="652">
        <v>83</v>
      </c>
      <c r="J17" s="651">
        <v>8512433</v>
      </c>
      <c r="K17" s="651">
        <v>1789472</v>
      </c>
      <c r="L17" s="651">
        <v>8875383</v>
      </c>
      <c r="M17" s="653"/>
      <c r="N17" s="652">
        <v>57405</v>
      </c>
      <c r="O17" s="652">
        <v>15906692</v>
      </c>
      <c r="P17" s="652">
        <v>58163075</v>
      </c>
      <c r="Q17" s="652">
        <v>13590135</v>
      </c>
      <c r="R17" s="653">
        <v>6</v>
      </c>
      <c r="S17" s="989">
        <v>207840</v>
      </c>
      <c r="T17" s="989">
        <v>47144559</v>
      </c>
      <c r="U17" s="652">
        <v>186116</v>
      </c>
      <c r="V17" s="652">
        <v>5526</v>
      </c>
      <c r="W17" s="653"/>
      <c r="X17" s="652">
        <v>3247115</v>
      </c>
      <c r="Y17" s="652">
        <v>0</v>
      </c>
      <c r="Z17" s="652">
        <v>98236</v>
      </c>
      <c r="AA17" s="989">
        <v>388407</v>
      </c>
      <c r="AB17" s="652">
        <v>4008</v>
      </c>
      <c r="AC17" s="652">
        <v>47735358</v>
      </c>
      <c r="AD17" s="652">
        <v>11662811</v>
      </c>
      <c r="AE17" s="982">
        <v>4161761</v>
      </c>
    </row>
    <row r="18" spans="2:31" ht="24" customHeight="1">
      <c r="B18" s="573" t="s">
        <v>1286</v>
      </c>
      <c r="C18" s="537">
        <v>155</v>
      </c>
      <c r="D18" s="646">
        <v>7313221</v>
      </c>
      <c r="E18" s="646">
        <v>380614402</v>
      </c>
      <c r="F18" s="646">
        <v>334708849</v>
      </c>
      <c r="G18" s="646">
        <v>257655137</v>
      </c>
      <c r="H18" s="646">
        <v>39</v>
      </c>
      <c r="I18" s="646">
        <v>90</v>
      </c>
      <c r="J18" s="646">
        <v>777642</v>
      </c>
      <c r="K18" s="646">
        <v>34158</v>
      </c>
      <c r="L18" s="646">
        <v>929170</v>
      </c>
      <c r="M18" s="264"/>
      <c r="N18" s="646">
        <v>2411</v>
      </c>
      <c r="O18" s="646">
        <v>2562411</v>
      </c>
      <c r="P18" s="646">
        <v>29838609</v>
      </c>
      <c r="Q18" s="646">
        <v>24652164</v>
      </c>
      <c r="R18" s="646">
        <v>14</v>
      </c>
      <c r="S18" s="990">
        <v>706182</v>
      </c>
      <c r="T18" s="990">
        <v>2006768</v>
      </c>
      <c r="U18" s="646">
        <v>7591</v>
      </c>
      <c r="V18" s="646">
        <v>487</v>
      </c>
      <c r="W18" s="264"/>
      <c r="X18" s="646">
        <v>215605</v>
      </c>
      <c r="Y18" s="646">
        <v>0</v>
      </c>
      <c r="Z18" s="646">
        <v>22529</v>
      </c>
      <c r="AA18" s="990">
        <v>32580</v>
      </c>
      <c r="AB18" s="646">
        <v>1601</v>
      </c>
      <c r="AC18" s="646">
        <v>2743173</v>
      </c>
      <c r="AD18" s="646">
        <v>3028774</v>
      </c>
      <c r="AE18" s="650">
        <v>2334858</v>
      </c>
    </row>
    <row r="19" spans="2:31" ht="24.75" customHeight="1">
      <c r="B19" s="573" t="s">
        <v>1261</v>
      </c>
      <c r="C19" s="537">
        <v>119</v>
      </c>
      <c r="D19" s="646">
        <v>31947200</v>
      </c>
      <c r="E19" s="646">
        <v>807972334</v>
      </c>
      <c r="F19" s="646">
        <v>1333433233</v>
      </c>
      <c r="G19" s="646">
        <v>1280466763</v>
      </c>
      <c r="H19" s="646">
        <v>44</v>
      </c>
      <c r="I19" s="646">
        <v>89</v>
      </c>
      <c r="J19" s="646">
        <v>4164657</v>
      </c>
      <c r="K19" s="646">
        <v>2095832</v>
      </c>
      <c r="L19" s="646">
        <v>4637213</v>
      </c>
      <c r="M19" s="264"/>
      <c r="N19" s="646">
        <v>4032</v>
      </c>
      <c r="O19" s="646">
        <v>7284252</v>
      </c>
      <c r="P19" s="646">
        <v>23378742</v>
      </c>
      <c r="Q19" s="646">
        <v>100088141</v>
      </c>
      <c r="R19" s="646">
        <v>11</v>
      </c>
      <c r="S19" s="990">
        <v>684173</v>
      </c>
      <c r="T19" s="990">
        <v>7380922</v>
      </c>
      <c r="U19" s="646">
        <v>92355</v>
      </c>
      <c r="V19" s="646">
        <v>284493</v>
      </c>
      <c r="W19" s="264"/>
      <c r="X19" s="646">
        <v>422107</v>
      </c>
      <c r="Y19" s="646">
        <v>0</v>
      </c>
      <c r="Z19" s="646">
        <v>45</v>
      </c>
      <c r="AA19" s="990">
        <v>135424</v>
      </c>
      <c r="AB19" s="646">
        <v>740</v>
      </c>
      <c r="AC19" s="646">
        <v>8200519</v>
      </c>
      <c r="AD19" s="646">
        <v>13437442</v>
      </c>
      <c r="AE19" s="650">
        <v>105556332</v>
      </c>
    </row>
    <row r="20" spans="2:31" ht="27.75" customHeight="1">
      <c r="B20" s="573" t="s">
        <v>1260</v>
      </c>
      <c r="C20" s="537">
        <v>91</v>
      </c>
      <c r="D20" s="646">
        <v>4597111</v>
      </c>
      <c r="E20" s="646">
        <v>30285666</v>
      </c>
      <c r="F20" s="646">
        <v>23913714</v>
      </c>
      <c r="G20" s="646">
        <v>23565194</v>
      </c>
      <c r="H20" s="646">
        <v>45</v>
      </c>
      <c r="I20" s="646">
        <v>95</v>
      </c>
      <c r="J20" s="646">
        <v>88503</v>
      </c>
      <c r="K20" s="646">
        <v>8326</v>
      </c>
      <c r="L20" s="646">
        <v>200039</v>
      </c>
      <c r="M20" s="264"/>
      <c r="N20" s="646">
        <v>1051</v>
      </c>
      <c r="O20" s="646">
        <v>184159</v>
      </c>
      <c r="P20" s="646">
        <v>1080462</v>
      </c>
      <c r="Q20" s="646">
        <v>1080552</v>
      </c>
      <c r="R20" s="646">
        <v>10</v>
      </c>
      <c r="S20" s="990">
        <v>21156</v>
      </c>
      <c r="T20" s="990">
        <v>985540</v>
      </c>
      <c r="U20" s="646">
        <v>12034</v>
      </c>
      <c r="V20" s="646">
        <v>0</v>
      </c>
      <c r="W20" s="264"/>
      <c r="X20" s="646">
        <v>0</v>
      </c>
      <c r="Y20" s="646">
        <v>0</v>
      </c>
      <c r="Z20" s="646">
        <v>0</v>
      </c>
      <c r="AA20" s="990">
        <v>43</v>
      </c>
      <c r="AB20" s="646">
        <v>0</v>
      </c>
      <c r="AC20" s="646">
        <v>1006739</v>
      </c>
      <c r="AD20" s="646">
        <v>151727</v>
      </c>
      <c r="AE20" s="650">
        <v>47066</v>
      </c>
    </row>
    <row r="21" spans="2:31" ht="24.75" customHeight="1">
      <c r="B21" s="574" t="s">
        <v>1693</v>
      </c>
      <c r="C21" s="542">
        <v>45</v>
      </c>
      <c r="D21" s="654">
        <v>4126838</v>
      </c>
      <c r="E21" s="654">
        <v>92299273</v>
      </c>
      <c r="F21" s="654">
        <v>81762124</v>
      </c>
      <c r="G21" s="654">
        <v>52488812</v>
      </c>
      <c r="H21" s="654">
        <v>54</v>
      </c>
      <c r="I21" s="654">
        <v>84</v>
      </c>
      <c r="J21" s="654">
        <v>16695</v>
      </c>
      <c r="K21" s="654">
        <v>6963</v>
      </c>
      <c r="L21" s="654">
        <v>20158</v>
      </c>
      <c r="M21" s="974"/>
      <c r="N21" s="654">
        <v>570</v>
      </c>
      <c r="O21" s="654">
        <v>235263</v>
      </c>
      <c r="P21" s="654">
        <v>1957263</v>
      </c>
      <c r="Q21" s="654">
        <v>1315562</v>
      </c>
      <c r="R21" s="654">
        <v>4</v>
      </c>
      <c r="S21" s="991">
        <v>34691</v>
      </c>
      <c r="T21" s="991">
        <v>60310</v>
      </c>
      <c r="U21" s="654">
        <v>48096</v>
      </c>
      <c r="V21" s="654">
        <v>47094</v>
      </c>
      <c r="W21" s="974"/>
      <c r="X21" s="654">
        <v>4568</v>
      </c>
      <c r="Y21" s="654">
        <v>0</v>
      </c>
      <c r="Z21" s="654">
        <v>0</v>
      </c>
      <c r="AA21" s="991">
        <v>111225</v>
      </c>
      <c r="AB21" s="654">
        <v>1473</v>
      </c>
      <c r="AC21" s="654">
        <v>206226</v>
      </c>
      <c r="AD21" s="654">
        <v>6012043</v>
      </c>
      <c r="AE21" s="655">
        <v>4009003</v>
      </c>
    </row>
    <row r="22" spans="2:31">
      <c r="G22" s="2"/>
      <c r="H22" s="2"/>
      <c r="I22" s="2"/>
      <c r="J22" s="2"/>
      <c r="K22" s="2"/>
      <c r="L22" s="2"/>
      <c r="N22" s="2"/>
    </row>
    <row r="23" spans="2:31">
      <c r="G23" s="2"/>
      <c r="H23" s="51"/>
      <c r="I23" s="51"/>
      <c r="J23" s="51"/>
      <c r="K23" s="51"/>
      <c r="L23" s="51"/>
      <c r="M23" s="51"/>
      <c r="N23" s="2"/>
    </row>
    <row r="24" spans="2:31" ht="60">
      <c r="B24" s="199" t="s">
        <v>2451</v>
      </c>
      <c r="C24" s="565" t="s">
        <v>2453</v>
      </c>
      <c r="D24" s="552" t="s">
        <v>2452</v>
      </c>
      <c r="E24" s="552" t="s">
        <v>2454</v>
      </c>
      <c r="F24" s="552" t="s">
        <v>2455</v>
      </c>
      <c r="G24" s="552" t="s">
        <v>2456</v>
      </c>
      <c r="H24" s="552" t="s">
        <v>2457</v>
      </c>
      <c r="I24" s="552" t="s">
        <v>115</v>
      </c>
      <c r="J24" s="575" t="s">
        <v>2458</v>
      </c>
      <c r="K24" s="554" t="s">
        <v>2444</v>
      </c>
      <c r="L24" s="554" t="s">
        <v>50</v>
      </c>
      <c r="M24" s="553" t="s">
        <v>93</v>
      </c>
      <c r="N24" s="553" t="s">
        <v>92</v>
      </c>
      <c r="O24" s="553" t="s">
        <v>91</v>
      </c>
      <c r="P24" s="554" t="s">
        <v>48</v>
      </c>
      <c r="Q24" s="554" t="s">
        <v>49</v>
      </c>
      <c r="R24" s="554" t="s">
        <v>2360</v>
      </c>
      <c r="S24" s="988" t="s">
        <v>76</v>
      </c>
      <c r="T24" s="988" t="s">
        <v>77</v>
      </c>
      <c r="U24" s="555" t="s">
        <v>82</v>
      </c>
      <c r="V24" s="555" t="s">
        <v>109</v>
      </c>
      <c r="W24" s="555" t="s">
        <v>110</v>
      </c>
      <c r="X24" s="555" t="s">
        <v>81</v>
      </c>
      <c r="Y24" s="555" t="s">
        <v>33</v>
      </c>
      <c r="Z24" s="555" t="s">
        <v>34</v>
      </c>
      <c r="AA24" s="988" t="s">
        <v>32</v>
      </c>
      <c r="AB24" s="556" t="s">
        <v>86</v>
      </c>
      <c r="AC24" s="557" t="s">
        <v>2449</v>
      </c>
      <c r="AD24" s="548" t="s">
        <v>47</v>
      </c>
      <c r="AE24" s="981" t="s">
        <v>74</v>
      </c>
    </row>
    <row r="25" spans="2:31" ht="23.25" customHeight="1">
      <c r="B25" s="573" t="s">
        <v>1692</v>
      </c>
      <c r="C25" s="475">
        <v>45</v>
      </c>
      <c r="D25" s="656">
        <v>318246</v>
      </c>
      <c r="E25" s="656">
        <v>1653417</v>
      </c>
      <c r="F25" s="656">
        <v>712569</v>
      </c>
      <c r="G25" s="656">
        <v>686064</v>
      </c>
      <c r="H25" s="657">
        <v>25</v>
      </c>
      <c r="I25" s="656">
        <v>83</v>
      </c>
      <c r="J25" s="656">
        <v>53876</v>
      </c>
      <c r="K25" s="656">
        <v>14912</v>
      </c>
      <c r="L25" s="656">
        <v>49862</v>
      </c>
      <c r="M25" s="657"/>
      <c r="N25" s="656">
        <v>368</v>
      </c>
      <c r="O25" s="656">
        <v>83281</v>
      </c>
      <c r="P25" s="656">
        <v>307741</v>
      </c>
      <c r="Q25" s="656">
        <v>67613</v>
      </c>
      <c r="R25" s="657">
        <v>6</v>
      </c>
      <c r="S25" s="992">
        <v>9447</v>
      </c>
      <c r="T25" s="992">
        <v>266353</v>
      </c>
      <c r="U25" s="656">
        <v>1040</v>
      </c>
      <c r="V25" s="656">
        <v>167</v>
      </c>
      <c r="W25" s="657"/>
      <c r="X25" s="656">
        <v>25771</v>
      </c>
      <c r="Y25" s="656">
        <v>0</v>
      </c>
      <c r="Z25" s="656">
        <v>16373</v>
      </c>
      <c r="AA25" s="992">
        <v>10789</v>
      </c>
      <c r="AB25" s="656">
        <v>1002</v>
      </c>
      <c r="AC25" s="656">
        <v>132598</v>
      </c>
      <c r="AD25" s="656">
        <v>73351</v>
      </c>
      <c r="AE25" s="983">
        <v>24921</v>
      </c>
    </row>
    <row r="26" spans="2:31" ht="21" customHeight="1">
      <c r="B26" s="573" t="s">
        <v>1286</v>
      </c>
      <c r="C26" s="163">
        <v>19</v>
      </c>
      <c r="D26" s="513">
        <v>48755</v>
      </c>
      <c r="E26" s="513">
        <v>2840406</v>
      </c>
      <c r="F26" s="513">
        <v>2390777</v>
      </c>
      <c r="G26" s="513">
        <v>1673085</v>
      </c>
      <c r="H26" s="513">
        <v>39</v>
      </c>
      <c r="I26" s="513">
        <v>90</v>
      </c>
      <c r="J26" s="513">
        <v>13643</v>
      </c>
      <c r="K26" s="513">
        <v>13129</v>
      </c>
      <c r="L26" s="513">
        <v>14987</v>
      </c>
      <c r="M26" s="975"/>
      <c r="N26" s="513">
        <v>110</v>
      </c>
      <c r="O26" s="513">
        <v>48347</v>
      </c>
      <c r="P26" s="513">
        <v>466228</v>
      </c>
      <c r="Q26" s="513">
        <v>385190</v>
      </c>
      <c r="R26" s="513">
        <v>14</v>
      </c>
      <c r="S26" s="993">
        <v>18107</v>
      </c>
      <c r="T26" s="993">
        <v>40954</v>
      </c>
      <c r="U26" s="513">
        <v>152</v>
      </c>
      <c r="V26" s="513">
        <v>97</v>
      </c>
      <c r="W26" s="975"/>
      <c r="X26" s="513">
        <v>5133</v>
      </c>
      <c r="Y26" s="513">
        <v>0</v>
      </c>
      <c r="Z26" s="513">
        <v>4506</v>
      </c>
      <c r="AA26" s="993">
        <v>2715</v>
      </c>
      <c r="AB26" s="513">
        <v>320</v>
      </c>
      <c r="AC26" s="513">
        <v>18167</v>
      </c>
      <c r="AD26" s="513">
        <v>72114</v>
      </c>
      <c r="AE26" s="514">
        <v>47645</v>
      </c>
    </row>
    <row r="27" spans="2:31" ht="22.5" customHeight="1">
      <c r="B27" s="573" t="s">
        <v>1261</v>
      </c>
      <c r="C27" s="163">
        <v>15</v>
      </c>
      <c r="D27" s="513">
        <v>277802</v>
      </c>
      <c r="E27" s="513">
        <v>7214039</v>
      </c>
      <c r="F27" s="513">
        <v>12012912</v>
      </c>
      <c r="G27" s="513">
        <v>10851413</v>
      </c>
      <c r="H27" s="513">
        <v>44</v>
      </c>
      <c r="I27" s="513">
        <v>89</v>
      </c>
      <c r="J27" s="513">
        <v>73064</v>
      </c>
      <c r="K27" s="513">
        <v>72270</v>
      </c>
      <c r="L27" s="513">
        <v>71342</v>
      </c>
      <c r="M27" s="975"/>
      <c r="N27" s="513">
        <v>192</v>
      </c>
      <c r="O27" s="513">
        <v>140082</v>
      </c>
      <c r="P27" s="513">
        <v>425068</v>
      </c>
      <c r="Q27" s="513">
        <v>1755932</v>
      </c>
      <c r="R27" s="513">
        <v>11</v>
      </c>
      <c r="S27" s="993">
        <v>40245</v>
      </c>
      <c r="T27" s="993">
        <v>254515</v>
      </c>
      <c r="U27" s="513">
        <v>2565</v>
      </c>
      <c r="V27" s="513">
        <v>23708</v>
      </c>
      <c r="W27" s="975"/>
      <c r="X27" s="513">
        <v>15075</v>
      </c>
      <c r="Y27" s="513">
        <v>0</v>
      </c>
      <c r="Z27" s="513">
        <v>23</v>
      </c>
      <c r="AA27" s="993">
        <v>9673</v>
      </c>
      <c r="AB27" s="513">
        <v>247</v>
      </c>
      <c r="AC27" s="513">
        <v>69496</v>
      </c>
      <c r="AD27" s="513">
        <v>298610</v>
      </c>
      <c r="AE27" s="514">
        <v>2245879</v>
      </c>
    </row>
    <row r="28" spans="2:31" ht="19.5" customHeight="1">
      <c r="B28" s="573" t="s">
        <v>1260</v>
      </c>
      <c r="C28" s="163">
        <v>11</v>
      </c>
      <c r="D28" s="513">
        <v>55387</v>
      </c>
      <c r="E28" s="513">
        <v>398496</v>
      </c>
      <c r="F28" s="513">
        <v>306586</v>
      </c>
      <c r="G28" s="513">
        <v>258958</v>
      </c>
      <c r="H28" s="513">
        <v>45</v>
      </c>
      <c r="I28" s="513">
        <v>95</v>
      </c>
      <c r="J28" s="513">
        <v>4023</v>
      </c>
      <c r="K28" s="513">
        <v>2082</v>
      </c>
      <c r="L28" s="513">
        <v>7144</v>
      </c>
      <c r="M28" s="975"/>
      <c r="N28" s="513">
        <v>105</v>
      </c>
      <c r="O28" s="513">
        <v>7366</v>
      </c>
      <c r="P28" s="513">
        <v>29202</v>
      </c>
      <c r="Q28" s="513">
        <v>28436</v>
      </c>
      <c r="R28" s="513">
        <v>10</v>
      </c>
      <c r="S28" s="993">
        <v>1322</v>
      </c>
      <c r="T28" s="993">
        <v>75811</v>
      </c>
      <c r="U28" s="513">
        <v>573</v>
      </c>
      <c r="V28" s="513">
        <v>0</v>
      </c>
      <c r="W28" s="975"/>
      <c r="X28" s="513">
        <v>0</v>
      </c>
      <c r="Y28" s="513">
        <v>0</v>
      </c>
      <c r="Z28" s="513">
        <v>0</v>
      </c>
      <c r="AA28" s="993">
        <v>22</v>
      </c>
      <c r="AB28" s="513">
        <v>0</v>
      </c>
      <c r="AC28" s="513">
        <v>11063</v>
      </c>
      <c r="AD28" s="513">
        <v>7986</v>
      </c>
      <c r="AE28" s="514">
        <v>2615</v>
      </c>
    </row>
    <row r="29" spans="2:31" ht="21.75" customHeight="1">
      <c r="B29" s="574" t="s">
        <v>1693</v>
      </c>
      <c r="C29" s="166">
        <v>6</v>
      </c>
      <c r="D29" s="515">
        <v>100655</v>
      </c>
      <c r="E29" s="515">
        <v>2197602</v>
      </c>
      <c r="F29" s="515">
        <v>2044053</v>
      </c>
      <c r="G29" s="515">
        <v>1220670</v>
      </c>
      <c r="H29" s="515">
        <v>54</v>
      </c>
      <c r="I29" s="515">
        <v>84</v>
      </c>
      <c r="J29" s="515">
        <v>2783</v>
      </c>
      <c r="K29" s="515">
        <v>995</v>
      </c>
      <c r="L29" s="515">
        <v>2240</v>
      </c>
      <c r="M29" s="976"/>
      <c r="N29" s="515">
        <v>143</v>
      </c>
      <c r="O29" s="515">
        <v>23526</v>
      </c>
      <c r="P29" s="515">
        <v>177933</v>
      </c>
      <c r="Q29" s="515">
        <v>109603</v>
      </c>
      <c r="R29" s="515">
        <v>4</v>
      </c>
      <c r="S29" s="994">
        <v>2669</v>
      </c>
      <c r="T29" s="994">
        <v>8616</v>
      </c>
      <c r="U29" s="515">
        <v>2829</v>
      </c>
      <c r="V29" s="515">
        <v>6728</v>
      </c>
      <c r="W29" s="976"/>
      <c r="X29" s="515">
        <v>4568</v>
      </c>
      <c r="Y29" s="515">
        <v>0</v>
      </c>
      <c r="Z29" s="515">
        <v>0</v>
      </c>
      <c r="AA29" s="994">
        <v>55613</v>
      </c>
      <c r="AB29" s="515">
        <v>1473</v>
      </c>
      <c r="AC29" s="515">
        <v>4483</v>
      </c>
      <c r="AD29" s="515">
        <v>300602</v>
      </c>
      <c r="AE29" s="516">
        <v>222722</v>
      </c>
    </row>
  </sheetData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K98"/>
  <sheetViews>
    <sheetView workbookViewId="0">
      <pane ySplit="1" topLeftCell="A2" activePane="bottomLeft" state="frozen"/>
      <selection activeCell="P1" sqref="P1"/>
      <selection pane="bottomLeft" activeCell="I18" sqref="I18"/>
    </sheetView>
  </sheetViews>
  <sheetFormatPr defaultRowHeight="12.75"/>
  <cols>
    <col min="10" max="10" width="12" customWidth="1"/>
    <col min="11" max="11" width="12.28515625" customWidth="1"/>
    <col min="12" max="12" width="12.42578125" customWidth="1"/>
    <col min="13" max="13" width="11.28515625" customWidth="1"/>
  </cols>
  <sheetData>
    <row r="1" spans="1:66" s="495" customFormat="1" ht="60" customHeight="1">
      <c r="A1" s="497" t="s">
        <v>3</v>
      </c>
      <c r="B1" s="497" t="s">
        <v>46</v>
      </c>
      <c r="C1" s="498" t="s">
        <v>1038</v>
      </c>
      <c r="D1" s="493" t="s">
        <v>41</v>
      </c>
      <c r="E1" s="493"/>
      <c r="F1" s="492" t="s">
        <v>42</v>
      </c>
      <c r="G1" s="497" t="s">
        <v>1448</v>
      </c>
      <c r="H1" s="497" t="s">
        <v>2436</v>
      </c>
      <c r="I1" s="499" t="s">
        <v>2439</v>
      </c>
      <c r="J1" s="1050" t="s">
        <v>1505</v>
      </c>
      <c r="K1" s="1051"/>
      <c r="L1" s="1051"/>
      <c r="M1" s="1051"/>
      <c r="N1" s="1051"/>
      <c r="O1" s="1052"/>
      <c r="P1" s="1053" t="s">
        <v>2442</v>
      </c>
      <c r="Q1" s="1054"/>
      <c r="R1" s="1055"/>
      <c r="S1" s="1053" t="s">
        <v>2445</v>
      </c>
      <c r="T1" s="1054"/>
      <c r="U1" s="1056"/>
      <c r="V1" s="1057" t="s">
        <v>2434</v>
      </c>
      <c r="W1" s="1058"/>
      <c r="X1" s="1059"/>
      <c r="Y1" s="1060" t="s">
        <v>31</v>
      </c>
      <c r="Z1" s="1061"/>
      <c r="AA1" s="1061"/>
      <c r="AB1" s="1061"/>
      <c r="AC1" s="1061"/>
      <c r="AD1" s="1061"/>
      <c r="AE1" s="1061"/>
      <c r="AF1" s="1061"/>
      <c r="AG1" s="1061"/>
      <c r="AH1" s="1061"/>
      <c r="AI1" s="1062"/>
      <c r="AJ1" s="1065" t="s">
        <v>1557</v>
      </c>
      <c r="AK1" s="1063" t="s">
        <v>2435</v>
      </c>
      <c r="AL1" s="1064"/>
      <c r="AM1" s="1067"/>
      <c r="AN1" s="494"/>
      <c r="AO1" s="1044" t="s">
        <v>35</v>
      </c>
      <c r="AP1" s="1045"/>
      <c r="AQ1" s="1045"/>
      <c r="AR1" s="1045"/>
      <c r="AS1" s="1046"/>
      <c r="AT1" s="1047" t="s">
        <v>112</v>
      </c>
      <c r="AU1" s="1046"/>
      <c r="AV1" s="1048" t="s">
        <v>51</v>
      </c>
    </row>
    <row r="2" spans="1:66" s="496" customFormat="1" ht="48" customHeight="1">
      <c r="A2" s="244"/>
      <c r="B2" s="244"/>
      <c r="C2" s="245"/>
      <c r="D2" s="247" t="s">
        <v>108</v>
      </c>
      <c r="E2" s="247" t="s">
        <v>107</v>
      </c>
      <c r="F2" s="244"/>
      <c r="G2" s="244"/>
      <c r="H2" s="244"/>
      <c r="I2" s="251"/>
      <c r="J2" s="246" t="s">
        <v>13</v>
      </c>
      <c r="K2" s="246" t="s">
        <v>45</v>
      </c>
      <c r="L2" s="250" t="s">
        <v>111</v>
      </c>
      <c r="M2" s="246" t="s">
        <v>67</v>
      </c>
      <c r="N2" s="500" t="s">
        <v>2299</v>
      </c>
      <c r="O2" s="246" t="s">
        <v>115</v>
      </c>
      <c r="P2" s="478" t="s">
        <v>2443</v>
      </c>
      <c r="Q2" s="249" t="s">
        <v>2444</v>
      </c>
      <c r="R2" s="249" t="s">
        <v>50</v>
      </c>
      <c r="S2" s="248" t="s">
        <v>93</v>
      </c>
      <c r="T2" s="248" t="s">
        <v>92</v>
      </c>
      <c r="U2" s="248" t="s">
        <v>91</v>
      </c>
      <c r="V2" s="249" t="s">
        <v>48</v>
      </c>
      <c r="W2" s="249" t="s">
        <v>49</v>
      </c>
      <c r="X2" s="501" t="s">
        <v>2360</v>
      </c>
      <c r="Y2" s="471" t="s">
        <v>38</v>
      </c>
      <c r="Z2" s="471" t="s">
        <v>76</v>
      </c>
      <c r="AA2" s="471" t="s">
        <v>77</v>
      </c>
      <c r="AB2" s="471" t="s">
        <v>82</v>
      </c>
      <c r="AC2" s="471" t="s">
        <v>109</v>
      </c>
      <c r="AD2" s="471" t="s">
        <v>110</v>
      </c>
      <c r="AE2" s="471" t="s">
        <v>81</v>
      </c>
      <c r="AF2" s="471" t="s">
        <v>33</v>
      </c>
      <c r="AG2" s="471" t="s">
        <v>34</v>
      </c>
      <c r="AH2" s="471" t="s">
        <v>32</v>
      </c>
      <c r="AI2" s="472" t="s">
        <v>86</v>
      </c>
      <c r="AJ2" s="1066"/>
      <c r="AK2" s="477" t="s">
        <v>47</v>
      </c>
      <c r="AL2" s="477" t="s">
        <v>74</v>
      </c>
      <c r="AM2" s="512" t="s">
        <v>2446</v>
      </c>
      <c r="AN2" s="479" t="s">
        <v>0</v>
      </c>
      <c r="AO2" s="480" t="s">
        <v>57</v>
      </c>
      <c r="AP2" s="480" t="s">
        <v>39</v>
      </c>
      <c r="AQ2" s="480" t="s">
        <v>40</v>
      </c>
      <c r="AR2" s="480" t="s">
        <v>37</v>
      </c>
      <c r="AS2" s="480" t="s">
        <v>36</v>
      </c>
      <c r="AT2" s="480" t="s">
        <v>113</v>
      </c>
      <c r="AU2" s="479" t="s">
        <v>114</v>
      </c>
      <c r="AV2" s="1049"/>
    </row>
    <row r="3" spans="1:66" s="358" customFormat="1" ht="18.75" customHeight="1">
      <c r="A3" s="260">
        <v>529</v>
      </c>
      <c r="B3" s="304" t="s">
        <v>332</v>
      </c>
      <c r="C3" s="304" t="s">
        <v>1299</v>
      </c>
      <c r="D3" s="317">
        <v>38838</v>
      </c>
      <c r="E3" s="317">
        <v>39417</v>
      </c>
      <c r="F3" s="304" t="s">
        <v>168</v>
      </c>
      <c r="G3" s="252" t="s">
        <v>1449</v>
      </c>
      <c r="H3" s="304" t="s">
        <v>766</v>
      </c>
      <c r="I3" s="278" t="s">
        <v>2438</v>
      </c>
      <c r="J3" s="318">
        <v>247000</v>
      </c>
      <c r="K3" s="318">
        <v>2305164</v>
      </c>
      <c r="L3" s="318">
        <v>763557</v>
      </c>
      <c r="M3" s="318">
        <v>763557</v>
      </c>
      <c r="N3" s="256">
        <v>3.0913238866396759</v>
      </c>
      <c r="O3" s="318">
        <v>33</v>
      </c>
      <c r="P3" s="318">
        <v>102500</v>
      </c>
      <c r="Q3" s="330" t="s">
        <v>206</v>
      </c>
      <c r="R3" s="318">
        <v>102500</v>
      </c>
      <c r="S3" s="318" t="s">
        <v>94</v>
      </c>
      <c r="T3" s="330" t="s">
        <v>339</v>
      </c>
      <c r="U3" s="318">
        <v>247000</v>
      </c>
      <c r="V3" s="318">
        <v>521095</v>
      </c>
      <c r="W3" s="318">
        <v>60462</v>
      </c>
      <c r="X3" s="349">
        <v>0.58987317073170731</v>
      </c>
      <c r="Y3" s="318">
        <v>247000</v>
      </c>
      <c r="Z3" s="318" t="s">
        <v>75</v>
      </c>
      <c r="AA3" s="318">
        <v>247000</v>
      </c>
      <c r="AB3" s="318">
        <v>700</v>
      </c>
      <c r="AC3" s="318" t="s">
        <v>75</v>
      </c>
      <c r="AD3" s="318" t="s">
        <v>75</v>
      </c>
      <c r="AE3" s="318" t="s">
        <v>75</v>
      </c>
      <c r="AF3" s="318" t="s">
        <v>75</v>
      </c>
      <c r="AG3" s="318" t="s">
        <v>75</v>
      </c>
      <c r="AH3" s="318" t="s">
        <v>75</v>
      </c>
      <c r="AI3" s="318" t="s">
        <v>75</v>
      </c>
      <c r="AJ3" s="259">
        <v>247000</v>
      </c>
      <c r="AK3" s="318">
        <v>131596</v>
      </c>
      <c r="AL3" s="318">
        <v>36653</v>
      </c>
      <c r="AM3" s="318">
        <f>AL3/AJ3</f>
        <v>0.14839271255060729</v>
      </c>
      <c r="AN3" s="319"/>
      <c r="AO3" s="319" t="s">
        <v>75</v>
      </c>
      <c r="AP3" s="319" t="s">
        <v>75</v>
      </c>
      <c r="AQ3" s="319" t="s">
        <v>75</v>
      </c>
      <c r="AR3" s="319" t="s">
        <v>75</v>
      </c>
      <c r="AS3" s="319" t="s">
        <v>75</v>
      </c>
      <c r="AT3" s="319" t="s">
        <v>75</v>
      </c>
      <c r="AU3" s="319" t="s">
        <v>75</v>
      </c>
      <c r="AV3" s="356" t="s">
        <v>765</v>
      </c>
      <c r="AW3" s="357"/>
      <c r="AX3" s="357"/>
      <c r="AY3" s="357"/>
      <c r="AZ3" s="357"/>
      <c r="BA3" s="357"/>
      <c r="BB3" s="357"/>
      <c r="BC3" s="357"/>
      <c r="BD3" s="357"/>
      <c r="BE3" s="357"/>
      <c r="BF3" s="357"/>
      <c r="BG3" s="357"/>
      <c r="BH3" s="357"/>
      <c r="BI3" s="357"/>
      <c r="BJ3" s="357"/>
      <c r="BK3" s="357"/>
      <c r="BL3" s="357"/>
      <c r="BM3" s="357"/>
      <c r="BN3" s="357"/>
    </row>
    <row r="4" spans="1:66" s="358" customFormat="1" ht="13.5" customHeight="1">
      <c r="A4" s="260">
        <v>530</v>
      </c>
      <c r="B4" s="372" t="s">
        <v>1213</v>
      </c>
      <c r="C4" s="261" t="s">
        <v>1286</v>
      </c>
      <c r="D4" s="485">
        <v>38808</v>
      </c>
      <c r="E4" s="262">
        <v>38930</v>
      </c>
      <c r="F4" s="278" t="s">
        <v>5</v>
      </c>
      <c r="G4" s="252" t="s">
        <v>1451</v>
      </c>
      <c r="H4" s="278" t="s">
        <v>555</v>
      </c>
      <c r="I4" s="254" t="s">
        <v>2331</v>
      </c>
      <c r="J4" s="263">
        <v>13670</v>
      </c>
      <c r="K4" s="263">
        <v>100000</v>
      </c>
      <c r="L4" s="263">
        <v>100000</v>
      </c>
      <c r="M4" s="263">
        <v>98390</v>
      </c>
      <c r="N4" s="256">
        <v>7.1975128017556695</v>
      </c>
      <c r="O4" s="263">
        <v>100</v>
      </c>
      <c r="P4" s="263"/>
      <c r="Q4" s="263" t="s">
        <v>75</v>
      </c>
      <c r="R4" s="263" t="s">
        <v>75</v>
      </c>
      <c r="S4" s="263" t="s">
        <v>233</v>
      </c>
      <c r="T4" s="263">
        <v>35</v>
      </c>
      <c r="U4" s="263">
        <v>4800</v>
      </c>
      <c r="V4" s="263" t="s">
        <v>66</v>
      </c>
      <c r="W4" s="263" t="s">
        <v>66</v>
      </c>
      <c r="X4" s="263"/>
      <c r="Y4" s="263"/>
      <c r="Z4" s="263">
        <v>997</v>
      </c>
      <c r="AA4" s="263">
        <v>997</v>
      </c>
      <c r="AB4" s="263">
        <v>95</v>
      </c>
      <c r="AC4" s="263" t="s">
        <v>75</v>
      </c>
      <c r="AD4" s="263" t="s">
        <v>75</v>
      </c>
      <c r="AE4" s="263" t="s">
        <v>75</v>
      </c>
      <c r="AF4" s="263" t="s">
        <v>75</v>
      </c>
      <c r="AG4" s="263" t="s">
        <v>75</v>
      </c>
      <c r="AH4" s="263" t="s">
        <v>75</v>
      </c>
      <c r="AI4" s="263" t="s">
        <v>75</v>
      </c>
      <c r="AJ4" s="259">
        <v>1994</v>
      </c>
      <c r="AK4" s="263" t="s">
        <v>66</v>
      </c>
      <c r="AL4" s="263" t="s">
        <v>66</v>
      </c>
      <c r="AM4" s="263"/>
      <c r="AN4" s="261"/>
      <c r="AO4" s="261"/>
      <c r="AP4" s="261"/>
      <c r="AQ4" s="261"/>
      <c r="AR4" s="261"/>
      <c r="AS4" s="261"/>
      <c r="AT4" s="261" t="s">
        <v>75</v>
      </c>
      <c r="AU4" s="261" t="s">
        <v>75</v>
      </c>
      <c r="AV4" s="261" t="s">
        <v>553</v>
      </c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</row>
    <row r="5" spans="1:66" s="358" customFormat="1" ht="17.25" customHeight="1">
      <c r="A5" s="260">
        <v>531</v>
      </c>
      <c r="B5" s="400" t="s">
        <v>356</v>
      </c>
      <c r="C5" s="362" t="s">
        <v>1260</v>
      </c>
      <c r="D5" s="485">
        <v>38749</v>
      </c>
      <c r="E5" s="485">
        <v>38777</v>
      </c>
      <c r="F5" s="401" t="s">
        <v>357</v>
      </c>
      <c r="G5" s="252" t="s">
        <v>1453</v>
      </c>
      <c r="H5" s="278" t="s">
        <v>384</v>
      </c>
      <c r="I5" s="254" t="s">
        <v>2331</v>
      </c>
      <c r="J5" s="263">
        <v>26827</v>
      </c>
      <c r="K5" s="402">
        <v>200000</v>
      </c>
      <c r="L5" s="402">
        <v>200000</v>
      </c>
      <c r="M5" s="402">
        <v>200140</v>
      </c>
      <c r="N5" s="256">
        <v>7.4603943787974805</v>
      </c>
      <c r="O5" s="402">
        <v>100</v>
      </c>
      <c r="P5" s="402" t="s">
        <v>75</v>
      </c>
      <c r="Q5" s="402" t="s">
        <v>75</v>
      </c>
      <c r="R5" s="402" t="s">
        <v>75</v>
      </c>
      <c r="S5" s="402" t="s">
        <v>233</v>
      </c>
      <c r="T5" s="402" t="s">
        <v>75</v>
      </c>
      <c r="U5" s="402" t="s">
        <v>75</v>
      </c>
      <c r="V5" s="263" t="s">
        <v>66</v>
      </c>
      <c r="W5" s="402" t="s">
        <v>66</v>
      </c>
      <c r="X5" s="263"/>
      <c r="Y5" s="402" t="s">
        <v>75</v>
      </c>
      <c r="Z5" s="402" t="s">
        <v>75</v>
      </c>
      <c r="AA5" s="402" t="s">
        <v>75</v>
      </c>
      <c r="AB5" s="402" t="s">
        <v>75</v>
      </c>
      <c r="AC5" s="402" t="s">
        <v>75</v>
      </c>
      <c r="AD5" s="402" t="s">
        <v>75</v>
      </c>
      <c r="AE5" s="402" t="s">
        <v>75</v>
      </c>
      <c r="AF5" s="402" t="s">
        <v>75</v>
      </c>
      <c r="AG5" s="402" t="s">
        <v>75</v>
      </c>
      <c r="AH5" s="402" t="s">
        <v>75</v>
      </c>
      <c r="AI5" s="402" t="s">
        <v>75</v>
      </c>
      <c r="AJ5" s="259">
        <v>0</v>
      </c>
      <c r="AK5" s="263">
        <v>365</v>
      </c>
      <c r="AL5" s="402">
        <v>330</v>
      </c>
      <c r="AM5" s="318"/>
      <c r="AN5" s="362"/>
      <c r="AO5" s="362" t="s">
        <v>75</v>
      </c>
      <c r="AP5" s="362" t="s">
        <v>75</v>
      </c>
      <c r="AQ5" s="362" t="s">
        <v>75</v>
      </c>
      <c r="AR5" s="362" t="s">
        <v>75</v>
      </c>
      <c r="AS5" s="362" t="s">
        <v>75</v>
      </c>
      <c r="AT5" s="362" t="s">
        <v>75</v>
      </c>
      <c r="AU5" s="362" t="s">
        <v>75</v>
      </c>
      <c r="AV5" s="403" t="s">
        <v>383</v>
      </c>
      <c r="AW5" s="362"/>
      <c r="AX5" s="362"/>
      <c r="AY5" s="362"/>
      <c r="AZ5" s="362"/>
      <c r="BA5" s="362"/>
      <c r="BB5" s="362"/>
      <c r="BC5" s="362"/>
      <c r="BD5" s="362"/>
      <c r="BE5" s="362"/>
      <c r="BF5" s="362"/>
      <c r="BG5" s="362"/>
      <c r="BH5" s="362"/>
      <c r="BI5" s="362"/>
      <c r="BJ5" s="362"/>
      <c r="BK5" s="362"/>
      <c r="BL5" s="362"/>
      <c r="BM5" s="362"/>
      <c r="BN5" s="261"/>
    </row>
    <row r="6" spans="1:66" s="358" customFormat="1" ht="15" customHeight="1">
      <c r="A6" s="260">
        <v>532</v>
      </c>
      <c r="B6" s="278" t="s">
        <v>547</v>
      </c>
      <c r="C6" s="261" t="s">
        <v>1286</v>
      </c>
      <c r="D6" s="485">
        <v>38749</v>
      </c>
      <c r="E6" s="262">
        <v>38838</v>
      </c>
      <c r="F6" s="278" t="s">
        <v>5</v>
      </c>
      <c r="G6" s="252" t="s">
        <v>1451</v>
      </c>
      <c r="H6" s="278" t="s">
        <v>548</v>
      </c>
      <c r="I6" s="254" t="s">
        <v>2331</v>
      </c>
      <c r="J6" s="263">
        <v>9500</v>
      </c>
      <c r="K6" s="263">
        <v>106832</v>
      </c>
      <c r="L6" s="263">
        <v>106832</v>
      </c>
      <c r="M6" s="263">
        <v>106832</v>
      </c>
      <c r="N6" s="256">
        <v>11.245473684210527</v>
      </c>
      <c r="O6" s="263">
        <v>100</v>
      </c>
      <c r="P6" s="263" t="s">
        <v>75</v>
      </c>
      <c r="Q6" s="263" t="s">
        <v>75</v>
      </c>
      <c r="R6" s="263" t="s">
        <v>75</v>
      </c>
      <c r="S6" s="263" t="s">
        <v>233</v>
      </c>
      <c r="T6" s="263" t="s">
        <v>75</v>
      </c>
      <c r="U6" s="263" t="s">
        <v>75</v>
      </c>
      <c r="V6" s="263">
        <v>741</v>
      </c>
      <c r="W6" s="263">
        <v>741</v>
      </c>
      <c r="X6" s="263"/>
      <c r="Y6" s="263" t="s">
        <v>75</v>
      </c>
      <c r="Z6" s="263" t="s">
        <v>75</v>
      </c>
      <c r="AA6" s="263" t="s">
        <v>75</v>
      </c>
      <c r="AB6" s="263" t="s">
        <v>75</v>
      </c>
      <c r="AC6" s="263" t="s">
        <v>75</v>
      </c>
      <c r="AD6" s="263" t="s">
        <v>75</v>
      </c>
      <c r="AE6" s="263" t="s">
        <v>75</v>
      </c>
      <c r="AF6" s="263" t="s">
        <v>75</v>
      </c>
      <c r="AG6" s="263" t="s">
        <v>75</v>
      </c>
      <c r="AH6" s="263" t="s">
        <v>75</v>
      </c>
      <c r="AI6" s="263" t="s">
        <v>75</v>
      </c>
      <c r="AJ6" s="259">
        <v>0</v>
      </c>
      <c r="AK6" s="263" t="s">
        <v>66</v>
      </c>
      <c r="AL6" s="263" t="s">
        <v>66</v>
      </c>
      <c r="AM6" s="263"/>
      <c r="AN6" s="261"/>
      <c r="AO6" s="261"/>
      <c r="AP6" s="261"/>
      <c r="AQ6" s="261"/>
      <c r="AR6" s="261"/>
      <c r="AS6" s="261"/>
      <c r="AT6" s="261" t="s">
        <v>2</v>
      </c>
      <c r="AU6" s="261" t="s">
        <v>2</v>
      </c>
      <c r="AV6" s="261" t="s">
        <v>549</v>
      </c>
      <c r="AW6" s="261"/>
      <c r="AX6" s="261"/>
      <c r="AY6" s="261"/>
      <c r="AZ6" s="261"/>
      <c r="BA6" s="261"/>
      <c r="BB6" s="261"/>
      <c r="BC6" s="261"/>
      <c r="BD6" s="261"/>
      <c r="BE6" s="261"/>
      <c r="BF6" s="261"/>
      <c r="BG6" s="261"/>
      <c r="BH6" s="261"/>
      <c r="BI6" s="261"/>
      <c r="BJ6" s="261"/>
      <c r="BK6" s="261"/>
      <c r="BL6" s="261"/>
      <c r="BM6" s="261"/>
      <c r="BN6" s="261"/>
    </row>
    <row r="7" spans="1:66" s="358" customFormat="1" ht="17.25" customHeight="1">
      <c r="A7" s="260">
        <v>533</v>
      </c>
      <c r="B7" s="278" t="s">
        <v>119</v>
      </c>
      <c r="C7" s="261" t="s">
        <v>1299</v>
      </c>
      <c r="D7" s="262">
        <v>38930</v>
      </c>
      <c r="E7" s="262">
        <v>39234</v>
      </c>
      <c r="F7" s="304" t="s">
        <v>5</v>
      </c>
      <c r="G7" s="273" t="s">
        <v>1451</v>
      </c>
      <c r="H7" s="278" t="s">
        <v>651</v>
      </c>
      <c r="I7" s="254" t="s">
        <v>2331</v>
      </c>
      <c r="J7" s="263">
        <v>6000</v>
      </c>
      <c r="K7" s="263">
        <v>59111</v>
      </c>
      <c r="L7" s="263">
        <v>56166</v>
      </c>
      <c r="M7" s="263">
        <v>56166</v>
      </c>
      <c r="N7" s="256">
        <v>9.3610000000000007</v>
      </c>
      <c r="O7" s="263">
        <v>95</v>
      </c>
      <c r="P7" s="263">
        <v>1000</v>
      </c>
      <c r="Q7" s="263"/>
      <c r="R7" s="263">
        <v>1000</v>
      </c>
      <c r="S7" s="263" t="s">
        <v>95</v>
      </c>
      <c r="T7" s="263">
        <v>100</v>
      </c>
      <c r="U7" s="263">
        <v>22100</v>
      </c>
      <c r="V7" s="263">
        <v>4950</v>
      </c>
      <c r="W7" s="263">
        <v>3600</v>
      </c>
      <c r="X7" s="349">
        <v>3.6</v>
      </c>
      <c r="Y7" s="263" t="s">
        <v>75</v>
      </c>
      <c r="Z7" s="263" t="s">
        <v>75</v>
      </c>
      <c r="AA7" s="263" t="s">
        <v>75</v>
      </c>
      <c r="AB7" s="263" t="s">
        <v>75</v>
      </c>
      <c r="AC7" s="263" t="s">
        <v>75</v>
      </c>
      <c r="AD7" s="263" t="s">
        <v>75</v>
      </c>
      <c r="AE7" s="263">
        <v>1300</v>
      </c>
      <c r="AF7" s="263" t="s">
        <v>75</v>
      </c>
      <c r="AG7" s="263" t="s">
        <v>75</v>
      </c>
      <c r="AH7" s="263" t="s">
        <v>75</v>
      </c>
      <c r="AI7" s="263" t="s">
        <v>75</v>
      </c>
      <c r="AJ7" s="254">
        <v>0</v>
      </c>
      <c r="AK7" s="263">
        <v>11308</v>
      </c>
      <c r="AL7" s="263">
        <v>10742.6</v>
      </c>
      <c r="AM7" s="318"/>
      <c r="AN7" s="264"/>
      <c r="AO7" s="264" t="s">
        <v>75</v>
      </c>
      <c r="AP7" s="264" t="s">
        <v>75</v>
      </c>
      <c r="AQ7" s="264" t="s">
        <v>75</v>
      </c>
      <c r="AR7" s="264" t="s">
        <v>75</v>
      </c>
      <c r="AS7" s="264" t="s">
        <v>75</v>
      </c>
      <c r="AT7" s="264" t="s">
        <v>75</v>
      </c>
      <c r="AU7" s="264" t="s">
        <v>75</v>
      </c>
      <c r="AV7" s="293" t="s">
        <v>650</v>
      </c>
    </row>
    <row r="8" spans="1:66" s="358" customFormat="1" ht="21" customHeight="1">
      <c r="A8" s="260">
        <v>534</v>
      </c>
      <c r="B8" s="377" t="s">
        <v>119</v>
      </c>
      <c r="C8" s="377" t="s">
        <v>1299</v>
      </c>
      <c r="D8" s="325">
        <v>38777</v>
      </c>
      <c r="E8" s="317">
        <v>38838</v>
      </c>
      <c r="F8" s="304" t="s">
        <v>226</v>
      </c>
      <c r="G8" s="252" t="s">
        <v>1449</v>
      </c>
      <c r="H8" s="304" t="s">
        <v>306</v>
      </c>
      <c r="I8" s="254" t="s">
        <v>2331</v>
      </c>
      <c r="J8" s="318">
        <v>862923</v>
      </c>
      <c r="K8" s="327">
        <v>0</v>
      </c>
      <c r="L8" s="327">
        <v>30000</v>
      </c>
      <c r="M8" s="318">
        <v>30000</v>
      </c>
      <c r="N8" s="256">
        <v>3.4765558456548266E-2</v>
      </c>
      <c r="O8" s="327" t="s">
        <v>66</v>
      </c>
      <c r="P8" s="318" t="s">
        <v>75</v>
      </c>
      <c r="Q8" s="318" t="s">
        <v>75</v>
      </c>
      <c r="R8" s="318" t="s">
        <v>75</v>
      </c>
      <c r="S8" s="318" t="s">
        <v>75</v>
      </c>
      <c r="T8" s="318" t="s">
        <v>75</v>
      </c>
      <c r="U8" s="318" t="s">
        <v>75</v>
      </c>
      <c r="V8" s="318" t="s">
        <v>66</v>
      </c>
      <c r="W8" s="318" t="s">
        <v>66</v>
      </c>
      <c r="X8" s="318"/>
      <c r="Y8" s="330" t="s">
        <v>206</v>
      </c>
      <c r="Z8" s="318" t="s">
        <v>75</v>
      </c>
      <c r="AA8" s="318">
        <v>862923</v>
      </c>
      <c r="AB8" s="327">
        <v>2080</v>
      </c>
      <c r="AC8" s="318" t="s">
        <v>134</v>
      </c>
      <c r="AD8" s="318" t="s">
        <v>75</v>
      </c>
      <c r="AE8" s="318" t="s">
        <v>75</v>
      </c>
      <c r="AF8" s="318" t="s">
        <v>75</v>
      </c>
      <c r="AG8" s="318" t="s">
        <v>75</v>
      </c>
      <c r="AH8" s="318" t="s">
        <v>75</v>
      </c>
      <c r="AI8" s="318" t="s">
        <v>75</v>
      </c>
      <c r="AJ8" s="259">
        <v>862923</v>
      </c>
      <c r="AK8" s="318" t="s">
        <v>66</v>
      </c>
      <c r="AL8" s="318" t="s">
        <v>66</v>
      </c>
      <c r="AM8" s="318"/>
      <c r="AN8" s="388"/>
      <c r="AO8" s="342" t="s">
        <v>75</v>
      </c>
      <c r="AP8" s="342" t="s">
        <v>75</v>
      </c>
      <c r="AQ8" s="342" t="s">
        <v>75</v>
      </c>
      <c r="AR8" s="342" t="s">
        <v>75</v>
      </c>
      <c r="AS8" s="342" t="s">
        <v>75</v>
      </c>
      <c r="AT8" s="342" t="s">
        <v>75</v>
      </c>
      <c r="AU8" s="342" t="s">
        <v>75</v>
      </c>
      <c r="AV8" s="404" t="s">
        <v>305</v>
      </c>
      <c r="AW8" s="388"/>
      <c r="AX8" s="388"/>
      <c r="AY8" s="388"/>
      <c r="AZ8" s="388"/>
      <c r="BA8" s="388"/>
      <c r="BB8" s="388"/>
      <c r="BC8" s="388"/>
      <c r="BD8" s="388"/>
      <c r="BE8" s="388"/>
      <c r="BF8" s="388"/>
      <c r="BG8" s="388"/>
      <c r="BH8" s="388"/>
      <c r="BI8" s="388"/>
      <c r="BJ8" s="388"/>
      <c r="BK8" s="388"/>
      <c r="BL8" s="388"/>
      <c r="BM8" s="388"/>
      <c r="BN8" s="342"/>
    </row>
    <row r="9" spans="1:66" s="358" customFormat="1" ht="17.25" customHeight="1">
      <c r="A9" s="260">
        <v>535</v>
      </c>
      <c r="B9" s="304" t="s">
        <v>515</v>
      </c>
      <c r="C9" s="304" t="s">
        <v>1299</v>
      </c>
      <c r="D9" s="262">
        <v>38718</v>
      </c>
      <c r="E9" s="262">
        <v>39995</v>
      </c>
      <c r="F9" s="304" t="s">
        <v>823</v>
      </c>
      <c r="G9" s="273" t="s">
        <v>1452</v>
      </c>
      <c r="H9" s="278" t="s">
        <v>822</v>
      </c>
      <c r="I9" s="278" t="s">
        <v>2438</v>
      </c>
      <c r="J9" s="263">
        <v>15000</v>
      </c>
      <c r="K9" s="263">
        <v>1580239</v>
      </c>
      <c r="L9" s="263">
        <v>753891</v>
      </c>
      <c r="M9" s="263">
        <v>753891</v>
      </c>
      <c r="N9" s="256">
        <v>50.259399999999999</v>
      </c>
      <c r="O9" s="263">
        <v>48</v>
      </c>
      <c r="P9" s="263">
        <v>9000</v>
      </c>
      <c r="Q9" s="263"/>
      <c r="R9" s="263">
        <v>9000</v>
      </c>
      <c r="S9" s="263" t="s">
        <v>2</v>
      </c>
      <c r="T9" s="263">
        <v>30</v>
      </c>
      <c r="U9" s="263">
        <v>9000</v>
      </c>
      <c r="V9" s="263">
        <v>33851</v>
      </c>
      <c r="W9" s="263">
        <v>6005</v>
      </c>
      <c r="X9" s="349">
        <v>0.66722222222222227</v>
      </c>
      <c r="Y9" s="263">
        <v>2000</v>
      </c>
      <c r="Z9" s="318" t="s">
        <v>75</v>
      </c>
      <c r="AA9" s="263">
        <v>2000</v>
      </c>
      <c r="AB9" s="263" t="s">
        <v>75</v>
      </c>
      <c r="AC9" s="263" t="s">
        <v>2</v>
      </c>
      <c r="AD9" s="318" t="s">
        <v>75</v>
      </c>
      <c r="AE9" s="263">
        <v>2000</v>
      </c>
      <c r="AF9" s="318" t="s">
        <v>75</v>
      </c>
      <c r="AG9" s="318" t="s">
        <v>75</v>
      </c>
      <c r="AH9" s="318" t="s">
        <v>75</v>
      </c>
      <c r="AI9" s="318" t="s">
        <v>75</v>
      </c>
      <c r="AJ9" s="254">
        <v>2000</v>
      </c>
      <c r="AK9" s="263">
        <v>4913</v>
      </c>
      <c r="AL9" s="263">
        <v>2430</v>
      </c>
      <c r="AM9" s="318">
        <f t="shared" ref="AM9:AM10" si="0">AL9/AJ9</f>
        <v>1.2150000000000001</v>
      </c>
      <c r="AN9" s="264"/>
      <c r="AO9" s="319" t="s">
        <v>75</v>
      </c>
      <c r="AP9" s="319" t="s">
        <v>75</v>
      </c>
      <c r="AQ9" s="319" t="s">
        <v>75</v>
      </c>
      <c r="AR9" s="319" t="s">
        <v>75</v>
      </c>
      <c r="AS9" s="319" t="s">
        <v>75</v>
      </c>
      <c r="AT9" s="319" t="s">
        <v>75</v>
      </c>
      <c r="AU9" s="319" t="s">
        <v>75</v>
      </c>
      <c r="AV9" s="293" t="s">
        <v>821</v>
      </c>
      <c r="AW9" s="357"/>
      <c r="AX9" s="357"/>
      <c r="AY9" s="357"/>
      <c r="AZ9" s="357"/>
      <c r="BA9" s="357"/>
      <c r="BB9" s="357"/>
      <c r="BC9" s="357"/>
      <c r="BD9" s="357"/>
      <c r="BE9" s="357"/>
      <c r="BF9" s="357"/>
      <c r="BG9" s="357"/>
      <c r="BH9" s="357"/>
      <c r="BI9" s="357"/>
      <c r="BJ9" s="357"/>
      <c r="BK9" s="357"/>
      <c r="BL9" s="357"/>
      <c r="BM9" s="357"/>
      <c r="BN9" s="357"/>
    </row>
    <row r="10" spans="1:66" s="358" customFormat="1" ht="18" customHeight="1">
      <c r="A10" s="260">
        <v>536</v>
      </c>
      <c r="B10" s="384" t="s">
        <v>515</v>
      </c>
      <c r="C10" s="405" t="s">
        <v>1299</v>
      </c>
      <c r="D10" s="338">
        <v>38718</v>
      </c>
      <c r="E10" s="338">
        <v>39083</v>
      </c>
      <c r="F10" s="384" t="s">
        <v>2023</v>
      </c>
      <c r="G10" s="254" t="s">
        <v>1451</v>
      </c>
      <c r="H10" s="405" t="s">
        <v>2024</v>
      </c>
      <c r="I10" s="254" t="s">
        <v>2331</v>
      </c>
      <c r="J10" s="334">
        <v>2100</v>
      </c>
      <c r="K10" s="334">
        <v>122000</v>
      </c>
      <c r="L10" s="334">
        <v>115550</v>
      </c>
      <c r="M10" s="334">
        <v>115550</v>
      </c>
      <c r="N10" s="256">
        <v>55.023809523809526</v>
      </c>
      <c r="O10" s="334">
        <v>95</v>
      </c>
      <c r="P10" s="334">
        <v>4220</v>
      </c>
      <c r="Q10" s="261"/>
      <c r="R10" s="334">
        <v>4220</v>
      </c>
      <c r="S10" s="405"/>
      <c r="T10" s="405"/>
      <c r="U10" s="405"/>
      <c r="V10" s="334"/>
      <c r="W10" s="334">
        <v>7455</v>
      </c>
      <c r="X10" s="349">
        <v>1.7665876777251184</v>
      </c>
      <c r="Y10" s="334"/>
      <c r="Z10" s="334"/>
      <c r="AA10" s="334">
        <v>4500</v>
      </c>
      <c r="AB10" s="334"/>
      <c r="AC10" s="334"/>
      <c r="AD10" s="334"/>
      <c r="AE10" s="334">
        <v>2100</v>
      </c>
      <c r="AF10" s="334"/>
      <c r="AG10" s="334"/>
      <c r="AH10" s="334"/>
      <c r="AI10" s="334"/>
      <c r="AJ10" s="254">
        <v>4500</v>
      </c>
      <c r="AK10" s="334"/>
      <c r="AL10" s="334">
        <v>1092</v>
      </c>
      <c r="AM10" s="318">
        <f t="shared" si="0"/>
        <v>0.24266666666666667</v>
      </c>
      <c r="AN10" s="405"/>
      <c r="AO10" s="405"/>
      <c r="AP10" s="405"/>
      <c r="AQ10" s="405"/>
      <c r="AR10" s="405"/>
      <c r="AS10" s="405"/>
      <c r="AT10" s="405"/>
      <c r="AU10" s="405"/>
      <c r="AV10" s="406" t="s">
        <v>2025</v>
      </c>
      <c r="AW10" s="405"/>
      <c r="AX10" s="405"/>
      <c r="AY10" s="405"/>
      <c r="AZ10" s="405"/>
      <c r="BA10" s="405"/>
      <c r="BB10" s="405"/>
      <c r="BC10" s="405"/>
      <c r="BD10" s="405"/>
      <c r="BE10" s="405"/>
      <c r="BF10" s="405"/>
      <c r="BG10" s="405"/>
      <c r="BH10" s="405"/>
      <c r="BI10" s="405"/>
      <c r="BJ10" s="405"/>
      <c r="BK10" s="405"/>
      <c r="BL10" s="405"/>
      <c r="BM10" s="405"/>
      <c r="BN10" s="405"/>
    </row>
    <row r="11" spans="1:66" s="358" customFormat="1" ht="15.75" customHeight="1">
      <c r="A11" s="260">
        <v>537</v>
      </c>
      <c r="B11" s="304" t="s">
        <v>244</v>
      </c>
      <c r="C11" s="377" t="s">
        <v>1299</v>
      </c>
      <c r="D11" s="325">
        <v>38838</v>
      </c>
      <c r="E11" s="325">
        <v>38899</v>
      </c>
      <c r="F11" s="304" t="s">
        <v>245</v>
      </c>
      <c r="G11" s="252" t="s">
        <v>1449</v>
      </c>
      <c r="H11" s="304" t="s">
        <v>293</v>
      </c>
      <c r="I11" s="254" t="s">
        <v>2331</v>
      </c>
      <c r="J11" s="318">
        <v>2750</v>
      </c>
      <c r="K11" s="318">
        <v>36878</v>
      </c>
      <c r="L11" s="318">
        <v>37999</v>
      </c>
      <c r="M11" s="318">
        <v>37999</v>
      </c>
      <c r="N11" s="256">
        <v>13.817818181818183</v>
      </c>
      <c r="O11" s="318">
        <v>100</v>
      </c>
      <c r="P11" s="318">
        <v>2750</v>
      </c>
      <c r="Q11" s="330" t="s">
        <v>206</v>
      </c>
      <c r="R11" s="318">
        <v>2750</v>
      </c>
      <c r="S11" s="318" t="s">
        <v>233</v>
      </c>
      <c r="T11" s="330" t="s">
        <v>134</v>
      </c>
      <c r="U11" s="318" t="s">
        <v>134</v>
      </c>
      <c r="V11" s="318">
        <v>20387</v>
      </c>
      <c r="W11" s="318">
        <v>18730</v>
      </c>
      <c r="X11" s="349">
        <v>6.8109090909090906</v>
      </c>
      <c r="Y11" s="330" t="s">
        <v>206</v>
      </c>
      <c r="Z11" s="318" t="s">
        <v>75</v>
      </c>
      <c r="AA11" s="318" t="s">
        <v>134</v>
      </c>
      <c r="AB11" s="318" t="s">
        <v>206</v>
      </c>
      <c r="AC11" s="318" t="s">
        <v>206</v>
      </c>
      <c r="AD11" s="318" t="s">
        <v>206</v>
      </c>
      <c r="AE11" s="318" t="s">
        <v>75</v>
      </c>
      <c r="AF11" s="318" t="s">
        <v>75</v>
      </c>
      <c r="AG11" s="318" t="s">
        <v>75</v>
      </c>
      <c r="AH11" s="318" t="s">
        <v>134</v>
      </c>
      <c r="AI11" s="318" t="s">
        <v>75</v>
      </c>
      <c r="AJ11" s="259">
        <v>0</v>
      </c>
      <c r="AK11" s="318">
        <v>331</v>
      </c>
      <c r="AL11" s="318">
        <v>331</v>
      </c>
      <c r="AM11" s="318"/>
      <c r="AN11" s="342"/>
      <c r="AO11" s="342" t="s">
        <v>75</v>
      </c>
      <c r="AP11" s="342" t="s">
        <v>75</v>
      </c>
      <c r="AQ11" s="342" t="s">
        <v>75</v>
      </c>
      <c r="AR11" s="342" t="s">
        <v>75</v>
      </c>
      <c r="AS11" s="342" t="s">
        <v>75</v>
      </c>
      <c r="AT11" s="342" t="s">
        <v>75</v>
      </c>
      <c r="AU11" s="342" t="s">
        <v>75</v>
      </c>
      <c r="AV11" s="407" t="s">
        <v>246</v>
      </c>
      <c r="AW11" s="342"/>
      <c r="AX11" s="342"/>
      <c r="AY11" s="342"/>
      <c r="AZ11" s="342"/>
      <c r="BA11" s="342"/>
      <c r="BB11" s="342"/>
      <c r="BC11" s="342"/>
      <c r="BD11" s="342"/>
      <c r="BE11" s="342"/>
      <c r="BF11" s="342"/>
      <c r="BG11" s="342"/>
      <c r="BH11" s="342"/>
      <c r="BI11" s="342"/>
      <c r="BJ11" s="342"/>
      <c r="BK11" s="342"/>
      <c r="BL11" s="342"/>
      <c r="BM11" s="342"/>
      <c r="BN11" s="342"/>
    </row>
    <row r="12" spans="1:66" s="358" customFormat="1" ht="15.75" customHeight="1">
      <c r="A12" s="260">
        <v>538</v>
      </c>
      <c r="B12" s="278" t="s">
        <v>326</v>
      </c>
      <c r="C12" s="362" t="s">
        <v>1299</v>
      </c>
      <c r="D12" s="485">
        <v>38808</v>
      </c>
      <c r="E12" s="262">
        <v>39264</v>
      </c>
      <c r="F12" s="278" t="s">
        <v>327</v>
      </c>
      <c r="G12" s="252" t="s">
        <v>1452</v>
      </c>
      <c r="H12" s="278" t="s">
        <v>325</v>
      </c>
      <c r="I12" s="254" t="s">
        <v>2331</v>
      </c>
      <c r="J12" s="263">
        <v>10000</v>
      </c>
      <c r="K12" s="263">
        <v>0</v>
      </c>
      <c r="L12" s="263">
        <v>35000</v>
      </c>
      <c r="M12" s="263">
        <v>35000</v>
      </c>
      <c r="N12" s="256">
        <v>3.5</v>
      </c>
      <c r="O12" s="263" t="s">
        <v>66</v>
      </c>
      <c r="P12" s="263" t="s">
        <v>75</v>
      </c>
      <c r="Q12" s="263" t="s">
        <v>75</v>
      </c>
      <c r="R12" s="263" t="s">
        <v>75</v>
      </c>
      <c r="S12" s="263" t="s">
        <v>233</v>
      </c>
      <c r="T12" s="263" t="s">
        <v>75</v>
      </c>
      <c r="U12" s="263" t="s">
        <v>75</v>
      </c>
      <c r="V12" s="263" t="s">
        <v>66</v>
      </c>
      <c r="W12" s="263" t="s">
        <v>66</v>
      </c>
      <c r="X12" s="263"/>
      <c r="Y12" s="263" t="s">
        <v>75</v>
      </c>
      <c r="Z12" s="263" t="s">
        <v>75</v>
      </c>
      <c r="AA12" s="263" t="s">
        <v>75</v>
      </c>
      <c r="AB12" s="263" t="s">
        <v>75</v>
      </c>
      <c r="AC12" s="263" t="s">
        <v>75</v>
      </c>
      <c r="AD12" s="263" t="s">
        <v>75</v>
      </c>
      <c r="AE12" s="263" t="s">
        <v>75</v>
      </c>
      <c r="AF12" s="263" t="s">
        <v>75</v>
      </c>
      <c r="AG12" s="263" t="s">
        <v>75</v>
      </c>
      <c r="AH12" s="263" t="s">
        <v>75</v>
      </c>
      <c r="AI12" s="263" t="s">
        <v>75</v>
      </c>
      <c r="AJ12" s="259">
        <v>0</v>
      </c>
      <c r="AK12" s="263">
        <v>3317</v>
      </c>
      <c r="AL12" s="263">
        <v>3317</v>
      </c>
      <c r="AM12" s="318"/>
      <c r="AN12" s="261"/>
      <c r="AO12" s="261" t="s">
        <v>75</v>
      </c>
      <c r="AP12" s="261" t="s">
        <v>75</v>
      </c>
      <c r="AQ12" s="261" t="s">
        <v>75</v>
      </c>
      <c r="AR12" s="261" t="s">
        <v>75</v>
      </c>
      <c r="AS12" s="261" t="s">
        <v>75</v>
      </c>
      <c r="AT12" s="261" t="s">
        <v>75</v>
      </c>
      <c r="AU12" s="261" t="s">
        <v>75</v>
      </c>
      <c r="AV12" s="261" t="s">
        <v>328</v>
      </c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</row>
    <row r="13" spans="1:66" s="358" customFormat="1" ht="12" customHeight="1">
      <c r="A13" s="260">
        <v>539</v>
      </c>
      <c r="B13" s="342" t="s">
        <v>2309</v>
      </c>
      <c r="C13" s="342" t="s">
        <v>1299</v>
      </c>
      <c r="D13" s="317">
        <v>38749</v>
      </c>
      <c r="E13" s="317">
        <v>39295</v>
      </c>
      <c r="F13" s="342" t="s">
        <v>2014</v>
      </c>
      <c r="G13" s="384" t="s">
        <v>1452</v>
      </c>
      <c r="H13" s="342" t="s">
        <v>2015</v>
      </c>
      <c r="I13" s="254" t="s">
        <v>2331</v>
      </c>
      <c r="J13" s="318">
        <v>20000</v>
      </c>
      <c r="K13" s="318"/>
      <c r="L13" s="318"/>
      <c r="M13" s="318"/>
      <c r="N13" s="256">
        <v>0</v>
      </c>
      <c r="O13" s="318"/>
      <c r="P13" s="318"/>
      <c r="Q13" s="318"/>
      <c r="R13" s="318"/>
      <c r="S13" s="318" t="s">
        <v>714</v>
      </c>
      <c r="T13" s="318">
        <v>120</v>
      </c>
      <c r="U13" s="318"/>
      <c r="V13" s="318"/>
      <c r="W13" s="318"/>
      <c r="X13" s="318"/>
      <c r="Y13" s="318"/>
      <c r="Z13" s="318"/>
      <c r="AA13" s="318"/>
      <c r="AB13" s="318"/>
      <c r="AC13" s="318"/>
      <c r="AD13" s="318"/>
      <c r="AE13" s="318">
        <v>1000</v>
      </c>
      <c r="AF13" s="318"/>
      <c r="AG13" s="318"/>
      <c r="AH13" s="318"/>
      <c r="AI13" s="318"/>
      <c r="AJ13" s="259">
        <v>0</v>
      </c>
      <c r="AK13" s="318"/>
      <c r="AL13" s="318"/>
      <c r="AM13" s="318"/>
      <c r="AN13" s="319"/>
      <c r="AO13" s="319"/>
      <c r="AP13" s="319"/>
      <c r="AQ13" s="319"/>
      <c r="AR13" s="319"/>
      <c r="AS13" s="319"/>
      <c r="AT13" s="319"/>
      <c r="AU13" s="319"/>
      <c r="AV13" s="356" t="s">
        <v>2016</v>
      </c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</row>
    <row r="14" spans="1:66" s="358" customFormat="1" ht="14.25" customHeight="1">
      <c r="A14" s="260">
        <v>540</v>
      </c>
      <c r="B14" s="342" t="s">
        <v>2310</v>
      </c>
      <c r="C14" s="405" t="s">
        <v>1299</v>
      </c>
      <c r="D14" s="338">
        <v>39052</v>
      </c>
      <c r="E14" s="338">
        <v>39295</v>
      </c>
      <c r="F14" s="384" t="s">
        <v>1362</v>
      </c>
      <c r="G14" s="384" t="s">
        <v>1451</v>
      </c>
      <c r="H14" s="405" t="s">
        <v>2017</v>
      </c>
      <c r="I14" s="254" t="s">
        <v>2331</v>
      </c>
      <c r="J14" s="334">
        <v>15000</v>
      </c>
      <c r="K14" s="334">
        <v>169209</v>
      </c>
      <c r="L14" s="334">
        <v>165746</v>
      </c>
      <c r="M14" s="334">
        <v>165746</v>
      </c>
      <c r="N14" s="256">
        <v>11.049733333333334</v>
      </c>
      <c r="O14" s="334">
        <v>98</v>
      </c>
      <c r="P14" s="334"/>
      <c r="Q14" s="334"/>
      <c r="R14" s="334"/>
      <c r="S14" s="405" t="s">
        <v>233</v>
      </c>
      <c r="T14" s="405"/>
      <c r="U14" s="405"/>
      <c r="V14" s="334">
        <v>47992</v>
      </c>
      <c r="W14" s="334">
        <v>25576</v>
      </c>
      <c r="X14" s="334"/>
      <c r="Y14" s="334"/>
      <c r="Z14" s="334"/>
      <c r="AA14" s="334">
        <v>5224</v>
      </c>
      <c r="AB14" s="334">
        <v>141</v>
      </c>
      <c r="AC14" s="334"/>
      <c r="AD14" s="334"/>
      <c r="AE14" s="334"/>
      <c r="AF14" s="334"/>
      <c r="AG14" s="334">
        <v>68</v>
      </c>
      <c r="AH14" s="334"/>
      <c r="AI14" s="334"/>
      <c r="AJ14" s="259">
        <v>5224</v>
      </c>
      <c r="AK14" s="334">
        <v>14731</v>
      </c>
      <c r="AL14" s="334">
        <v>15785</v>
      </c>
      <c r="AM14" s="318">
        <f>AL14/AJ14</f>
        <v>3.0216309341500764</v>
      </c>
      <c r="AN14" s="405"/>
      <c r="AO14" s="405"/>
      <c r="AP14" s="405"/>
      <c r="AQ14" s="405"/>
      <c r="AR14" s="405"/>
      <c r="AS14" s="405"/>
      <c r="AT14" s="405"/>
      <c r="AU14" s="405"/>
      <c r="AV14" s="406" t="s">
        <v>2018</v>
      </c>
      <c r="AW14" s="405"/>
      <c r="AX14" s="405"/>
      <c r="AY14" s="405"/>
      <c r="AZ14" s="405"/>
      <c r="BA14" s="405"/>
      <c r="BB14" s="405"/>
      <c r="BC14" s="405"/>
      <c r="BD14" s="405"/>
      <c r="BE14" s="405"/>
      <c r="BF14" s="405"/>
      <c r="BG14" s="405"/>
      <c r="BH14" s="405"/>
      <c r="BI14" s="405"/>
      <c r="BJ14" s="405"/>
      <c r="BK14" s="405"/>
      <c r="BL14" s="405"/>
      <c r="BM14" s="405"/>
      <c r="BN14" s="405"/>
    </row>
    <row r="15" spans="1:66" s="358" customFormat="1" ht="15" customHeight="1">
      <c r="A15" s="260">
        <v>541</v>
      </c>
      <c r="B15" s="304" t="s">
        <v>1</v>
      </c>
      <c r="C15" s="304" t="s">
        <v>1299</v>
      </c>
      <c r="D15" s="317">
        <v>38869</v>
      </c>
      <c r="E15" s="317">
        <v>39142</v>
      </c>
      <c r="F15" s="304" t="s">
        <v>5</v>
      </c>
      <c r="G15" s="252" t="s">
        <v>1451</v>
      </c>
      <c r="H15" s="304" t="s">
        <v>1999</v>
      </c>
      <c r="I15" s="254" t="s">
        <v>2331</v>
      </c>
      <c r="J15" s="318">
        <v>150000</v>
      </c>
      <c r="K15" s="318">
        <v>0</v>
      </c>
      <c r="L15" s="318">
        <v>90000</v>
      </c>
      <c r="M15" s="318">
        <v>90000</v>
      </c>
      <c r="N15" s="256">
        <v>0.6</v>
      </c>
      <c r="O15" s="318">
        <v>0</v>
      </c>
      <c r="P15" s="318" t="s">
        <v>339</v>
      </c>
      <c r="Q15" s="330" t="s">
        <v>206</v>
      </c>
      <c r="R15" s="318" t="s">
        <v>339</v>
      </c>
      <c r="S15" s="318" t="s">
        <v>849</v>
      </c>
      <c r="T15" s="318" t="s">
        <v>75</v>
      </c>
      <c r="U15" s="408" t="s">
        <v>75</v>
      </c>
      <c r="V15" s="318"/>
      <c r="W15" s="318">
        <v>1709</v>
      </c>
      <c r="X15" s="318"/>
      <c r="Y15" s="330" t="s">
        <v>339</v>
      </c>
      <c r="Z15" s="318" t="s">
        <v>75</v>
      </c>
      <c r="AA15" s="318" t="s">
        <v>75</v>
      </c>
      <c r="AB15" s="318">
        <v>330</v>
      </c>
      <c r="AC15" s="318" t="s">
        <v>2</v>
      </c>
      <c r="AD15" s="318" t="s">
        <v>75</v>
      </c>
      <c r="AE15" s="318">
        <v>1600</v>
      </c>
      <c r="AF15" s="318" t="s">
        <v>75</v>
      </c>
      <c r="AG15" s="318" t="s">
        <v>75</v>
      </c>
      <c r="AH15" s="318" t="s">
        <v>75</v>
      </c>
      <c r="AI15" s="318" t="s">
        <v>75</v>
      </c>
      <c r="AJ15" s="259">
        <v>0</v>
      </c>
      <c r="AK15" s="318" t="s">
        <v>75</v>
      </c>
      <c r="AL15" s="318" t="s">
        <v>75</v>
      </c>
      <c r="AM15" s="318"/>
      <c r="AN15" s="319"/>
      <c r="AO15" s="319" t="s">
        <v>75</v>
      </c>
      <c r="AP15" s="319" t="s">
        <v>75</v>
      </c>
      <c r="AQ15" s="319" t="s">
        <v>75</v>
      </c>
      <c r="AR15" s="319" t="s">
        <v>75</v>
      </c>
      <c r="AS15" s="319" t="s">
        <v>75</v>
      </c>
      <c r="AT15" s="319" t="s">
        <v>75</v>
      </c>
      <c r="AU15" s="319" t="s">
        <v>75</v>
      </c>
      <c r="AV15" s="359" t="s">
        <v>757</v>
      </c>
      <c r="AW15" s="357"/>
      <c r="AX15" s="357"/>
      <c r="AY15" s="357"/>
      <c r="AZ15" s="357"/>
      <c r="BA15" s="357"/>
      <c r="BB15" s="357"/>
      <c r="BC15" s="357"/>
      <c r="BD15" s="357"/>
      <c r="BE15" s="357"/>
      <c r="BF15" s="357"/>
      <c r="BG15" s="357"/>
      <c r="BH15" s="357"/>
      <c r="BI15" s="357"/>
      <c r="BJ15" s="357"/>
      <c r="BK15" s="357"/>
      <c r="BL15" s="357"/>
      <c r="BM15" s="357"/>
      <c r="BN15" s="357"/>
    </row>
    <row r="16" spans="1:66" s="358" customFormat="1" ht="15" customHeight="1">
      <c r="A16" s="260">
        <v>542</v>
      </c>
      <c r="B16" s="401" t="s">
        <v>208</v>
      </c>
      <c r="C16" s="362" t="s">
        <v>1299</v>
      </c>
      <c r="D16" s="485">
        <v>38899</v>
      </c>
      <c r="E16" s="485">
        <v>38899</v>
      </c>
      <c r="F16" s="401" t="s">
        <v>168</v>
      </c>
      <c r="G16" s="252" t="s">
        <v>1449</v>
      </c>
      <c r="H16" s="278" t="s">
        <v>324</v>
      </c>
      <c r="I16" s="254" t="s">
        <v>2331</v>
      </c>
      <c r="J16" s="263" t="s">
        <v>134</v>
      </c>
      <c r="K16" s="263">
        <v>0</v>
      </c>
      <c r="L16" s="402">
        <v>13426</v>
      </c>
      <c r="M16" s="402">
        <v>13426</v>
      </c>
      <c r="N16" s="256"/>
      <c r="O16" s="402" t="s">
        <v>66</v>
      </c>
      <c r="P16" s="402" t="s">
        <v>267</v>
      </c>
      <c r="Q16" s="409" t="s">
        <v>206</v>
      </c>
      <c r="R16" s="402" t="s">
        <v>267</v>
      </c>
      <c r="S16" s="402" t="s">
        <v>134</v>
      </c>
      <c r="T16" s="402">
        <v>85</v>
      </c>
      <c r="U16" s="402" t="s">
        <v>134</v>
      </c>
      <c r="V16" s="263" t="s">
        <v>66</v>
      </c>
      <c r="W16" s="402" t="s">
        <v>66</v>
      </c>
      <c r="X16" s="263"/>
      <c r="Y16" s="409" t="s">
        <v>134</v>
      </c>
      <c r="Z16" s="402" t="s">
        <v>75</v>
      </c>
      <c r="AA16" s="402" t="s">
        <v>134</v>
      </c>
      <c r="AB16" s="402">
        <v>85</v>
      </c>
      <c r="AC16" s="402" t="s">
        <v>75</v>
      </c>
      <c r="AD16" s="402" t="s">
        <v>75</v>
      </c>
      <c r="AE16" s="402" t="s">
        <v>75</v>
      </c>
      <c r="AF16" s="402" t="s">
        <v>75</v>
      </c>
      <c r="AG16" s="402" t="s">
        <v>75</v>
      </c>
      <c r="AH16" s="402" t="s">
        <v>267</v>
      </c>
      <c r="AI16" s="402" t="s">
        <v>75</v>
      </c>
      <c r="AJ16" s="259">
        <v>0</v>
      </c>
      <c r="AK16" s="263">
        <v>0</v>
      </c>
      <c r="AL16" s="402">
        <v>287</v>
      </c>
      <c r="AM16" s="318"/>
      <c r="AN16" s="362"/>
      <c r="AO16" s="362" t="s">
        <v>75</v>
      </c>
      <c r="AP16" s="362" t="s">
        <v>75</v>
      </c>
      <c r="AQ16" s="362" t="s">
        <v>75</v>
      </c>
      <c r="AR16" s="362" t="s">
        <v>75</v>
      </c>
      <c r="AS16" s="362" t="s">
        <v>75</v>
      </c>
      <c r="AT16" s="362" t="s">
        <v>75</v>
      </c>
      <c r="AU16" s="362" t="s">
        <v>75</v>
      </c>
      <c r="AV16" s="403" t="s">
        <v>323</v>
      </c>
      <c r="AW16" s="362"/>
      <c r="AX16" s="362"/>
      <c r="AY16" s="362"/>
      <c r="AZ16" s="362"/>
      <c r="BA16" s="362"/>
      <c r="BB16" s="362"/>
      <c r="BC16" s="362"/>
      <c r="BD16" s="362"/>
      <c r="BE16" s="362"/>
      <c r="BF16" s="362"/>
      <c r="BG16" s="362"/>
      <c r="BH16" s="362"/>
      <c r="BI16" s="362"/>
      <c r="BJ16" s="362"/>
      <c r="BK16" s="362"/>
      <c r="BL16" s="362"/>
      <c r="BM16" s="362"/>
      <c r="BN16" s="261"/>
    </row>
    <row r="17" spans="1:219" s="358" customFormat="1" ht="15" customHeight="1">
      <c r="A17" s="260">
        <v>543</v>
      </c>
      <c r="B17" s="384" t="s">
        <v>1295</v>
      </c>
      <c r="C17" s="405" t="s">
        <v>1286</v>
      </c>
      <c r="D17" s="338">
        <v>38718</v>
      </c>
      <c r="E17" s="338">
        <v>39173</v>
      </c>
      <c r="F17" s="384" t="s">
        <v>5</v>
      </c>
      <c r="G17" s="254" t="s">
        <v>1451</v>
      </c>
      <c r="H17" s="405" t="s">
        <v>2026</v>
      </c>
      <c r="I17" s="254" t="s">
        <v>2331</v>
      </c>
      <c r="J17" s="334">
        <v>62416</v>
      </c>
      <c r="K17" s="334">
        <v>130000</v>
      </c>
      <c r="L17" s="334">
        <v>130000</v>
      </c>
      <c r="M17" s="334">
        <v>130000</v>
      </c>
      <c r="N17" s="256">
        <v>2.0827992822353241</v>
      </c>
      <c r="O17" s="334">
        <v>100</v>
      </c>
      <c r="P17" s="334"/>
      <c r="Q17" s="334"/>
      <c r="R17" s="334"/>
      <c r="S17" s="405"/>
      <c r="T17" s="405"/>
      <c r="U17" s="405"/>
      <c r="V17" s="334"/>
      <c r="W17" s="334"/>
      <c r="X17" s="334"/>
      <c r="Y17" s="334"/>
      <c r="Z17" s="334"/>
      <c r="AA17" s="334"/>
      <c r="AB17" s="334"/>
      <c r="AC17" s="334"/>
      <c r="AD17" s="334"/>
      <c r="AE17" s="334"/>
      <c r="AF17" s="334"/>
      <c r="AG17" s="334"/>
      <c r="AH17" s="334"/>
      <c r="AI17" s="334"/>
      <c r="AJ17" s="259">
        <v>0</v>
      </c>
      <c r="AK17" s="334"/>
      <c r="AL17" s="334"/>
      <c r="AM17" s="334"/>
      <c r="AN17" s="405"/>
      <c r="AO17" s="405"/>
      <c r="AP17" s="405"/>
      <c r="AQ17" s="405"/>
      <c r="AR17" s="405"/>
      <c r="AS17" s="405"/>
      <c r="AT17" s="405"/>
      <c r="AU17" s="405"/>
      <c r="AV17" s="406" t="s">
        <v>2027</v>
      </c>
      <c r="AW17" s="405"/>
      <c r="AX17" s="405"/>
      <c r="AY17" s="405"/>
      <c r="AZ17" s="405"/>
      <c r="BA17" s="405"/>
      <c r="BB17" s="405"/>
      <c r="BC17" s="405"/>
      <c r="BD17" s="405"/>
      <c r="BE17" s="405"/>
      <c r="BF17" s="405"/>
      <c r="BG17" s="405"/>
      <c r="BH17" s="405"/>
      <c r="BI17" s="405"/>
      <c r="BJ17" s="405"/>
      <c r="BK17" s="405"/>
      <c r="BL17" s="405"/>
      <c r="BM17" s="405"/>
      <c r="BN17" s="405"/>
    </row>
    <row r="18" spans="1:219" s="358" customFormat="1" ht="15.75" customHeight="1">
      <c r="A18" s="260">
        <v>544</v>
      </c>
      <c r="B18" s="377" t="s">
        <v>121</v>
      </c>
      <c r="C18" s="388" t="s">
        <v>1261</v>
      </c>
      <c r="D18" s="325">
        <v>38930</v>
      </c>
      <c r="E18" s="325">
        <v>39264</v>
      </c>
      <c r="F18" s="377" t="s">
        <v>122</v>
      </c>
      <c r="G18" s="252" t="s">
        <v>1451</v>
      </c>
      <c r="H18" s="304" t="s">
        <v>131</v>
      </c>
      <c r="I18" s="278" t="s">
        <v>2438</v>
      </c>
      <c r="J18" s="318">
        <v>240000</v>
      </c>
      <c r="K18" s="327">
        <v>5950200</v>
      </c>
      <c r="L18" s="327">
        <v>1345065</v>
      </c>
      <c r="M18" s="318">
        <v>1345065</v>
      </c>
      <c r="N18" s="256">
        <v>5.6044375000000004</v>
      </c>
      <c r="O18" s="327">
        <v>26</v>
      </c>
      <c r="P18" s="327">
        <v>34560</v>
      </c>
      <c r="Q18" s="327"/>
      <c r="R18" s="318">
        <v>34560</v>
      </c>
      <c r="S18" s="318" t="s">
        <v>233</v>
      </c>
      <c r="T18" s="327"/>
      <c r="U18" s="318"/>
      <c r="V18" s="318" t="s">
        <v>66</v>
      </c>
      <c r="W18" s="318" t="s">
        <v>66</v>
      </c>
      <c r="X18" s="349"/>
      <c r="Y18" s="318"/>
      <c r="Z18" s="318" t="s">
        <v>2</v>
      </c>
      <c r="AA18" s="318"/>
      <c r="AB18" s="327"/>
      <c r="AC18" s="318"/>
      <c r="AD18" s="318"/>
      <c r="AE18" s="327"/>
      <c r="AF18" s="327" t="s">
        <v>75</v>
      </c>
      <c r="AG18" s="327" t="s">
        <v>75</v>
      </c>
      <c r="AH18" s="318"/>
      <c r="AI18" s="327"/>
      <c r="AJ18" s="259">
        <v>0</v>
      </c>
      <c r="AK18" s="318" t="s">
        <v>66</v>
      </c>
      <c r="AL18" s="318" t="s">
        <v>66</v>
      </c>
      <c r="AM18" s="318"/>
      <c r="AN18" s="388"/>
      <c r="AO18" s="388" t="s">
        <v>75</v>
      </c>
      <c r="AP18" s="388" t="s">
        <v>75</v>
      </c>
      <c r="AQ18" s="388" t="s">
        <v>75</v>
      </c>
      <c r="AR18" s="388" t="s">
        <v>75</v>
      </c>
      <c r="AS18" s="388" t="s">
        <v>75</v>
      </c>
      <c r="AT18" s="342" t="s">
        <v>75</v>
      </c>
      <c r="AU18" s="342" t="s">
        <v>75</v>
      </c>
      <c r="AV18" s="404" t="s">
        <v>123</v>
      </c>
      <c r="AW18" s="388"/>
      <c r="AX18" s="388"/>
      <c r="AY18" s="388"/>
      <c r="AZ18" s="388"/>
      <c r="BA18" s="388"/>
      <c r="BB18" s="388"/>
      <c r="BC18" s="388"/>
      <c r="BD18" s="388"/>
      <c r="BE18" s="388"/>
      <c r="BF18" s="388"/>
      <c r="BG18" s="388"/>
      <c r="BH18" s="388"/>
      <c r="BI18" s="388"/>
      <c r="BJ18" s="388"/>
      <c r="BK18" s="388"/>
      <c r="BL18" s="388"/>
      <c r="BM18" s="388"/>
      <c r="BN18" s="342"/>
    </row>
    <row r="19" spans="1:219" s="410" customFormat="1" ht="15" customHeight="1">
      <c r="A19" s="260">
        <v>545</v>
      </c>
      <c r="B19" s="384" t="s">
        <v>992</v>
      </c>
      <c r="C19" s="405" t="s">
        <v>1286</v>
      </c>
      <c r="D19" s="338">
        <v>38718</v>
      </c>
      <c r="E19" s="338">
        <v>39387</v>
      </c>
      <c r="F19" s="384" t="s">
        <v>5</v>
      </c>
      <c r="G19" s="254" t="s">
        <v>1451</v>
      </c>
      <c r="H19" s="405" t="s">
        <v>2028</v>
      </c>
      <c r="I19" s="254" t="s">
        <v>2331</v>
      </c>
      <c r="J19" s="334">
        <v>5810</v>
      </c>
      <c r="K19" s="334">
        <v>160000</v>
      </c>
      <c r="L19" s="334">
        <v>160000</v>
      </c>
      <c r="M19" s="334">
        <v>160000</v>
      </c>
      <c r="N19" s="256">
        <v>27.538726333907057</v>
      </c>
      <c r="O19" s="334">
        <v>100</v>
      </c>
      <c r="P19" s="334"/>
      <c r="Q19" s="334"/>
      <c r="R19" s="334"/>
      <c r="S19" s="405" t="s">
        <v>233</v>
      </c>
      <c r="T19" s="405"/>
      <c r="U19" s="405"/>
      <c r="V19" s="334"/>
      <c r="W19" s="334"/>
      <c r="X19" s="334"/>
      <c r="Y19" s="334"/>
      <c r="Z19" s="334"/>
      <c r="AA19" s="334"/>
      <c r="AB19" s="334"/>
      <c r="AC19" s="334"/>
      <c r="AD19" s="334"/>
      <c r="AE19" s="334"/>
      <c r="AF19" s="334"/>
      <c r="AG19" s="334"/>
      <c r="AH19" s="334"/>
      <c r="AI19" s="334"/>
      <c r="AJ19" s="259">
        <v>0</v>
      </c>
      <c r="AK19" s="334"/>
      <c r="AL19" s="334"/>
      <c r="AM19" s="334"/>
      <c r="AN19" s="405"/>
      <c r="AO19" s="405"/>
      <c r="AP19" s="405"/>
      <c r="AQ19" s="405"/>
      <c r="AR19" s="405"/>
      <c r="AS19" s="405"/>
      <c r="AT19" s="405"/>
      <c r="AU19" s="405"/>
      <c r="AV19" s="406" t="s">
        <v>2029</v>
      </c>
      <c r="AW19" s="405"/>
      <c r="AX19" s="405"/>
      <c r="AY19" s="405"/>
      <c r="AZ19" s="405"/>
      <c r="BA19" s="405"/>
      <c r="BB19" s="405"/>
      <c r="BC19" s="405"/>
      <c r="BD19" s="405"/>
      <c r="BE19" s="405"/>
      <c r="BF19" s="405"/>
      <c r="BG19" s="405"/>
      <c r="BH19" s="405"/>
      <c r="BI19" s="405"/>
      <c r="BJ19" s="405"/>
      <c r="BK19" s="405"/>
      <c r="BL19" s="405"/>
      <c r="BM19" s="405"/>
      <c r="BN19" s="405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  <c r="DN19" s="358"/>
      <c r="DO19" s="358"/>
      <c r="DP19" s="358"/>
      <c r="DQ19" s="358"/>
      <c r="DR19" s="358"/>
      <c r="DS19" s="358"/>
      <c r="DT19" s="358"/>
      <c r="DU19" s="358"/>
      <c r="DV19" s="358"/>
      <c r="DW19" s="358"/>
      <c r="DX19" s="358"/>
      <c r="DY19" s="358"/>
      <c r="DZ19" s="358"/>
      <c r="EA19" s="358"/>
      <c r="EB19" s="358"/>
      <c r="EC19" s="358"/>
      <c r="ED19" s="358"/>
      <c r="EE19" s="358"/>
      <c r="EF19" s="358"/>
      <c r="EG19" s="358"/>
      <c r="EH19" s="358"/>
      <c r="EI19" s="358"/>
      <c r="EJ19" s="358"/>
      <c r="EK19" s="358"/>
      <c r="EL19" s="358"/>
      <c r="EM19" s="358"/>
      <c r="EN19" s="358"/>
      <c r="EO19" s="358"/>
      <c r="EP19" s="358"/>
      <c r="EQ19" s="358"/>
      <c r="ER19" s="358"/>
      <c r="ES19" s="358"/>
      <c r="ET19" s="358"/>
      <c r="EU19" s="358"/>
      <c r="EV19" s="358"/>
      <c r="EW19" s="358"/>
      <c r="EX19" s="358"/>
      <c r="EY19" s="358"/>
      <c r="EZ19" s="358"/>
      <c r="FA19" s="358"/>
      <c r="FB19" s="358"/>
      <c r="FC19" s="358"/>
      <c r="FD19" s="358"/>
      <c r="FE19" s="358"/>
      <c r="FF19" s="358"/>
      <c r="FG19" s="358"/>
      <c r="FH19" s="358"/>
      <c r="FI19" s="358"/>
      <c r="FJ19" s="358"/>
      <c r="FK19" s="358"/>
      <c r="FL19" s="358"/>
      <c r="FM19" s="358"/>
      <c r="FN19" s="358"/>
      <c r="FO19" s="358"/>
      <c r="FP19" s="358"/>
      <c r="FQ19" s="358"/>
      <c r="FR19" s="358"/>
      <c r="FS19" s="358"/>
      <c r="FT19" s="358"/>
      <c r="FU19" s="358"/>
      <c r="FV19" s="358"/>
      <c r="FW19" s="358"/>
      <c r="FX19" s="358"/>
      <c r="FY19" s="358"/>
      <c r="FZ19" s="358"/>
      <c r="GA19" s="358"/>
      <c r="GB19" s="358"/>
      <c r="GC19" s="358"/>
      <c r="GD19" s="358"/>
      <c r="GE19" s="358"/>
      <c r="GF19" s="358"/>
      <c r="GG19" s="358"/>
      <c r="GH19" s="358"/>
      <c r="GI19" s="358"/>
      <c r="GJ19" s="358"/>
      <c r="GK19" s="358"/>
      <c r="GL19" s="358"/>
      <c r="GM19" s="358"/>
      <c r="GN19" s="358"/>
      <c r="GO19" s="358"/>
      <c r="GP19" s="358"/>
      <c r="GQ19" s="358"/>
      <c r="GR19" s="358"/>
      <c r="GS19" s="358"/>
      <c r="GT19" s="358"/>
      <c r="GU19" s="358"/>
      <c r="GV19" s="358"/>
      <c r="GW19" s="358"/>
      <c r="GX19" s="358"/>
      <c r="GY19" s="358"/>
      <c r="GZ19" s="358"/>
      <c r="HA19" s="358"/>
      <c r="HB19" s="358"/>
      <c r="HC19" s="358"/>
      <c r="HD19" s="358"/>
      <c r="HE19" s="358"/>
      <c r="HF19" s="358"/>
      <c r="HG19" s="358"/>
      <c r="HH19" s="358"/>
      <c r="HI19" s="358"/>
      <c r="HJ19" s="358"/>
      <c r="HK19" s="358"/>
    </row>
    <row r="20" spans="1:219" s="358" customFormat="1" ht="18" customHeight="1">
      <c r="A20" s="260">
        <v>546</v>
      </c>
      <c r="B20" s="261" t="s">
        <v>493</v>
      </c>
      <c r="C20" s="377" t="s">
        <v>1299</v>
      </c>
      <c r="D20" s="325">
        <v>38961</v>
      </c>
      <c r="E20" s="325">
        <v>39022</v>
      </c>
      <c r="F20" s="377" t="s">
        <v>194</v>
      </c>
      <c r="G20" s="252" t="s">
        <v>1461</v>
      </c>
      <c r="H20" s="304" t="s">
        <v>193</v>
      </c>
      <c r="I20" s="254" t="s">
        <v>2331</v>
      </c>
      <c r="J20" s="318">
        <v>150000</v>
      </c>
      <c r="K20" s="327">
        <v>120000</v>
      </c>
      <c r="L20" s="327">
        <v>119016</v>
      </c>
      <c r="M20" s="318">
        <v>119016</v>
      </c>
      <c r="N20" s="256">
        <v>0.79344000000000003</v>
      </c>
      <c r="O20" s="318">
        <v>99.18</v>
      </c>
      <c r="P20" s="327" t="s">
        <v>134</v>
      </c>
      <c r="Q20" s="411" t="s">
        <v>134</v>
      </c>
      <c r="R20" s="318" t="s">
        <v>134</v>
      </c>
      <c r="S20" s="318" t="s">
        <v>233</v>
      </c>
      <c r="T20" s="327"/>
      <c r="U20" s="318" t="s">
        <v>2</v>
      </c>
      <c r="V20" s="318" t="s">
        <v>66</v>
      </c>
      <c r="W20" s="318" t="s">
        <v>66</v>
      </c>
      <c r="X20" s="318"/>
      <c r="Y20" s="318">
        <v>150000</v>
      </c>
      <c r="Z20" s="318"/>
      <c r="AA20" s="318"/>
      <c r="AB20" s="327">
        <v>160</v>
      </c>
      <c r="AC20" s="318"/>
      <c r="AD20" s="318"/>
      <c r="AE20" s="327"/>
      <c r="AF20" s="327" t="s">
        <v>75</v>
      </c>
      <c r="AG20" s="327" t="s">
        <v>75</v>
      </c>
      <c r="AH20" s="318">
        <v>7786</v>
      </c>
      <c r="AI20" s="327"/>
      <c r="AJ20" s="259">
        <v>7786</v>
      </c>
      <c r="AK20" s="318">
        <v>53520</v>
      </c>
      <c r="AL20" s="318">
        <v>4800</v>
      </c>
      <c r="AM20" s="318">
        <f>AL20/AJ20</f>
        <v>0.61649113793989208</v>
      </c>
      <c r="AN20" s="388"/>
      <c r="AO20" s="342" t="s">
        <v>75</v>
      </c>
      <c r="AP20" s="342" t="s">
        <v>75</v>
      </c>
      <c r="AQ20" s="342" t="s">
        <v>75</v>
      </c>
      <c r="AR20" s="342" t="s">
        <v>75</v>
      </c>
      <c r="AS20" s="342" t="s">
        <v>75</v>
      </c>
      <c r="AT20" s="342" t="s">
        <v>75</v>
      </c>
      <c r="AU20" s="342" t="s">
        <v>75</v>
      </c>
      <c r="AV20" s="404" t="s">
        <v>199</v>
      </c>
      <c r="AW20" s="388"/>
      <c r="AX20" s="388"/>
      <c r="AY20" s="388"/>
      <c r="AZ20" s="388"/>
      <c r="BA20" s="388"/>
      <c r="BB20" s="388"/>
      <c r="BC20" s="388"/>
      <c r="BD20" s="388"/>
      <c r="BE20" s="388"/>
      <c r="BF20" s="388"/>
      <c r="BG20" s="388"/>
      <c r="BH20" s="388"/>
      <c r="BI20" s="388"/>
      <c r="BJ20" s="388"/>
      <c r="BK20" s="388"/>
      <c r="BL20" s="388"/>
      <c r="BM20" s="388"/>
      <c r="BN20" s="342"/>
    </row>
    <row r="21" spans="1:219" s="358" customFormat="1" ht="16.5" customHeight="1">
      <c r="A21" s="260">
        <v>547</v>
      </c>
      <c r="B21" s="377" t="s">
        <v>270</v>
      </c>
      <c r="C21" s="377" t="s">
        <v>1299</v>
      </c>
      <c r="D21" s="325">
        <v>38777</v>
      </c>
      <c r="E21" s="317">
        <v>38838</v>
      </c>
      <c r="F21" s="377" t="s">
        <v>310</v>
      </c>
      <c r="G21" s="252" t="s">
        <v>1449</v>
      </c>
      <c r="H21" s="304" t="s">
        <v>311</v>
      </c>
      <c r="I21" s="254" t="s">
        <v>2331</v>
      </c>
      <c r="J21" s="318">
        <v>948</v>
      </c>
      <c r="K21" s="327">
        <v>49000</v>
      </c>
      <c r="L21" s="327">
        <v>48991</v>
      </c>
      <c r="M21" s="327">
        <v>48991</v>
      </c>
      <c r="N21" s="256">
        <v>51.678270042194093</v>
      </c>
      <c r="O21" s="318">
        <v>100</v>
      </c>
      <c r="P21" s="318">
        <v>24500</v>
      </c>
      <c r="Q21" s="330" t="s">
        <v>134</v>
      </c>
      <c r="R21" s="318">
        <v>24500</v>
      </c>
      <c r="S21" s="318" t="s">
        <v>233</v>
      </c>
      <c r="T21" s="327">
        <v>300</v>
      </c>
      <c r="U21" s="318" t="s">
        <v>134</v>
      </c>
      <c r="V21" s="318">
        <v>22376</v>
      </c>
      <c r="W21" s="318">
        <v>21395</v>
      </c>
      <c r="X21" s="349">
        <v>0.87326530612244901</v>
      </c>
      <c r="Y21" s="330" t="s">
        <v>206</v>
      </c>
      <c r="Z21" s="318" t="s">
        <v>75</v>
      </c>
      <c r="AA21" s="318"/>
      <c r="AB21" s="318">
        <v>300</v>
      </c>
      <c r="AC21" s="318" t="s">
        <v>75</v>
      </c>
      <c r="AD21" s="318" t="s">
        <v>75</v>
      </c>
      <c r="AE21" s="318" t="s">
        <v>75</v>
      </c>
      <c r="AF21" s="318" t="s">
        <v>75</v>
      </c>
      <c r="AG21" s="318" t="s">
        <v>75</v>
      </c>
      <c r="AH21" s="318" t="s">
        <v>134</v>
      </c>
      <c r="AI21" s="318" t="s">
        <v>75</v>
      </c>
      <c r="AJ21" s="259">
        <v>0</v>
      </c>
      <c r="AK21" s="318" t="s">
        <v>66</v>
      </c>
      <c r="AL21" s="318" t="s">
        <v>66</v>
      </c>
      <c r="AM21" s="318"/>
      <c r="AN21" s="388"/>
      <c r="AO21" s="342" t="s">
        <v>75</v>
      </c>
      <c r="AP21" s="342" t="s">
        <v>75</v>
      </c>
      <c r="AQ21" s="342" t="s">
        <v>75</v>
      </c>
      <c r="AR21" s="342" t="s">
        <v>75</v>
      </c>
      <c r="AS21" s="342" t="s">
        <v>75</v>
      </c>
      <c r="AT21" s="342" t="s">
        <v>75</v>
      </c>
      <c r="AU21" s="342" t="s">
        <v>75</v>
      </c>
      <c r="AV21" s="404" t="s">
        <v>312</v>
      </c>
      <c r="AW21" s="388"/>
      <c r="AX21" s="388"/>
      <c r="AY21" s="388"/>
      <c r="AZ21" s="388"/>
      <c r="BA21" s="388"/>
      <c r="BB21" s="388"/>
      <c r="BC21" s="388"/>
      <c r="BD21" s="388"/>
      <c r="BE21" s="388"/>
      <c r="BF21" s="388"/>
      <c r="BG21" s="388"/>
      <c r="BH21" s="388"/>
      <c r="BI21" s="388"/>
      <c r="BJ21" s="388"/>
      <c r="BK21" s="388"/>
      <c r="BL21" s="388"/>
      <c r="BM21" s="388"/>
      <c r="BN21" s="342"/>
    </row>
    <row r="22" spans="1:219" s="358" customFormat="1" ht="13.5" customHeight="1">
      <c r="A22" s="260">
        <v>548</v>
      </c>
      <c r="B22" s="401" t="s">
        <v>270</v>
      </c>
      <c r="C22" s="362" t="s">
        <v>1299</v>
      </c>
      <c r="D22" s="485">
        <v>38777</v>
      </c>
      <c r="E22" s="485">
        <v>38838</v>
      </c>
      <c r="F22" s="401" t="s">
        <v>349</v>
      </c>
      <c r="G22" s="252" t="s">
        <v>1451</v>
      </c>
      <c r="H22" s="278" t="s">
        <v>348</v>
      </c>
      <c r="I22" s="254" t="s">
        <v>2331</v>
      </c>
      <c r="J22" s="263">
        <v>34000</v>
      </c>
      <c r="K22" s="402">
        <v>0</v>
      </c>
      <c r="L22" s="402">
        <v>28700</v>
      </c>
      <c r="M22" s="402">
        <v>28700</v>
      </c>
      <c r="N22" s="256">
        <v>0.84411764705882353</v>
      </c>
      <c r="O22" s="402" t="s">
        <v>66</v>
      </c>
      <c r="P22" s="402">
        <v>32000</v>
      </c>
      <c r="Q22" s="402"/>
      <c r="R22" s="402">
        <v>32000</v>
      </c>
      <c r="S22" s="402" t="s">
        <v>233</v>
      </c>
      <c r="T22" s="402">
        <v>29</v>
      </c>
      <c r="U22" s="402" t="s">
        <v>134</v>
      </c>
      <c r="V22" s="263">
        <v>0</v>
      </c>
      <c r="W22" s="402">
        <v>1294</v>
      </c>
      <c r="X22" s="349">
        <v>4.0437500000000001E-2</v>
      </c>
      <c r="Y22" s="409" t="s">
        <v>134</v>
      </c>
      <c r="Z22" s="402" t="s">
        <v>2</v>
      </c>
      <c r="AA22" s="402" t="s">
        <v>134</v>
      </c>
      <c r="AB22" s="402">
        <v>29</v>
      </c>
      <c r="AC22" s="402" t="s">
        <v>75</v>
      </c>
      <c r="AD22" s="402" t="s">
        <v>75</v>
      </c>
      <c r="AE22" s="402">
        <v>1065</v>
      </c>
      <c r="AF22" s="402" t="s">
        <v>75</v>
      </c>
      <c r="AG22" s="402" t="s">
        <v>75</v>
      </c>
      <c r="AH22" s="402" t="s">
        <v>75</v>
      </c>
      <c r="AI22" s="402" t="s">
        <v>75</v>
      </c>
      <c r="AJ22" s="259">
        <v>0</v>
      </c>
      <c r="AK22" s="263" t="s">
        <v>66</v>
      </c>
      <c r="AL22" s="402" t="s">
        <v>66</v>
      </c>
      <c r="AM22" s="402"/>
      <c r="AN22" s="362"/>
      <c r="AO22" s="362" t="s">
        <v>75</v>
      </c>
      <c r="AP22" s="362" t="s">
        <v>75</v>
      </c>
      <c r="AQ22" s="362" t="s">
        <v>75</v>
      </c>
      <c r="AR22" s="362" t="s">
        <v>75</v>
      </c>
      <c r="AS22" s="362" t="s">
        <v>75</v>
      </c>
      <c r="AT22" s="362" t="s">
        <v>75</v>
      </c>
      <c r="AU22" s="362" t="s">
        <v>75</v>
      </c>
      <c r="AV22" s="362" t="s">
        <v>347</v>
      </c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362"/>
      <c r="BN22" s="261"/>
    </row>
    <row r="23" spans="1:219" s="388" customFormat="1" ht="18.75" customHeight="1">
      <c r="A23" s="260">
        <v>549</v>
      </c>
      <c r="B23" s="412" t="s">
        <v>2363</v>
      </c>
      <c r="C23" s="405" t="s">
        <v>1299</v>
      </c>
      <c r="D23" s="338">
        <v>38718</v>
      </c>
      <c r="E23" s="338">
        <v>39569</v>
      </c>
      <c r="F23" s="384" t="s">
        <v>2020</v>
      </c>
      <c r="G23" s="254" t="s">
        <v>1451</v>
      </c>
      <c r="H23" s="405" t="s">
        <v>2021</v>
      </c>
      <c r="I23" s="254" t="s">
        <v>2331</v>
      </c>
      <c r="J23" s="334">
        <v>350000</v>
      </c>
      <c r="K23" s="334">
        <v>250000</v>
      </c>
      <c r="L23" s="334">
        <v>250000</v>
      </c>
      <c r="M23" s="334">
        <v>250000</v>
      </c>
      <c r="N23" s="256">
        <v>0.7142857142857143</v>
      </c>
      <c r="O23" s="334">
        <v>100</v>
      </c>
      <c r="P23" s="334">
        <v>28000</v>
      </c>
      <c r="Q23" s="334"/>
      <c r="R23" s="334">
        <v>28000</v>
      </c>
      <c r="S23" s="405" t="s">
        <v>94</v>
      </c>
      <c r="T23" s="405">
        <v>167</v>
      </c>
      <c r="U23" s="405">
        <v>72000</v>
      </c>
      <c r="V23" s="334"/>
      <c r="W23" s="334"/>
      <c r="X23" s="349">
        <v>0</v>
      </c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259">
        <v>0</v>
      </c>
      <c r="AK23" s="334"/>
      <c r="AL23" s="334"/>
      <c r="AM23" s="334"/>
      <c r="AN23" s="405"/>
      <c r="AO23" s="405"/>
      <c r="AP23" s="405"/>
      <c r="AQ23" s="405"/>
      <c r="AR23" s="405"/>
      <c r="AS23" s="405"/>
      <c r="AT23" s="405"/>
      <c r="AU23" s="405"/>
      <c r="AV23" s="406" t="s">
        <v>2022</v>
      </c>
      <c r="AW23" s="405"/>
      <c r="AX23" s="405"/>
      <c r="AY23" s="405"/>
      <c r="AZ23" s="405"/>
      <c r="BA23" s="405"/>
      <c r="BB23" s="405"/>
      <c r="BC23" s="405"/>
      <c r="BD23" s="405"/>
      <c r="BE23" s="405"/>
      <c r="BF23" s="405"/>
      <c r="BG23" s="405"/>
      <c r="BH23" s="405"/>
      <c r="BI23" s="405"/>
      <c r="BJ23" s="405"/>
      <c r="BK23" s="405"/>
      <c r="BL23" s="405"/>
      <c r="BM23" s="405"/>
      <c r="BN23" s="405"/>
      <c r="BO23" s="342"/>
      <c r="BP23" s="342"/>
      <c r="BQ23" s="342"/>
      <c r="BR23" s="342"/>
      <c r="BS23" s="342"/>
      <c r="BT23" s="342"/>
      <c r="BU23" s="342"/>
      <c r="BV23" s="342"/>
      <c r="BW23" s="342"/>
      <c r="BX23" s="342"/>
      <c r="BY23" s="342"/>
      <c r="BZ23" s="342"/>
      <c r="CA23" s="342"/>
      <c r="CB23" s="342"/>
      <c r="CC23" s="342"/>
      <c r="CD23" s="342"/>
      <c r="CE23" s="342"/>
      <c r="CF23" s="342"/>
      <c r="CG23" s="342"/>
      <c r="CH23" s="342"/>
      <c r="CI23" s="342"/>
      <c r="CJ23" s="342"/>
      <c r="CK23" s="342"/>
      <c r="CL23" s="342"/>
      <c r="CM23" s="342"/>
      <c r="CN23" s="342"/>
      <c r="CO23" s="342"/>
      <c r="CP23" s="342"/>
      <c r="CQ23" s="342"/>
      <c r="CR23" s="342"/>
      <c r="CS23" s="342"/>
      <c r="CT23" s="342"/>
      <c r="CU23" s="342"/>
      <c r="CV23" s="342"/>
      <c r="CW23" s="342"/>
      <c r="CX23" s="342"/>
      <c r="CY23" s="342"/>
      <c r="CZ23" s="342"/>
      <c r="DA23" s="342"/>
      <c r="DB23" s="342"/>
      <c r="DC23" s="342"/>
      <c r="DD23" s="342"/>
      <c r="DE23" s="342"/>
      <c r="DF23" s="342"/>
      <c r="DG23" s="342"/>
      <c r="DH23" s="342"/>
      <c r="DI23" s="342"/>
      <c r="DJ23" s="342"/>
      <c r="DK23" s="342"/>
      <c r="DL23" s="342"/>
      <c r="DM23" s="342"/>
      <c r="DN23" s="342"/>
      <c r="DO23" s="342"/>
      <c r="DP23" s="342"/>
      <c r="DQ23" s="342"/>
      <c r="DR23" s="342"/>
      <c r="DS23" s="342"/>
      <c r="DT23" s="342"/>
      <c r="DU23" s="342"/>
      <c r="DV23" s="342"/>
      <c r="DW23" s="342"/>
      <c r="DX23" s="342"/>
      <c r="DY23" s="342"/>
      <c r="DZ23" s="342"/>
      <c r="EA23" s="342"/>
      <c r="EB23" s="342"/>
      <c r="EC23" s="342"/>
      <c r="ED23" s="342"/>
      <c r="EE23" s="342"/>
      <c r="EF23" s="342"/>
      <c r="EG23" s="342"/>
      <c r="EH23" s="342"/>
      <c r="EI23" s="342"/>
      <c r="EJ23" s="342"/>
      <c r="EK23" s="342"/>
      <c r="EL23" s="342"/>
      <c r="EM23" s="342"/>
      <c r="EN23" s="342"/>
      <c r="EO23" s="342"/>
      <c r="EP23" s="342"/>
      <c r="EQ23" s="342"/>
      <c r="ER23" s="342"/>
      <c r="ES23" s="342"/>
      <c r="ET23" s="342"/>
      <c r="EU23" s="342"/>
      <c r="EV23" s="342"/>
      <c r="EW23" s="342"/>
      <c r="EX23" s="342"/>
      <c r="EY23" s="342"/>
      <c r="EZ23" s="342"/>
      <c r="FA23" s="342"/>
      <c r="FB23" s="342"/>
      <c r="FC23" s="342"/>
      <c r="FD23" s="342"/>
      <c r="FE23" s="342"/>
      <c r="FF23" s="342"/>
      <c r="FG23" s="342"/>
      <c r="FH23" s="342"/>
      <c r="FI23" s="342"/>
      <c r="FJ23" s="342"/>
      <c r="FK23" s="342"/>
      <c r="FL23" s="342"/>
      <c r="FM23" s="342"/>
      <c r="FN23" s="342"/>
      <c r="FO23" s="342"/>
      <c r="FP23" s="342"/>
      <c r="FQ23" s="342"/>
      <c r="FR23" s="342"/>
      <c r="FS23" s="342"/>
      <c r="FT23" s="342"/>
      <c r="FU23" s="342"/>
      <c r="FV23" s="342"/>
      <c r="FW23" s="342"/>
      <c r="FX23" s="342"/>
      <c r="FY23" s="342"/>
      <c r="FZ23" s="342"/>
      <c r="GA23" s="342"/>
      <c r="GB23" s="342"/>
      <c r="GC23" s="342"/>
      <c r="GD23" s="342"/>
      <c r="GE23" s="342"/>
      <c r="GF23" s="342"/>
      <c r="GG23" s="342"/>
      <c r="GH23" s="342"/>
      <c r="GI23" s="342"/>
      <c r="GJ23" s="342"/>
      <c r="GK23" s="342"/>
      <c r="GL23" s="342"/>
      <c r="GM23" s="342"/>
      <c r="GN23" s="342"/>
      <c r="GO23" s="342"/>
      <c r="GP23" s="342"/>
      <c r="GQ23" s="342"/>
      <c r="GR23" s="342"/>
      <c r="GS23" s="342"/>
      <c r="GT23" s="342"/>
      <c r="GU23" s="342"/>
      <c r="GV23" s="342"/>
      <c r="GW23" s="342"/>
      <c r="GX23" s="342"/>
      <c r="GY23" s="342"/>
      <c r="GZ23" s="342"/>
      <c r="HA23" s="342"/>
      <c r="HB23" s="342"/>
      <c r="HC23" s="342"/>
      <c r="HD23" s="342"/>
      <c r="HE23" s="342"/>
      <c r="HF23" s="342"/>
      <c r="HG23" s="342"/>
      <c r="HH23" s="342"/>
      <c r="HI23" s="342"/>
      <c r="HJ23" s="342"/>
      <c r="HK23" s="342"/>
    </row>
    <row r="24" spans="1:219" s="342" customFormat="1" ht="18.75" customHeight="1">
      <c r="A24" s="260">
        <v>550</v>
      </c>
      <c r="B24" s="304" t="s">
        <v>209</v>
      </c>
      <c r="C24" s="342" t="s">
        <v>1286</v>
      </c>
      <c r="D24" s="317">
        <v>38930</v>
      </c>
      <c r="E24" s="317">
        <v>39083</v>
      </c>
      <c r="F24" s="304" t="s">
        <v>238</v>
      </c>
      <c r="G24" s="273" t="s">
        <v>1454</v>
      </c>
      <c r="H24" s="304" t="s">
        <v>215</v>
      </c>
      <c r="I24" s="278" t="s">
        <v>2438</v>
      </c>
      <c r="J24" s="318">
        <v>5475</v>
      </c>
      <c r="K24" s="318">
        <v>632064</v>
      </c>
      <c r="L24" s="318">
        <v>410460</v>
      </c>
      <c r="M24" s="318">
        <v>410272</v>
      </c>
      <c r="N24" s="256">
        <v>74.935525114155254</v>
      </c>
      <c r="O24" s="318">
        <v>100</v>
      </c>
      <c r="P24" s="318">
        <v>5475</v>
      </c>
      <c r="Q24" s="318"/>
      <c r="R24" s="318">
        <v>5475</v>
      </c>
      <c r="S24" s="318" t="s">
        <v>233</v>
      </c>
      <c r="T24" s="318"/>
      <c r="U24" s="318"/>
      <c r="V24" s="318">
        <v>49320</v>
      </c>
      <c r="W24" s="318">
        <v>5924</v>
      </c>
      <c r="X24" s="349">
        <v>1.0820091324200913</v>
      </c>
      <c r="Y24" s="318">
        <v>2995</v>
      </c>
      <c r="Z24" s="318">
        <v>2500</v>
      </c>
      <c r="AA24" s="318"/>
      <c r="AB24" s="318"/>
      <c r="AC24" s="318"/>
      <c r="AD24" s="318"/>
      <c r="AE24" s="318"/>
      <c r="AF24" s="318" t="s">
        <v>75</v>
      </c>
      <c r="AG24" s="318" t="s">
        <v>75</v>
      </c>
      <c r="AH24" s="348"/>
      <c r="AI24" s="318" t="s">
        <v>75</v>
      </c>
      <c r="AJ24" s="254">
        <v>2500</v>
      </c>
      <c r="AK24" s="318">
        <v>49419</v>
      </c>
      <c r="AL24" s="318">
        <v>8860</v>
      </c>
      <c r="AM24" s="318">
        <f t="shared" ref="AM24" si="1">AL24/AJ24</f>
        <v>3.544</v>
      </c>
      <c r="AO24" s="342" t="s">
        <v>75</v>
      </c>
      <c r="AP24" s="342" t="s">
        <v>75</v>
      </c>
      <c r="AQ24" s="342" t="s">
        <v>75</v>
      </c>
      <c r="AR24" s="342" t="s">
        <v>75</v>
      </c>
      <c r="AS24" s="342" t="s">
        <v>75</v>
      </c>
      <c r="AT24" s="342" t="s">
        <v>75</v>
      </c>
      <c r="AU24" s="342" t="s">
        <v>75</v>
      </c>
      <c r="AV24" s="407" t="s">
        <v>216</v>
      </c>
    </row>
    <row r="25" spans="1:219" s="388" customFormat="1" ht="18.75" customHeight="1">
      <c r="A25" s="260">
        <v>551</v>
      </c>
      <c r="B25" s="384" t="s">
        <v>209</v>
      </c>
      <c r="C25" s="405" t="s">
        <v>1286</v>
      </c>
      <c r="D25" s="338">
        <v>38718</v>
      </c>
      <c r="E25" s="338">
        <v>39173</v>
      </c>
      <c r="F25" s="384" t="s">
        <v>5</v>
      </c>
      <c r="G25" s="254" t="s">
        <v>1451</v>
      </c>
      <c r="H25" s="405" t="s">
        <v>2030</v>
      </c>
      <c r="I25" s="254" t="s">
        <v>2331</v>
      </c>
      <c r="J25" s="334">
        <v>26000</v>
      </c>
      <c r="K25" s="334">
        <v>80000</v>
      </c>
      <c r="L25" s="334">
        <v>80000</v>
      </c>
      <c r="M25" s="334">
        <v>80000</v>
      </c>
      <c r="N25" s="256">
        <v>3.0769230769230771</v>
      </c>
      <c r="O25" s="334">
        <v>100</v>
      </c>
      <c r="P25" s="334"/>
      <c r="Q25" s="334"/>
      <c r="R25" s="334"/>
      <c r="S25" s="318" t="s">
        <v>233</v>
      </c>
      <c r="T25" s="405"/>
      <c r="U25" s="405"/>
      <c r="V25" s="334"/>
      <c r="W25" s="334"/>
      <c r="X25" s="334"/>
      <c r="Y25" s="334"/>
      <c r="Z25" s="334"/>
      <c r="AA25" s="334"/>
      <c r="AB25" s="334"/>
      <c r="AC25" s="334"/>
      <c r="AD25" s="334"/>
      <c r="AE25" s="334"/>
      <c r="AF25" s="334"/>
      <c r="AG25" s="334"/>
      <c r="AH25" s="334"/>
      <c r="AI25" s="334"/>
      <c r="AJ25" s="259">
        <v>0</v>
      </c>
      <c r="AK25" s="334">
        <v>911</v>
      </c>
      <c r="AL25" s="334">
        <v>911</v>
      </c>
      <c r="AM25" s="318"/>
      <c r="AN25" s="405"/>
      <c r="AO25" s="405"/>
      <c r="AP25" s="405"/>
      <c r="AQ25" s="405"/>
      <c r="AR25" s="405"/>
      <c r="AS25" s="405"/>
      <c r="AT25" s="405"/>
      <c r="AU25" s="405" t="s">
        <v>94</v>
      </c>
      <c r="AV25" s="406" t="s">
        <v>2031</v>
      </c>
      <c r="AW25" s="405"/>
      <c r="AX25" s="405"/>
      <c r="AY25" s="405"/>
      <c r="AZ25" s="405"/>
      <c r="BA25" s="405"/>
      <c r="BB25" s="405"/>
      <c r="BC25" s="405"/>
      <c r="BD25" s="405"/>
      <c r="BE25" s="405"/>
      <c r="BF25" s="405"/>
      <c r="BG25" s="405"/>
      <c r="BH25" s="405"/>
      <c r="BI25" s="405"/>
      <c r="BJ25" s="405"/>
      <c r="BK25" s="405"/>
      <c r="BL25" s="405"/>
      <c r="BM25" s="405"/>
      <c r="BN25" s="405"/>
      <c r="BO25" s="342"/>
      <c r="BP25" s="342"/>
      <c r="BQ25" s="342"/>
      <c r="BR25" s="342"/>
      <c r="BS25" s="342"/>
      <c r="BT25" s="342"/>
      <c r="BU25" s="342"/>
      <c r="BV25" s="342"/>
      <c r="BW25" s="342"/>
      <c r="BX25" s="342"/>
      <c r="BY25" s="342"/>
      <c r="BZ25" s="342"/>
      <c r="CA25" s="342"/>
      <c r="CB25" s="342"/>
      <c r="CC25" s="342"/>
      <c r="CD25" s="342"/>
      <c r="CE25" s="342"/>
      <c r="CF25" s="342"/>
      <c r="CG25" s="342"/>
      <c r="CH25" s="342"/>
      <c r="CI25" s="342"/>
      <c r="CJ25" s="342"/>
      <c r="CK25" s="342"/>
      <c r="CL25" s="342"/>
      <c r="CM25" s="342"/>
      <c r="CN25" s="342"/>
      <c r="CO25" s="342"/>
      <c r="CP25" s="342"/>
      <c r="CQ25" s="342"/>
      <c r="CR25" s="342"/>
      <c r="CS25" s="342"/>
      <c r="CT25" s="342"/>
      <c r="CU25" s="342"/>
      <c r="CV25" s="342"/>
      <c r="CW25" s="342"/>
      <c r="CX25" s="342"/>
      <c r="CY25" s="342"/>
      <c r="CZ25" s="342"/>
      <c r="DA25" s="342"/>
      <c r="DB25" s="342"/>
      <c r="DC25" s="342"/>
      <c r="DD25" s="342"/>
      <c r="DE25" s="342"/>
      <c r="DF25" s="342"/>
      <c r="DG25" s="342"/>
      <c r="DH25" s="342"/>
      <c r="DI25" s="342"/>
      <c r="DJ25" s="342"/>
      <c r="DK25" s="342"/>
      <c r="DL25" s="342"/>
      <c r="DM25" s="342"/>
      <c r="DN25" s="342"/>
      <c r="DO25" s="342"/>
      <c r="DP25" s="342"/>
      <c r="DQ25" s="342"/>
      <c r="DR25" s="342"/>
      <c r="DS25" s="342"/>
      <c r="DT25" s="342"/>
      <c r="DU25" s="342"/>
      <c r="DV25" s="342"/>
      <c r="DW25" s="342"/>
      <c r="DX25" s="342"/>
      <c r="DY25" s="342"/>
      <c r="DZ25" s="342"/>
      <c r="EA25" s="342"/>
      <c r="EB25" s="342"/>
      <c r="EC25" s="342"/>
      <c r="ED25" s="342"/>
      <c r="EE25" s="342"/>
      <c r="EF25" s="342"/>
      <c r="EG25" s="342"/>
      <c r="EH25" s="342"/>
      <c r="EI25" s="342"/>
      <c r="EJ25" s="342"/>
      <c r="EK25" s="342"/>
      <c r="EL25" s="342"/>
      <c r="EM25" s="342"/>
      <c r="EN25" s="342"/>
      <c r="EO25" s="342"/>
      <c r="EP25" s="342"/>
      <c r="EQ25" s="342"/>
      <c r="ER25" s="342"/>
      <c r="ES25" s="342"/>
      <c r="ET25" s="342"/>
      <c r="EU25" s="342"/>
      <c r="EV25" s="342"/>
      <c r="EW25" s="342"/>
      <c r="EX25" s="342"/>
      <c r="EY25" s="342"/>
      <c r="EZ25" s="342"/>
      <c r="FA25" s="342"/>
      <c r="FB25" s="342"/>
      <c r="FC25" s="342"/>
      <c r="FD25" s="342"/>
      <c r="FE25" s="342"/>
      <c r="FF25" s="342"/>
      <c r="FG25" s="342"/>
      <c r="FH25" s="342"/>
      <c r="FI25" s="342"/>
      <c r="FJ25" s="342"/>
      <c r="FK25" s="342"/>
      <c r="FL25" s="342"/>
      <c r="FM25" s="342"/>
      <c r="FN25" s="342"/>
      <c r="FO25" s="342"/>
      <c r="FP25" s="342"/>
      <c r="FQ25" s="342"/>
      <c r="FR25" s="342"/>
      <c r="FS25" s="342"/>
      <c r="FT25" s="342"/>
      <c r="FU25" s="342"/>
      <c r="FV25" s="342"/>
      <c r="FW25" s="342"/>
      <c r="FX25" s="342"/>
      <c r="FY25" s="342"/>
      <c r="FZ25" s="342"/>
      <c r="GA25" s="342"/>
      <c r="GB25" s="342"/>
      <c r="GC25" s="342"/>
      <c r="GD25" s="342"/>
      <c r="GE25" s="342"/>
      <c r="GF25" s="342"/>
      <c r="GG25" s="342"/>
      <c r="GH25" s="342"/>
      <c r="GI25" s="342"/>
      <c r="GJ25" s="342"/>
      <c r="GK25" s="342"/>
      <c r="GL25" s="342"/>
      <c r="GM25" s="342"/>
      <c r="GN25" s="342"/>
      <c r="GO25" s="342"/>
      <c r="GP25" s="342"/>
      <c r="GQ25" s="342"/>
      <c r="GR25" s="342"/>
      <c r="GS25" s="342"/>
      <c r="GT25" s="342"/>
      <c r="GU25" s="342"/>
      <c r="GV25" s="342"/>
      <c r="GW25" s="342"/>
      <c r="GX25" s="342"/>
      <c r="GY25" s="342"/>
      <c r="GZ25" s="342"/>
      <c r="HA25" s="342"/>
      <c r="HB25" s="342"/>
      <c r="HC25" s="342"/>
      <c r="HD25" s="342"/>
      <c r="HE25" s="342"/>
      <c r="HF25" s="342"/>
      <c r="HG25" s="342"/>
      <c r="HH25" s="342"/>
      <c r="HI25" s="342"/>
      <c r="HJ25" s="342"/>
      <c r="HK25" s="342"/>
    </row>
    <row r="26" spans="1:219" s="388" customFormat="1" ht="18.75" customHeight="1">
      <c r="A26" s="260">
        <v>552</v>
      </c>
      <c r="B26" s="384" t="s">
        <v>452</v>
      </c>
      <c r="C26" s="405" t="s">
        <v>1278</v>
      </c>
      <c r="D26" s="338">
        <v>38749</v>
      </c>
      <c r="E26" s="338">
        <v>38930</v>
      </c>
      <c r="F26" s="384" t="s">
        <v>2032</v>
      </c>
      <c r="G26" s="254" t="s">
        <v>1452</v>
      </c>
      <c r="H26" s="405" t="s">
        <v>2033</v>
      </c>
      <c r="I26" s="254" t="s">
        <v>2331</v>
      </c>
      <c r="J26" s="334">
        <v>2518</v>
      </c>
      <c r="K26" s="334">
        <v>50000</v>
      </c>
      <c r="L26" s="334">
        <v>50000</v>
      </c>
      <c r="M26" s="334">
        <v>50000</v>
      </c>
      <c r="N26" s="256">
        <v>19.857029388403493</v>
      </c>
      <c r="O26" s="334">
        <v>100</v>
      </c>
      <c r="P26" s="334"/>
      <c r="Q26" s="334"/>
      <c r="R26" s="334"/>
      <c r="S26" s="318" t="s">
        <v>233</v>
      </c>
      <c r="T26" s="405"/>
      <c r="U26" s="405"/>
      <c r="V26" s="334"/>
      <c r="W26" s="334"/>
      <c r="X26" s="334"/>
      <c r="Y26" s="334"/>
      <c r="Z26" s="334">
        <v>2518</v>
      </c>
      <c r="AA26" s="334"/>
      <c r="AB26" s="334">
        <v>40</v>
      </c>
      <c r="AC26" s="334"/>
      <c r="AD26" s="334"/>
      <c r="AE26" s="334"/>
      <c r="AF26" s="334"/>
      <c r="AG26" s="334"/>
      <c r="AH26" s="334"/>
      <c r="AI26" s="334"/>
      <c r="AJ26" s="259">
        <v>2518</v>
      </c>
      <c r="AK26" s="334"/>
      <c r="AL26" s="334"/>
      <c r="AM26" s="334"/>
      <c r="AN26" s="405"/>
      <c r="AO26" s="405"/>
      <c r="AP26" s="405"/>
      <c r="AQ26" s="405"/>
      <c r="AR26" s="405"/>
      <c r="AS26" s="405"/>
      <c r="AT26" s="405"/>
      <c r="AU26" s="405"/>
      <c r="AV26" s="405" t="s">
        <v>2034</v>
      </c>
      <c r="AW26" s="405"/>
      <c r="AX26" s="405"/>
      <c r="AY26" s="405"/>
      <c r="AZ26" s="405"/>
      <c r="BA26" s="405"/>
      <c r="BB26" s="405"/>
      <c r="BC26" s="405"/>
      <c r="BD26" s="405"/>
      <c r="BE26" s="405"/>
      <c r="BF26" s="405"/>
      <c r="BG26" s="405"/>
      <c r="BH26" s="405"/>
      <c r="BI26" s="405"/>
      <c r="BJ26" s="405"/>
      <c r="BK26" s="405"/>
      <c r="BL26" s="405"/>
      <c r="BM26" s="405"/>
      <c r="BN26" s="405"/>
      <c r="BO26" s="342"/>
      <c r="BP26" s="342"/>
      <c r="BQ26" s="342"/>
      <c r="BR26" s="342"/>
      <c r="BS26" s="342"/>
      <c r="BT26" s="342"/>
      <c r="BU26" s="342"/>
      <c r="BV26" s="342"/>
      <c r="BW26" s="342"/>
      <c r="BX26" s="342"/>
      <c r="BY26" s="342"/>
      <c r="BZ26" s="342"/>
      <c r="CA26" s="342"/>
      <c r="CB26" s="342"/>
      <c r="CC26" s="342"/>
      <c r="CD26" s="342"/>
      <c r="CE26" s="342"/>
      <c r="CF26" s="342"/>
      <c r="CG26" s="342"/>
      <c r="CH26" s="342"/>
      <c r="CI26" s="342"/>
      <c r="CJ26" s="342"/>
      <c r="CK26" s="342"/>
      <c r="CL26" s="342"/>
      <c r="CM26" s="342"/>
      <c r="CN26" s="342"/>
      <c r="CO26" s="342"/>
      <c r="CP26" s="342"/>
      <c r="CQ26" s="342"/>
      <c r="CR26" s="342"/>
      <c r="CS26" s="342"/>
      <c r="CT26" s="342"/>
      <c r="CU26" s="342"/>
      <c r="CV26" s="342"/>
      <c r="CW26" s="342"/>
      <c r="CX26" s="342"/>
      <c r="CY26" s="342"/>
      <c r="CZ26" s="342"/>
      <c r="DA26" s="342"/>
      <c r="DB26" s="342"/>
      <c r="DC26" s="342"/>
      <c r="DD26" s="342"/>
      <c r="DE26" s="342"/>
      <c r="DF26" s="342"/>
      <c r="DG26" s="342"/>
      <c r="DH26" s="342"/>
      <c r="DI26" s="342"/>
      <c r="DJ26" s="342"/>
      <c r="DK26" s="342"/>
      <c r="DL26" s="342"/>
      <c r="DM26" s="342"/>
      <c r="DN26" s="342"/>
      <c r="DO26" s="342"/>
      <c r="DP26" s="342"/>
      <c r="DQ26" s="342"/>
      <c r="DR26" s="342"/>
      <c r="DS26" s="342"/>
      <c r="DT26" s="342"/>
      <c r="DU26" s="342"/>
      <c r="DV26" s="342"/>
      <c r="DW26" s="342"/>
      <c r="DX26" s="342"/>
      <c r="DY26" s="342"/>
      <c r="DZ26" s="342"/>
      <c r="EA26" s="342"/>
      <c r="EB26" s="342"/>
      <c r="EC26" s="342"/>
      <c r="ED26" s="342"/>
      <c r="EE26" s="342"/>
      <c r="EF26" s="342"/>
      <c r="EG26" s="342"/>
      <c r="EH26" s="342"/>
      <c r="EI26" s="342"/>
      <c r="EJ26" s="342"/>
      <c r="EK26" s="342"/>
      <c r="EL26" s="342"/>
      <c r="EM26" s="342"/>
      <c r="EN26" s="342"/>
      <c r="EO26" s="342"/>
      <c r="EP26" s="342"/>
      <c r="EQ26" s="342"/>
      <c r="ER26" s="342"/>
      <c r="ES26" s="342"/>
      <c r="ET26" s="342"/>
      <c r="EU26" s="342"/>
      <c r="EV26" s="342"/>
      <c r="EW26" s="342"/>
      <c r="EX26" s="342"/>
      <c r="EY26" s="342"/>
      <c r="EZ26" s="342"/>
      <c r="FA26" s="342"/>
      <c r="FB26" s="342"/>
      <c r="FC26" s="342"/>
      <c r="FD26" s="342"/>
      <c r="FE26" s="342"/>
      <c r="FF26" s="342"/>
      <c r="FG26" s="342"/>
      <c r="FH26" s="342"/>
      <c r="FI26" s="342"/>
      <c r="FJ26" s="342"/>
      <c r="FK26" s="342"/>
      <c r="FL26" s="342"/>
      <c r="FM26" s="342"/>
      <c r="FN26" s="342"/>
      <c r="FO26" s="342"/>
      <c r="FP26" s="342"/>
      <c r="FQ26" s="342"/>
      <c r="FR26" s="342"/>
      <c r="FS26" s="342"/>
      <c r="FT26" s="342"/>
      <c r="FU26" s="342"/>
      <c r="FV26" s="342"/>
      <c r="FW26" s="342"/>
      <c r="FX26" s="342"/>
      <c r="FY26" s="342"/>
      <c r="FZ26" s="342"/>
      <c r="GA26" s="342"/>
      <c r="GB26" s="342"/>
      <c r="GC26" s="342"/>
      <c r="GD26" s="342"/>
      <c r="GE26" s="342"/>
      <c r="GF26" s="342"/>
      <c r="GG26" s="342"/>
      <c r="GH26" s="342"/>
      <c r="GI26" s="342"/>
      <c r="GJ26" s="342"/>
      <c r="GK26" s="342"/>
      <c r="GL26" s="342"/>
      <c r="GM26" s="342"/>
      <c r="GN26" s="342"/>
      <c r="GO26" s="342"/>
      <c r="GP26" s="342"/>
      <c r="GQ26" s="342"/>
      <c r="GR26" s="342"/>
      <c r="GS26" s="342"/>
      <c r="GT26" s="342"/>
      <c r="GU26" s="342"/>
      <c r="GV26" s="342"/>
      <c r="GW26" s="342"/>
      <c r="GX26" s="342"/>
      <c r="GY26" s="342"/>
      <c r="GZ26" s="342"/>
      <c r="HA26" s="342"/>
      <c r="HB26" s="342"/>
      <c r="HC26" s="342"/>
      <c r="HD26" s="342"/>
      <c r="HE26" s="342"/>
      <c r="HF26" s="342"/>
      <c r="HG26" s="342"/>
      <c r="HH26" s="342"/>
      <c r="HI26" s="342"/>
      <c r="HJ26" s="342"/>
      <c r="HK26" s="342"/>
    </row>
    <row r="27" spans="1:219" s="388" customFormat="1" ht="18.75" customHeight="1">
      <c r="A27" s="260">
        <v>553</v>
      </c>
      <c r="B27" s="384" t="s">
        <v>452</v>
      </c>
      <c r="C27" s="405" t="s">
        <v>1278</v>
      </c>
      <c r="D27" s="338">
        <v>38749</v>
      </c>
      <c r="E27" s="338">
        <v>38961</v>
      </c>
      <c r="F27" s="384" t="s">
        <v>1721</v>
      </c>
      <c r="G27" s="405" t="s">
        <v>1449</v>
      </c>
      <c r="H27" s="405" t="s">
        <v>2035</v>
      </c>
      <c r="I27" s="254" t="s">
        <v>2331</v>
      </c>
      <c r="J27" s="334">
        <v>1267</v>
      </c>
      <c r="K27" s="334">
        <v>39936</v>
      </c>
      <c r="L27" s="334">
        <v>39936</v>
      </c>
      <c r="M27" s="334">
        <v>39936</v>
      </c>
      <c r="N27" s="256">
        <v>31.520126282557221</v>
      </c>
      <c r="O27" s="334">
        <v>100</v>
      </c>
      <c r="P27" s="334"/>
      <c r="Q27" s="334"/>
      <c r="R27" s="334"/>
      <c r="S27" s="318" t="s">
        <v>233</v>
      </c>
      <c r="T27" s="405"/>
      <c r="U27" s="405"/>
      <c r="V27" s="334"/>
      <c r="W27" s="334"/>
      <c r="X27" s="334"/>
      <c r="Y27" s="334"/>
      <c r="Z27" s="334"/>
      <c r="AA27" s="334">
        <v>1267</v>
      </c>
      <c r="AB27" s="334">
        <v>50</v>
      </c>
      <c r="AC27" s="334"/>
      <c r="AD27" s="334"/>
      <c r="AE27" s="334"/>
      <c r="AF27" s="334"/>
      <c r="AG27" s="334"/>
      <c r="AH27" s="334"/>
      <c r="AI27" s="334"/>
      <c r="AJ27" s="259">
        <v>1267</v>
      </c>
      <c r="AK27" s="334">
        <v>831</v>
      </c>
      <c r="AL27" s="334">
        <v>6336</v>
      </c>
      <c r="AM27" s="318">
        <f>AL27/AJ27</f>
        <v>5.0007892659826361</v>
      </c>
      <c r="AN27" s="405"/>
      <c r="AO27" s="405"/>
      <c r="AP27" s="405"/>
      <c r="AQ27" s="405"/>
      <c r="AR27" s="405"/>
      <c r="AS27" s="405"/>
      <c r="AT27" s="405"/>
      <c r="AU27" s="405"/>
      <c r="AV27" s="406" t="s">
        <v>2036</v>
      </c>
      <c r="AW27" s="405"/>
      <c r="AX27" s="405"/>
      <c r="AY27" s="405"/>
      <c r="AZ27" s="405"/>
      <c r="BA27" s="405"/>
      <c r="BB27" s="405"/>
      <c r="BC27" s="405"/>
      <c r="BD27" s="405"/>
      <c r="BE27" s="405"/>
      <c r="BF27" s="405"/>
      <c r="BG27" s="405"/>
      <c r="BH27" s="405"/>
      <c r="BI27" s="405"/>
      <c r="BJ27" s="405"/>
      <c r="BK27" s="405"/>
      <c r="BL27" s="405"/>
      <c r="BM27" s="405"/>
      <c r="BN27" s="405"/>
      <c r="BO27" s="342"/>
      <c r="BP27" s="342"/>
      <c r="BQ27" s="342"/>
      <c r="BR27" s="342"/>
      <c r="BS27" s="342"/>
      <c r="BT27" s="342"/>
      <c r="BU27" s="342"/>
      <c r="BV27" s="342"/>
      <c r="BW27" s="342"/>
      <c r="BX27" s="342"/>
      <c r="BY27" s="342"/>
      <c r="BZ27" s="342"/>
      <c r="CA27" s="342"/>
      <c r="CB27" s="342"/>
      <c r="CC27" s="342"/>
      <c r="CD27" s="342"/>
      <c r="CE27" s="342"/>
      <c r="CF27" s="342"/>
      <c r="CG27" s="342"/>
      <c r="CH27" s="342"/>
      <c r="CI27" s="342"/>
      <c r="CJ27" s="342"/>
      <c r="CK27" s="342"/>
      <c r="CL27" s="342"/>
      <c r="CM27" s="342"/>
      <c r="CN27" s="342"/>
      <c r="CO27" s="342"/>
      <c r="CP27" s="342"/>
      <c r="CQ27" s="342"/>
      <c r="CR27" s="342"/>
      <c r="CS27" s="342"/>
      <c r="CT27" s="342"/>
      <c r="CU27" s="342"/>
      <c r="CV27" s="342"/>
      <c r="CW27" s="342"/>
      <c r="CX27" s="342"/>
      <c r="CY27" s="342"/>
      <c r="CZ27" s="342"/>
      <c r="DA27" s="342"/>
      <c r="DB27" s="342"/>
      <c r="DC27" s="342"/>
      <c r="DD27" s="342"/>
      <c r="DE27" s="342"/>
      <c r="DF27" s="342"/>
      <c r="DG27" s="342"/>
      <c r="DH27" s="342"/>
      <c r="DI27" s="342"/>
      <c r="DJ27" s="342"/>
      <c r="DK27" s="342"/>
      <c r="DL27" s="342"/>
      <c r="DM27" s="342"/>
      <c r="DN27" s="342"/>
      <c r="DO27" s="342"/>
      <c r="DP27" s="342"/>
      <c r="DQ27" s="342"/>
      <c r="DR27" s="342"/>
      <c r="DS27" s="342"/>
      <c r="DT27" s="342"/>
      <c r="DU27" s="342"/>
      <c r="DV27" s="342"/>
      <c r="DW27" s="342"/>
      <c r="DX27" s="342"/>
      <c r="DY27" s="342"/>
      <c r="DZ27" s="342"/>
      <c r="EA27" s="342"/>
      <c r="EB27" s="342"/>
      <c r="EC27" s="342"/>
      <c r="ED27" s="342"/>
      <c r="EE27" s="342"/>
      <c r="EF27" s="342"/>
      <c r="EG27" s="342"/>
      <c r="EH27" s="342"/>
      <c r="EI27" s="342"/>
      <c r="EJ27" s="342"/>
      <c r="EK27" s="342"/>
      <c r="EL27" s="342"/>
      <c r="EM27" s="342"/>
      <c r="EN27" s="342"/>
      <c r="EO27" s="342"/>
      <c r="EP27" s="342"/>
      <c r="EQ27" s="342"/>
      <c r="ER27" s="342"/>
      <c r="ES27" s="342"/>
      <c r="ET27" s="342"/>
      <c r="EU27" s="342"/>
      <c r="EV27" s="342"/>
      <c r="EW27" s="342"/>
      <c r="EX27" s="342"/>
      <c r="EY27" s="342"/>
      <c r="EZ27" s="342"/>
      <c r="FA27" s="342"/>
      <c r="FB27" s="342"/>
      <c r="FC27" s="342"/>
      <c r="FD27" s="342"/>
      <c r="FE27" s="342"/>
      <c r="FF27" s="342"/>
      <c r="FG27" s="342"/>
      <c r="FH27" s="342"/>
      <c r="FI27" s="342"/>
      <c r="FJ27" s="342"/>
      <c r="FK27" s="342"/>
      <c r="FL27" s="342"/>
      <c r="FM27" s="342"/>
      <c r="FN27" s="342"/>
      <c r="FO27" s="342"/>
      <c r="FP27" s="342"/>
      <c r="FQ27" s="342"/>
      <c r="FR27" s="342"/>
      <c r="FS27" s="342"/>
      <c r="FT27" s="342"/>
      <c r="FU27" s="342"/>
      <c r="FV27" s="342"/>
      <c r="FW27" s="342"/>
      <c r="FX27" s="342"/>
      <c r="FY27" s="342"/>
      <c r="FZ27" s="342"/>
      <c r="GA27" s="342"/>
      <c r="GB27" s="342"/>
      <c r="GC27" s="342"/>
      <c r="GD27" s="342"/>
      <c r="GE27" s="342"/>
      <c r="GF27" s="342"/>
      <c r="GG27" s="342"/>
      <c r="GH27" s="342"/>
      <c r="GI27" s="342"/>
      <c r="GJ27" s="342"/>
      <c r="GK27" s="342"/>
      <c r="GL27" s="342"/>
      <c r="GM27" s="342"/>
      <c r="GN27" s="342"/>
      <c r="GO27" s="342"/>
      <c r="GP27" s="342"/>
      <c r="GQ27" s="342"/>
      <c r="GR27" s="342"/>
      <c r="GS27" s="342"/>
      <c r="GT27" s="342"/>
      <c r="GU27" s="342"/>
      <c r="GV27" s="342"/>
      <c r="GW27" s="342"/>
      <c r="GX27" s="342"/>
      <c r="GY27" s="342"/>
      <c r="GZ27" s="342"/>
      <c r="HA27" s="342"/>
      <c r="HB27" s="342"/>
      <c r="HC27" s="342"/>
      <c r="HD27" s="342"/>
      <c r="HE27" s="342"/>
      <c r="HF27" s="342"/>
      <c r="HG27" s="342"/>
      <c r="HH27" s="342"/>
      <c r="HI27" s="342"/>
      <c r="HJ27" s="342"/>
      <c r="HK27" s="342"/>
    </row>
    <row r="28" spans="1:219" s="388" customFormat="1" ht="23.1" customHeight="1">
      <c r="A28" s="260">
        <v>554</v>
      </c>
      <c r="B28" s="384" t="s">
        <v>452</v>
      </c>
      <c r="C28" s="405" t="s">
        <v>1278</v>
      </c>
      <c r="D28" s="338">
        <v>38838</v>
      </c>
      <c r="E28" s="338">
        <v>38961</v>
      </c>
      <c r="F28" s="384" t="s">
        <v>2037</v>
      </c>
      <c r="G28" s="405" t="s">
        <v>1452</v>
      </c>
      <c r="H28" s="405" t="s">
        <v>2038</v>
      </c>
      <c r="I28" s="254" t="s">
        <v>2331</v>
      </c>
      <c r="J28" s="334">
        <v>150</v>
      </c>
      <c r="K28" s="334">
        <v>30000</v>
      </c>
      <c r="L28" s="334">
        <v>30000</v>
      </c>
      <c r="M28" s="334">
        <v>30000</v>
      </c>
      <c r="N28" s="256">
        <v>200</v>
      </c>
      <c r="O28" s="334">
        <v>100</v>
      </c>
      <c r="P28" s="334"/>
      <c r="Q28" s="334"/>
      <c r="R28" s="334"/>
      <c r="S28" s="318" t="s">
        <v>233</v>
      </c>
      <c r="T28" s="405"/>
      <c r="U28" s="405"/>
      <c r="V28" s="334"/>
      <c r="W28" s="334"/>
      <c r="X28" s="334"/>
      <c r="Y28" s="334"/>
      <c r="Z28" s="334">
        <v>150</v>
      </c>
      <c r="AA28" s="334"/>
      <c r="AB28" s="334">
        <v>38</v>
      </c>
      <c r="AC28" s="334"/>
      <c r="AD28" s="334"/>
      <c r="AE28" s="334"/>
      <c r="AF28" s="334"/>
      <c r="AG28" s="334"/>
      <c r="AH28" s="334"/>
      <c r="AI28" s="334"/>
      <c r="AJ28" s="259">
        <v>150</v>
      </c>
      <c r="AK28" s="334"/>
      <c r="AL28" s="334"/>
      <c r="AM28" s="334"/>
      <c r="AN28" s="405"/>
      <c r="AO28" s="405"/>
      <c r="AP28" s="405"/>
      <c r="AQ28" s="405"/>
      <c r="AR28" s="405"/>
      <c r="AS28" s="405"/>
      <c r="AT28" s="405"/>
      <c r="AU28" s="405"/>
      <c r="AV28" s="405" t="s">
        <v>2039</v>
      </c>
      <c r="AW28" s="405"/>
      <c r="AX28" s="405"/>
      <c r="AY28" s="405"/>
      <c r="AZ28" s="405"/>
      <c r="BA28" s="405"/>
      <c r="BB28" s="405"/>
      <c r="BC28" s="405"/>
      <c r="BD28" s="405"/>
      <c r="BE28" s="405"/>
      <c r="BF28" s="405"/>
      <c r="BG28" s="405"/>
      <c r="BH28" s="405"/>
      <c r="BI28" s="405"/>
      <c r="BJ28" s="405"/>
      <c r="BK28" s="405"/>
      <c r="BL28" s="405"/>
      <c r="BM28" s="405"/>
      <c r="BN28" s="405"/>
      <c r="BO28" s="342"/>
      <c r="BP28" s="342"/>
      <c r="BQ28" s="342"/>
      <c r="BR28" s="342"/>
      <c r="BS28" s="342"/>
      <c r="BT28" s="342"/>
      <c r="BU28" s="342"/>
      <c r="BV28" s="342"/>
      <c r="BW28" s="342"/>
      <c r="BX28" s="342"/>
      <c r="BY28" s="342"/>
      <c r="BZ28" s="342"/>
      <c r="CA28" s="342"/>
      <c r="CB28" s="342"/>
      <c r="CC28" s="342"/>
      <c r="CD28" s="342"/>
      <c r="CE28" s="342"/>
      <c r="CF28" s="342"/>
      <c r="CG28" s="342"/>
      <c r="CH28" s="342"/>
      <c r="CI28" s="342"/>
      <c r="CJ28" s="342"/>
      <c r="CK28" s="342"/>
      <c r="CL28" s="342"/>
      <c r="CM28" s="342"/>
      <c r="CN28" s="342"/>
      <c r="CO28" s="342"/>
      <c r="CP28" s="342"/>
      <c r="CQ28" s="342"/>
      <c r="CR28" s="342"/>
      <c r="CS28" s="342"/>
      <c r="CT28" s="342"/>
      <c r="CU28" s="342"/>
      <c r="CV28" s="342"/>
      <c r="CW28" s="342"/>
      <c r="CX28" s="342"/>
      <c r="CY28" s="342"/>
      <c r="CZ28" s="342"/>
      <c r="DA28" s="342"/>
      <c r="DB28" s="342"/>
      <c r="DC28" s="342"/>
      <c r="DD28" s="342"/>
      <c r="DE28" s="342"/>
      <c r="DF28" s="342"/>
      <c r="DG28" s="342"/>
      <c r="DH28" s="342"/>
      <c r="DI28" s="342"/>
      <c r="DJ28" s="342"/>
      <c r="DK28" s="342"/>
      <c r="DL28" s="342"/>
      <c r="DM28" s="342"/>
      <c r="DN28" s="342"/>
      <c r="DO28" s="342"/>
      <c r="DP28" s="342"/>
      <c r="DQ28" s="342"/>
      <c r="DR28" s="342"/>
      <c r="DS28" s="342"/>
      <c r="DT28" s="342"/>
      <c r="DU28" s="342"/>
      <c r="DV28" s="342"/>
      <c r="DW28" s="342"/>
      <c r="DX28" s="342"/>
      <c r="DY28" s="342"/>
      <c r="DZ28" s="342"/>
      <c r="EA28" s="342"/>
      <c r="EB28" s="342"/>
      <c r="EC28" s="342"/>
      <c r="ED28" s="342"/>
      <c r="EE28" s="342"/>
      <c r="EF28" s="342"/>
      <c r="EG28" s="342"/>
      <c r="EH28" s="342"/>
      <c r="EI28" s="342"/>
      <c r="EJ28" s="342"/>
      <c r="EK28" s="342"/>
      <c r="EL28" s="342"/>
      <c r="EM28" s="342"/>
      <c r="EN28" s="342"/>
      <c r="EO28" s="342"/>
      <c r="EP28" s="342"/>
      <c r="EQ28" s="342"/>
      <c r="ER28" s="342"/>
      <c r="ES28" s="342"/>
      <c r="ET28" s="342"/>
      <c r="EU28" s="342"/>
      <c r="EV28" s="342"/>
      <c r="EW28" s="342"/>
      <c r="EX28" s="342"/>
      <c r="EY28" s="342"/>
      <c r="EZ28" s="342"/>
      <c r="FA28" s="342"/>
      <c r="FB28" s="342"/>
      <c r="FC28" s="342"/>
      <c r="FD28" s="342"/>
      <c r="FE28" s="342"/>
      <c r="FF28" s="342"/>
      <c r="FG28" s="342"/>
      <c r="FH28" s="342"/>
      <c r="FI28" s="342"/>
      <c r="FJ28" s="342"/>
      <c r="FK28" s="342"/>
      <c r="FL28" s="342"/>
      <c r="FM28" s="342"/>
      <c r="FN28" s="342"/>
      <c r="FO28" s="342"/>
      <c r="FP28" s="342"/>
      <c r="FQ28" s="342"/>
      <c r="FR28" s="342"/>
      <c r="FS28" s="342"/>
      <c r="FT28" s="342"/>
      <c r="FU28" s="342"/>
      <c r="FV28" s="342"/>
      <c r="FW28" s="342"/>
      <c r="FX28" s="342"/>
      <c r="FY28" s="342"/>
      <c r="FZ28" s="342"/>
      <c r="GA28" s="342"/>
      <c r="GB28" s="342"/>
      <c r="GC28" s="342"/>
      <c r="GD28" s="342"/>
      <c r="GE28" s="342"/>
      <c r="GF28" s="342"/>
      <c r="GG28" s="342"/>
      <c r="GH28" s="342"/>
      <c r="GI28" s="342"/>
      <c r="GJ28" s="342"/>
      <c r="GK28" s="342"/>
      <c r="GL28" s="342"/>
      <c r="GM28" s="342"/>
      <c r="GN28" s="342"/>
      <c r="GO28" s="342"/>
      <c r="GP28" s="342"/>
      <c r="GQ28" s="342"/>
      <c r="GR28" s="342"/>
      <c r="GS28" s="342"/>
      <c r="GT28" s="342"/>
      <c r="GU28" s="342"/>
      <c r="GV28" s="342"/>
      <c r="GW28" s="342"/>
      <c r="GX28" s="342"/>
      <c r="GY28" s="342"/>
      <c r="GZ28" s="342"/>
      <c r="HA28" s="342"/>
      <c r="HB28" s="342"/>
      <c r="HC28" s="342"/>
      <c r="HD28" s="342"/>
      <c r="HE28" s="342"/>
      <c r="HF28" s="342"/>
      <c r="HG28" s="342"/>
      <c r="HH28" s="342"/>
      <c r="HI28" s="342"/>
      <c r="HJ28" s="342"/>
      <c r="HK28" s="342"/>
    </row>
    <row r="29" spans="1:219" s="342" customFormat="1" ht="18.75" customHeight="1">
      <c r="A29" s="260">
        <v>555</v>
      </c>
      <c r="B29" s="304" t="s">
        <v>607</v>
      </c>
      <c r="C29" s="304" t="s">
        <v>1299</v>
      </c>
      <c r="D29" s="317">
        <v>38930</v>
      </c>
      <c r="E29" s="317">
        <v>39326</v>
      </c>
      <c r="F29" s="304" t="s">
        <v>5</v>
      </c>
      <c r="G29" s="273" t="s">
        <v>1451</v>
      </c>
      <c r="H29" s="304" t="s">
        <v>816</v>
      </c>
      <c r="I29" s="278" t="s">
        <v>2438</v>
      </c>
      <c r="J29" s="318">
        <v>45000</v>
      </c>
      <c r="K29" s="318">
        <v>3578292</v>
      </c>
      <c r="L29" s="318">
        <v>2457549</v>
      </c>
      <c r="M29" s="318">
        <v>2457549</v>
      </c>
      <c r="N29" s="256">
        <v>54.612200000000001</v>
      </c>
      <c r="O29" s="318">
        <v>72</v>
      </c>
      <c r="P29" s="318">
        <v>22400</v>
      </c>
      <c r="Q29" s="318">
        <v>7500</v>
      </c>
      <c r="R29" s="318">
        <v>22400</v>
      </c>
      <c r="S29" s="318" t="s">
        <v>2</v>
      </c>
      <c r="T29" s="318">
        <v>119</v>
      </c>
      <c r="U29" s="318">
        <v>42250</v>
      </c>
      <c r="V29" s="318">
        <v>899258</v>
      </c>
      <c r="W29" s="318">
        <v>57929</v>
      </c>
      <c r="X29" s="349">
        <v>2.5861160714285716</v>
      </c>
      <c r="Y29" s="330" t="s">
        <v>339</v>
      </c>
      <c r="Z29" s="318" t="s">
        <v>75</v>
      </c>
      <c r="AA29" s="318">
        <v>42500</v>
      </c>
      <c r="AB29" s="318" t="s">
        <v>75</v>
      </c>
      <c r="AC29" s="318" t="s">
        <v>75</v>
      </c>
      <c r="AD29" s="318" t="s">
        <v>75</v>
      </c>
      <c r="AE29" s="318">
        <v>16900</v>
      </c>
      <c r="AF29" s="318" t="s">
        <v>75</v>
      </c>
      <c r="AG29" s="318" t="s">
        <v>75</v>
      </c>
      <c r="AH29" s="318" t="s">
        <v>75</v>
      </c>
      <c r="AI29" s="318" t="s">
        <v>75</v>
      </c>
      <c r="AJ29" s="254">
        <v>42500</v>
      </c>
      <c r="AK29" s="318">
        <v>135823</v>
      </c>
      <c r="AL29" s="318">
        <v>135823</v>
      </c>
      <c r="AM29" s="318">
        <f t="shared" ref="AM29:AM31" si="2">AL29/AJ29</f>
        <v>3.1958352941176469</v>
      </c>
      <c r="AN29" s="319"/>
      <c r="AO29" s="319" t="s">
        <v>75</v>
      </c>
      <c r="AP29" s="319" t="s">
        <v>75</v>
      </c>
      <c r="AQ29" s="319" t="s">
        <v>75</v>
      </c>
      <c r="AR29" s="319" t="s">
        <v>75</v>
      </c>
      <c r="AS29" s="319" t="s">
        <v>75</v>
      </c>
      <c r="AT29" s="319" t="s">
        <v>2</v>
      </c>
      <c r="AU29" s="319" t="s">
        <v>75</v>
      </c>
      <c r="AV29" s="363" t="s">
        <v>815</v>
      </c>
      <c r="AW29" s="357"/>
      <c r="AX29" s="357"/>
      <c r="AY29" s="357"/>
      <c r="AZ29" s="357"/>
      <c r="BA29" s="357"/>
      <c r="BB29" s="357"/>
      <c r="BC29" s="357"/>
      <c r="BD29" s="357"/>
      <c r="BE29" s="357"/>
      <c r="BF29" s="357"/>
      <c r="BG29" s="357"/>
      <c r="BH29" s="357"/>
      <c r="BI29" s="357"/>
      <c r="BJ29" s="357"/>
      <c r="BK29" s="357"/>
      <c r="BL29" s="357"/>
      <c r="BM29" s="357"/>
      <c r="BN29" s="357"/>
    </row>
    <row r="30" spans="1:219" s="342" customFormat="1" ht="18.75" customHeight="1">
      <c r="A30" s="260">
        <v>556</v>
      </c>
      <c r="B30" s="304" t="s">
        <v>607</v>
      </c>
      <c r="C30" s="304" t="s">
        <v>1299</v>
      </c>
      <c r="D30" s="317">
        <v>38930</v>
      </c>
      <c r="E30" s="317">
        <v>39083</v>
      </c>
      <c r="F30" s="304" t="s">
        <v>806</v>
      </c>
      <c r="G30" s="273" t="s">
        <v>1449</v>
      </c>
      <c r="H30" s="304" t="s">
        <v>805</v>
      </c>
      <c r="I30" s="254" t="s">
        <v>2331</v>
      </c>
      <c r="J30" s="318">
        <v>18520</v>
      </c>
      <c r="K30" s="318">
        <v>56000</v>
      </c>
      <c r="L30" s="318">
        <v>56000</v>
      </c>
      <c r="M30" s="318">
        <v>56000</v>
      </c>
      <c r="N30" s="256">
        <v>3.0237580993520519</v>
      </c>
      <c r="O30" s="318">
        <v>100</v>
      </c>
      <c r="P30" s="318">
        <v>18520</v>
      </c>
      <c r="Q30" s="318"/>
      <c r="R30" s="318">
        <v>18520</v>
      </c>
      <c r="S30" s="318" t="s">
        <v>849</v>
      </c>
      <c r="T30" s="318" t="s">
        <v>75</v>
      </c>
      <c r="U30" s="318">
        <v>18520</v>
      </c>
      <c r="V30" s="318" t="s">
        <v>75</v>
      </c>
      <c r="W30" s="318" t="s">
        <v>75</v>
      </c>
      <c r="X30" s="349"/>
      <c r="Y30" s="318" t="s">
        <v>75</v>
      </c>
      <c r="Z30" s="318" t="s">
        <v>75</v>
      </c>
      <c r="AA30" s="318" t="s">
        <v>75</v>
      </c>
      <c r="AB30" s="318" t="s">
        <v>75</v>
      </c>
      <c r="AC30" s="318" t="s">
        <v>75</v>
      </c>
      <c r="AD30" s="318" t="s">
        <v>75</v>
      </c>
      <c r="AE30" s="318" t="s">
        <v>75</v>
      </c>
      <c r="AF30" s="318" t="s">
        <v>75</v>
      </c>
      <c r="AG30" s="318" t="s">
        <v>75</v>
      </c>
      <c r="AH30" s="318" t="s">
        <v>75</v>
      </c>
      <c r="AI30" s="318" t="s">
        <v>75</v>
      </c>
      <c r="AJ30" s="254">
        <v>0</v>
      </c>
      <c r="AK30" s="318">
        <v>11533</v>
      </c>
      <c r="AL30" s="318">
        <v>11533</v>
      </c>
      <c r="AM30" s="318"/>
      <c r="AN30" s="319"/>
      <c r="AO30" s="319" t="s">
        <v>75</v>
      </c>
      <c r="AP30" s="319" t="s">
        <v>75</v>
      </c>
      <c r="AQ30" s="319" t="s">
        <v>75</v>
      </c>
      <c r="AR30" s="319" t="s">
        <v>75</v>
      </c>
      <c r="AS30" s="319" t="s">
        <v>75</v>
      </c>
      <c r="AT30" s="319" t="s">
        <v>75</v>
      </c>
      <c r="AU30" s="319" t="s">
        <v>75</v>
      </c>
      <c r="AV30" s="356" t="s">
        <v>804</v>
      </c>
      <c r="AW30" s="357"/>
      <c r="AX30" s="357"/>
      <c r="AY30" s="357"/>
      <c r="AZ30" s="357"/>
      <c r="BA30" s="357"/>
      <c r="BB30" s="357"/>
      <c r="BC30" s="357"/>
      <c r="BD30" s="357"/>
      <c r="BE30" s="357"/>
      <c r="BF30" s="357"/>
      <c r="BG30" s="357"/>
      <c r="BH30" s="357"/>
      <c r="BI30" s="357"/>
      <c r="BJ30" s="357"/>
      <c r="BK30" s="357"/>
      <c r="BL30" s="357"/>
      <c r="BM30" s="357"/>
      <c r="BN30" s="357"/>
    </row>
    <row r="31" spans="1:219" s="342" customFormat="1" ht="18.75" customHeight="1">
      <c r="A31" s="260">
        <v>557</v>
      </c>
      <c r="B31" s="384" t="s">
        <v>607</v>
      </c>
      <c r="C31" s="405" t="s">
        <v>1299</v>
      </c>
      <c r="D31" s="338">
        <v>38718</v>
      </c>
      <c r="E31" s="338">
        <v>39417</v>
      </c>
      <c r="F31" s="384" t="s">
        <v>79</v>
      </c>
      <c r="G31" s="254" t="s">
        <v>1451</v>
      </c>
      <c r="H31" s="405" t="s">
        <v>2040</v>
      </c>
      <c r="I31" s="278" t="s">
        <v>2438</v>
      </c>
      <c r="J31" s="334">
        <v>36341</v>
      </c>
      <c r="K31" s="334">
        <v>1877033</v>
      </c>
      <c r="L31" s="334">
        <v>1216102</v>
      </c>
      <c r="M31" s="334">
        <v>1216102</v>
      </c>
      <c r="N31" s="256">
        <v>33.463636113480639</v>
      </c>
      <c r="O31" s="334">
        <v>65</v>
      </c>
      <c r="P31" s="334">
        <v>25000</v>
      </c>
      <c r="Q31" s="334">
        <v>9400</v>
      </c>
      <c r="R31" s="334">
        <v>25000</v>
      </c>
      <c r="S31" s="405" t="s">
        <v>94</v>
      </c>
      <c r="T31" s="405">
        <v>465</v>
      </c>
      <c r="U31" s="405">
        <v>72000</v>
      </c>
      <c r="V31" s="334">
        <v>680222</v>
      </c>
      <c r="W31" s="334">
        <v>25291</v>
      </c>
      <c r="X31" s="349">
        <v>1.0116400000000001</v>
      </c>
      <c r="Y31" s="334"/>
      <c r="Z31" s="334"/>
      <c r="AA31" s="334">
        <v>72000</v>
      </c>
      <c r="AB31" s="334"/>
      <c r="AC31" s="334" t="s">
        <v>94</v>
      </c>
      <c r="AD31" s="334"/>
      <c r="AE31" s="334">
        <v>18300</v>
      </c>
      <c r="AF31" s="334"/>
      <c r="AG31" s="334"/>
      <c r="AH31" s="334"/>
      <c r="AI31" s="334"/>
      <c r="AJ31" s="254">
        <v>72000</v>
      </c>
      <c r="AK31" s="334">
        <v>164977</v>
      </c>
      <c r="AL31" s="334">
        <v>107235.05</v>
      </c>
      <c r="AM31" s="318">
        <f t="shared" si="2"/>
        <v>1.4893756944444445</v>
      </c>
      <c r="AN31" s="405"/>
      <c r="AO31" s="405"/>
      <c r="AP31" s="405"/>
      <c r="AQ31" s="405"/>
      <c r="AR31" s="405"/>
      <c r="AS31" s="405"/>
      <c r="AT31" s="405"/>
      <c r="AU31" s="405"/>
      <c r="AV31" s="406" t="s">
        <v>2041</v>
      </c>
      <c r="AW31" s="405"/>
      <c r="AX31" s="405"/>
      <c r="AY31" s="405"/>
      <c r="AZ31" s="405"/>
      <c r="BA31" s="405"/>
      <c r="BB31" s="405"/>
      <c r="BC31" s="405"/>
      <c r="BD31" s="405"/>
      <c r="BE31" s="405"/>
      <c r="BF31" s="405"/>
      <c r="BG31" s="405"/>
      <c r="BH31" s="405"/>
      <c r="BI31" s="405"/>
      <c r="BJ31" s="405"/>
      <c r="BK31" s="405"/>
      <c r="BL31" s="405"/>
      <c r="BM31" s="405"/>
      <c r="BN31" s="405"/>
    </row>
    <row r="32" spans="1:219" s="388" customFormat="1" ht="18.75" customHeight="1">
      <c r="A32" s="260">
        <v>558</v>
      </c>
      <c r="B32" s="278" t="s">
        <v>27</v>
      </c>
      <c r="C32" s="261" t="s">
        <v>1299</v>
      </c>
      <c r="D32" s="262">
        <v>38961</v>
      </c>
      <c r="E32" s="262">
        <v>39356</v>
      </c>
      <c r="F32" s="312" t="s">
        <v>512</v>
      </c>
      <c r="G32" s="252" t="s">
        <v>1452</v>
      </c>
      <c r="H32" s="278" t="s">
        <v>592</v>
      </c>
      <c r="I32" s="254" t="s">
        <v>2331</v>
      </c>
      <c r="J32" s="263">
        <v>5600</v>
      </c>
      <c r="K32" s="263">
        <v>45001</v>
      </c>
      <c r="L32" s="263">
        <v>44751</v>
      </c>
      <c r="M32" s="263">
        <v>44751</v>
      </c>
      <c r="N32" s="256">
        <v>7.99125</v>
      </c>
      <c r="O32" s="263">
        <v>99</v>
      </c>
      <c r="P32" s="263" t="s">
        <v>75</v>
      </c>
      <c r="Q32" s="263" t="s">
        <v>75</v>
      </c>
      <c r="R32" s="263">
        <v>5600</v>
      </c>
      <c r="S32" s="263" t="s">
        <v>95</v>
      </c>
      <c r="T32" s="263">
        <v>120</v>
      </c>
      <c r="U32" s="263">
        <v>5600</v>
      </c>
      <c r="V32" s="263" t="s">
        <v>75</v>
      </c>
      <c r="W32" s="263" t="s">
        <v>75</v>
      </c>
      <c r="X32" s="349"/>
      <c r="Y32" s="263" t="s">
        <v>75</v>
      </c>
      <c r="Z32" s="263" t="s">
        <v>75</v>
      </c>
      <c r="AA32" s="263" t="s">
        <v>75</v>
      </c>
      <c r="AB32" s="263" t="s">
        <v>75</v>
      </c>
      <c r="AC32" s="263" t="s">
        <v>75</v>
      </c>
      <c r="AD32" s="263" t="s">
        <v>75</v>
      </c>
      <c r="AE32" s="263">
        <v>552</v>
      </c>
      <c r="AF32" s="263" t="s">
        <v>75</v>
      </c>
      <c r="AG32" s="263" t="s">
        <v>75</v>
      </c>
      <c r="AH32" s="263" t="s">
        <v>75</v>
      </c>
      <c r="AI32" s="263" t="s">
        <v>75</v>
      </c>
      <c r="AJ32" s="259">
        <v>0</v>
      </c>
      <c r="AK32" s="263" t="s">
        <v>75</v>
      </c>
      <c r="AL32" s="263" t="s">
        <v>75</v>
      </c>
      <c r="AM32" s="263"/>
      <c r="AN32" s="261"/>
      <c r="AO32" s="264" t="s">
        <v>75</v>
      </c>
      <c r="AP32" s="264" t="s">
        <v>75</v>
      </c>
      <c r="AQ32" s="264" t="s">
        <v>75</v>
      </c>
      <c r="AR32" s="264" t="s">
        <v>75</v>
      </c>
      <c r="AS32" s="264" t="s">
        <v>75</v>
      </c>
      <c r="AT32" s="264" t="s">
        <v>75</v>
      </c>
      <c r="AU32" s="264" t="s">
        <v>75</v>
      </c>
      <c r="AV32" s="276" t="s">
        <v>591</v>
      </c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42"/>
      <c r="BP32" s="342"/>
      <c r="BQ32" s="342"/>
      <c r="BR32" s="342"/>
      <c r="BS32" s="342"/>
      <c r="BT32" s="342"/>
      <c r="BU32" s="342"/>
      <c r="BV32" s="342"/>
      <c r="BW32" s="342"/>
      <c r="BX32" s="342"/>
      <c r="BY32" s="342"/>
      <c r="BZ32" s="342"/>
      <c r="CA32" s="342"/>
      <c r="CB32" s="342"/>
      <c r="CC32" s="342"/>
      <c r="CD32" s="342"/>
      <c r="CE32" s="342"/>
      <c r="CF32" s="342"/>
      <c r="CG32" s="342"/>
      <c r="CH32" s="342"/>
      <c r="CI32" s="342"/>
      <c r="CJ32" s="342"/>
      <c r="CK32" s="342"/>
      <c r="CL32" s="342"/>
      <c r="CM32" s="342"/>
      <c r="CN32" s="342"/>
      <c r="CO32" s="342"/>
      <c r="CP32" s="342"/>
      <c r="CQ32" s="342"/>
      <c r="CR32" s="342"/>
      <c r="CS32" s="342"/>
      <c r="CT32" s="342"/>
      <c r="CU32" s="342"/>
      <c r="CV32" s="342"/>
      <c r="CW32" s="342"/>
      <c r="CX32" s="342"/>
      <c r="CY32" s="342"/>
      <c r="CZ32" s="342"/>
      <c r="DA32" s="342"/>
      <c r="DB32" s="342"/>
      <c r="DC32" s="342"/>
      <c r="DD32" s="342"/>
      <c r="DE32" s="342"/>
      <c r="DF32" s="342"/>
      <c r="DG32" s="342"/>
      <c r="DH32" s="342"/>
      <c r="DI32" s="342"/>
      <c r="DJ32" s="342"/>
      <c r="DK32" s="342"/>
      <c r="DL32" s="342"/>
      <c r="DM32" s="342"/>
      <c r="DN32" s="342"/>
      <c r="DO32" s="342"/>
      <c r="DP32" s="342"/>
      <c r="DQ32" s="342"/>
      <c r="DR32" s="342"/>
      <c r="DS32" s="342"/>
      <c r="DT32" s="342"/>
      <c r="DU32" s="342"/>
      <c r="DV32" s="342"/>
      <c r="DW32" s="342"/>
      <c r="DX32" s="342"/>
      <c r="DY32" s="342"/>
      <c r="DZ32" s="342"/>
      <c r="EA32" s="342"/>
      <c r="EB32" s="342"/>
      <c r="EC32" s="342"/>
      <c r="ED32" s="342"/>
      <c r="EE32" s="342"/>
      <c r="EF32" s="342"/>
      <c r="EG32" s="342"/>
      <c r="EH32" s="342"/>
      <c r="EI32" s="342"/>
      <c r="EJ32" s="342"/>
      <c r="EK32" s="342"/>
      <c r="EL32" s="342"/>
      <c r="EM32" s="342"/>
      <c r="EN32" s="342"/>
      <c r="EO32" s="342"/>
      <c r="EP32" s="342"/>
      <c r="EQ32" s="342"/>
      <c r="ER32" s="342"/>
      <c r="ES32" s="342"/>
      <c r="ET32" s="342"/>
      <c r="EU32" s="342"/>
      <c r="EV32" s="342"/>
      <c r="EW32" s="342"/>
      <c r="EX32" s="342"/>
      <c r="EY32" s="342"/>
      <c r="EZ32" s="342"/>
      <c r="FA32" s="342"/>
      <c r="FB32" s="342"/>
      <c r="FC32" s="342"/>
      <c r="FD32" s="342"/>
      <c r="FE32" s="342"/>
      <c r="FF32" s="342"/>
      <c r="FG32" s="342"/>
      <c r="FH32" s="342"/>
      <c r="FI32" s="342"/>
      <c r="FJ32" s="342"/>
      <c r="FK32" s="342"/>
      <c r="FL32" s="342"/>
      <c r="FM32" s="342"/>
      <c r="FN32" s="342"/>
      <c r="FO32" s="342"/>
      <c r="FP32" s="342"/>
      <c r="FQ32" s="342"/>
      <c r="FR32" s="342"/>
      <c r="FS32" s="342"/>
      <c r="FT32" s="342"/>
      <c r="FU32" s="342"/>
      <c r="FV32" s="342"/>
      <c r="FW32" s="342"/>
      <c r="FX32" s="342"/>
      <c r="FY32" s="342"/>
      <c r="FZ32" s="342"/>
      <c r="GA32" s="342"/>
      <c r="GB32" s="342"/>
      <c r="GC32" s="342"/>
      <c r="GD32" s="342"/>
      <c r="GE32" s="342"/>
      <c r="GF32" s="342"/>
      <c r="GG32" s="342"/>
      <c r="GH32" s="342"/>
      <c r="GI32" s="342"/>
      <c r="GJ32" s="342"/>
      <c r="GK32" s="342"/>
      <c r="GL32" s="342"/>
      <c r="GM32" s="342"/>
      <c r="GN32" s="342"/>
      <c r="GO32" s="342"/>
      <c r="GP32" s="342"/>
      <c r="GQ32" s="342"/>
      <c r="GR32" s="342"/>
      <c r="GS32" s="342"/>
      <c r="GT32" s="342"/>
      <c r="GU32" s="342"/>
      <c r="GV32" s="342"/>
      <c r="GW32" s="342"/>
      <c r="GX32" s="342"/>
      <c r="GY32" s="342"/>
      <c r="GZ32" s="342"/>
      <c r="HA32" s="342"/>
      <c r="HB32" s="342"/>
      <c r="HC32" s="342"/>
      <c r="HD32" s="342"/>
      <c r="HE32" s="342"/>
      <c r="HF32" s="342"/>
      <c r="HG32" s="342"/>
      <c r="HH32" s="342"/>
      <c r="HI32" s="342"/>
      <c r="HJ32" s="342"/>
      <c r="HK32" s="342"/>
    </row>
    <row r="33" spans="1:219" s="388" customFormat="1" ht="18.75" customHeight="1">
      <c r="A33" s="260">
        <v>559</v>
      </c>
      <c r="B33" s="304" t="s">
        <v>27</v>
      </c>
      <c r="C33" s="304" t="s">
        <v>1299</v>
      </c>
      <c r="D33" s="317">
        <v>39022</v>
      </c>
      <c r="E33" s="317">
        <v>39356</v>
      </c>
      <c r="F33" s="304" t="s">
        <v>781</v>
      </c>
      <c r="G33" s="252" t="s">
        <v>1464</v>
      </c>
      <c r="H33" s="304" t="s">
        <v>780</v>
      </c>
      <c r="I33" s="254" t="s">
        <v>2331</v>
      </c>
      <c r="J33" s="318">
        <v>2000</v>
      </c>
      <c r="K33" s="318">
        <v>20325</v>
      </c>
      <c r="L33" s="318">
        <v>20189</v>
      </c>
      <c r="M33" s="318">
        <v>20189</v>
      </c>
      <c r="N33" s="256">
        <v>10.0945</v>
      </c>
      <c r="O33" s="318">
        <v>99</v>
      </c>
      <c r="P33" s="318" t="s">
        <v>75</v>
      </c>
      <c r="Q33" s="318" t="s">
        <v>75</v>
      </c>
      <c r="R33" s="318" t="s">
        <v>75</v>
      </c>
      <c r="S33" s="318" t="s">
        <v>849</v>
      </c>
      <c r="T33" s="318" t="s">
        <v>75</v>
      </c>
      <c r="U33" s="318" t="s">
        <v>75</v>
      </c>
      <c r="V33" s="318" t="s">
        <v>75</v>
      </c>
      <c r="W33" s="318" t="s">
        <v>75</v>
      </c>
      <c r="X33" s="318"/>
      <c r="Y33" s="318" t="s">
        <v>75</v>
      </c>
      <c r="Z33" s="318" t="s">
        <v>75</v>
      </c>
      <c r="AA33" s="318" t="s">
        <v>75</v>
      </c>
      <c r="AB33" s="318">
        <v>45</v>
      </c>
      <c r="AC33" s="318" t="s">
        <v>75</v>
      </c>
      <c r="AD33" s="318" t="s">
        <v>75</v>
      </c>
      <c r="AE33" s="318" t="s">
        <v>75</v>
      </c>
      <c r="AF33" s="318" t="s">
        <v>75</v>
      </c>
      <c r="AG33" s="318" t="s">
        <v>75</v>
      </c>
      <c r="AH33" s="318" t="s">
        <v>75</v>
      </c>
      <c r="AI33" s="318" t="s">
        <v>75</v>
      </c>
      <c r="AJ33" s="259">
        <v>0</v>
      </c>
      <c r="AK33" s="318">
        <v>10488</v>
      </c>
      <c r="AL33" s="318">
        <v>10383.120000000001</v>
      </c>
      <c r="AM33" s="318"/>
      <c r="AN33" s="319"/>
      <c r="AO33" s="319" t="s">
        <v>75</v>
      </c>
      <c r="AP33" s="319" t="s">
        <v>75</v>
      </c>
      <c r="AQ33" s="319" t="s">
        <v>75</v>
      </c>
      <c r="AR33" s="319" t="s">
        <v>75</v>
      </c>
      <c r="AS33" s="319" t="s">
        <v>75</v>
      </c>
      <c r="AT33" s="319" t="s">
        <v>75</v>
      </c>
      <c r="AU33" s="319" t="s">
        <v>75</v>
      </c>
      <c r="AV33" s="356" t="s">
        <v>779</v>
      </c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  <c r="BG33" s="357"/>
      <c r="BH33" s="357"/>
      <c r="BI33" s="357"/>
      <c r="BJ33" s="357"/>
      <c r="BK33" s="357"/>
      <c r="BL33" s="357"/>
      <c r="BM33" s="357"/>
      <c r="BN33" s="357"/>
      <c r="BO33" s="342"/>
      <c r="BP33" s="342"/>
      <c r="BQ33" s="342"/>
      <c r="BR33" s="342"/>
      <c r="BS33" s="342"/>
      <c r="BT33" s="342"/>
      <c r="BU33" s="342"/>
      <c r="BV33" s="342"/>
      <c r="BW33" s="342"/>
      <c r="BX33" s="342"/>
      <c r="BY33" s="342"/>
      <c r="BZ33" s="342"/>
      <c r="CA33" s="342"/>
      <c r="CB33" s="342"/>
      <c r="CC33" s="342"/>
      <c r="CD33" s="342"/>
      <c r="CE33" s="342"/>
      <c r="CF33" s="342"/>
      <c r="CG33" s="342"/>
      <c r="CH33" s="342"/>
      <c r="CI33" s="342"/>
      <c r="CJ33" s="342"/>
      <c r="CK33" s="342"/>
      <c r="CL33" s="342"/>
      <c r="CM33" s="342"/>
      <c r="CN33" s="342"/>
      <c r="CO33" s="342"/>
      <c r="CP33" s="342"/>
      <c r="CQ33" s="342"/>
      <c r="CR33" s="342"/>
      <c r="CS33" s="342"/>
      <c r="CT33" s="342"/>
      <c r="CU33" s="342"/>
      <c r="CV33" s="342"/>
      <c r="CW33" s="342"/>
      <c r="CX33" s="342"/>
      <c r="CY33" s="342"/>
      <c r="CZ33" s="342"/>
      <c r="DA33" s="342"/>
      <c r="DB33" s="342"/>
      <c r="DC33" s="342"/>
      <c r="DD33" s="342"/>
      <c r="DE33" s="342"/>
      <c r="DF33" s="342"/>
      <c r="DG33" s="342"/>
      <c r="DH33" s="342"/>
      <c r="DI33" s="342"/>
      <c r="DJ33" s="342"/>
      <c r="DK33" s="342"/>
      <c r="DL33" s="342"/>
      <c r="DM33" s="342"/>
      <c r="DN33" s="342"/>
      <c r="DO33" s="342"/>
      <c r="DP33" s="342"/>
      <c r="DQ33" s="342"/>
      <c r="DR33" s="342"/>
      <c r="DS33" s="342"/>
      <c r="DT33" s="342"/>
      <c r="DU33" s="342"/>
      <c r="DV33" s="342"/>
      <c r="DW33" s="342"/>
      <c r="DX33" s="342"/>
      <c r="DY33" s="342"/>
      <c r="DZ33" s="342"/>
      <c r="EA33" s="342"/>
      <c r="EB33" s="342"/>
      <c r="EC33" s="342"/>
      <c r="ED33" s="342"/>
      <c r="EE33" s="342"/>
      <c r="EF33" s="342"/>
      <c r="EG33" s="342"/>
      <c r="EH33" s="342"/>
      <c r="EI33" s="342"/>
      <c r="EJ33" s="342"/>
      <c r="EK33" s="342"/>
      <c r="EL33" s="342"/>
      <c r="EM33" s="342"/>
      <c r="EN33" s="342"/>
      <c r="EO33" s="342"/>
      <c r="EP33" s="342"/>
      <c r="EQ33" s="342"/>
      <c r="ER33" s="342"/>
      <c r="ES33" s="342"/>
      <c r="ET33" s="342"/>
      <c r="EU33" s="342"/>
      <c r="EV33" s="342"/>
      <c r="EW33" s="342"/>
      <c r="EX33" s="342"/>
      <c r="EY33" s="342"/>
      <c r="EZ33" s="342"/>
      <c r="FA33" s="342"/>
      <c r="FB33" s="342"/>
      <c r="FC33" s="342"/>
      <c r="FD33" s="342"/>
      <c r="FE33" s="342"/>
      <c r="FF33" s="342"/>
      <c r="FG33" s="342"/>
      <c r="FH33" s="342"/>
      <c r="FI33" s="342"/>
      <c r="FJ33" s="342"/>
      <c r="FK33" s="342"/>
      <c r="FL33" s="342"/>
      <c r="FM33" s="342"/>
      <c r="FN33" s="342"/>
      <c r="FO33" s="342"/>
      <c r="FP33" s="342"/>
      <c r="FQ33" s="342"/>
      <c r="FR33" s="342"/>
      <c r="FS33" s="342"/>
      <c r="FT33" s="342"/>
      <c r="FU33" s="342"/>
      <c r="FV33" s="342"/>
      <c r="FW33" s="342"/>
      <c r="FX33" s="342"/>
      <c r="FY33" s="342"/>
      <c r="FZ33" s="342"/>
      <c r="GA33" s="342"/>
      <c r="GB33" s="342"/>
      <c r="GC33" s="342"/>
      <c r="GD33" s="342"/>
      <c r="GE33" s="342"/>
      <c r="GF33" s="342"/>
      <c r="GG33" s="342"/>
      <c r="GH33" s="342"/>
      <c r="GI33" s="342"/>
      <c r="GJ33" s="342"/>
      <c r="GK33" s="342"/>
      <c r="GL33" s="342"/>
      <c r="GM33" s="342"/>
      <c r="GN33" s="342"/>
      <c r="GO33" s="342"/>
      <c r="GP33" s="342"/>
      <c r="GQ33" s="342"/>
      <c r="GR33" s="342"/>
      <c r="GS33" s="342"/>
      <c r="GT33" s="342"/>
      <c r="GU33" s="342"/>
      <c r="GV33" s="342"/>
      <c r="GW33" s="342"/>
      <c r="GX33" s="342"/>
      <c r="GY33" s="342"/>
      <c r="GZ33" s="342"/>
      <c r="HA33" s="342"/>
      <c r="HB33" s="342"/>
      <c r="HC33" s="342"/>
      <c r="HD33" s="342"/>
      <c r="HE33" s="342"/>
      <c r="HF33" s="342"/>
      <c r="HG33" s="342"/>
      <c r="HH33" s="342"/>
      <c r="HI33" s="342"/>
      <c r="HJ33" s="342"/>
      <c r="HK33" s="342"/>
    </row>
    <row r="34" spans="1:219" s="388" customFormat="1" ht="18.75" customHeight="1">
      <c r="A34" s="260">
        <v>560</v>
      </c>
      <c r="B34" s="377" t="s">
        <v>167</v>
      </c>
      <c r="C34" s="377" t="s">
        <v>1299</v>
      </c>
      <c r="D34" s="325">
        <v>38869</v>
      </c>
      <c r="E34" s="325">
        <v>38899</v>
      </c>
      <c r="F34" s="377" t="s">
        <v>168</v>
      </c>
      <c r="G34" s="252" t="s">
        <v>1449</v>
      </c>
      <c r="H34" s="304" t="s">
        <v>166</v>
      </c>
      <c r="I34" s="254" t="s">
        <v>2331</v>
      </c>
      <c r="J34" s="318">
        <v>110085</v>
      </c>
      <c r="K34" s="327">
        <v>20000</v>
      </c>
      <c r="L34" s="327">
        <v>18562</v>
      </c>
      <c r="M34" s="318">
        <v>18562</v>
      </c>
      <c r="N34" s="256">
        <v>0.16861516101194532</v>
      </c>
      <c r="O34" s="318">
        <v>92.81</v>
      </c>
      <c r="P34" s="327"/>
      <c r="Q34" s="327"/>
      <c r="R34" s="318"/>
      <c r="S34" s="318" t="s">
        <v>233</v>
      </c>
      <c r="T34" s="327" t="s">
        <v>75</v>
      </c>
      <c r="U34" s="318">
        <v>110085</v>
      </c>
      <c r="V34" s="318">
        <v>0</v>
      </c>
      <c r="W34" s="318">
        <v>332</v>
      </c>
      <c r="X34" s="318"/>
      <c r="Y34" s="318">
        <v>110085</v>
      </c>
      <c r="Z34" s="318"/>
      <c r="AA34" s="318">
        <v>110085</v>
      </c>
      <c r="AB34" s="327">
        <v>135</v>
      </c>
      <c r="AC34" s="318"/>
      <c r="AD34" s="348"/>
      <c r="AE34" s="327"/>
      <c r="AF34" s="327" t="s">
        <v>75</v>
      </c>
      <c r="AG34" s="327" t="s">
        <v>75</v>
      </c>
      <c r="AH34" s="318"/>
      <c r="AI34" s="327"/>
      <c r="AJ34" s="259">
        <v>110085</v>
      </c>
      <c r="AK34" s="318">
        <v>420</v>
      </c>
      <c r="AL34" s="318">
        <v>130</v>
      </c>
      <c r="AM34" s="318">
        <f t="shared" ref="AM34" si="3">AL34/AJ34</f>
        <v>1.1809056638052413E-3</v>
      </c>
      <c r="AO34" s="342" t="s">
        <v>75</v>
      </c>
      <c r="AP34" s="342" t="s">
        <v>75</v>
      </c>
      <c r="AQ34" s="342" t="s">
        <v>75</v>
      </c>
      <c r="AR34" s="342" t="s">
        <v>75</v>
      </c>
      <c r="AS34" s="342" t="s">
        <v>75</v>
      </c>
      <c r="AT34" s="342" t="s">
        <v>75</v>
      </c>
      <c r="AU34" s="342" t="s">
        <v>75</v>
      </c>
      <c r="AV34" s="404" t="s">
        <v>169</v>
      </c>
      <c r="BN34" s="342"/>
      <c r="BO34" s="342"/>
      <c r="BP34" s="342"/>
      <c r="BQ34" s="342"/>
      <c r="BR34" s="342"/>
      <c r="BS34" s="342"/>
      <c r="BT34" s="342"/>
      <c r="BU34" s="342"/>
      <c r="BV34" s="342"/>
      <c r="BW34" s="342"/>
      <c r="BX34" s="342"/>
      <c r="BY34" s="342"/>
      <c r="BZ34" s="342"/>
      <c r="CA34" s="342"/>
      <c r="CB34" s="342"/>
      <c r="CC34" s="342"/>
      <c r="CD34" s="342"/>
      <c r="CE34" s="342"/>
      <c r="CF34" s="342"/>
      <c r="CG34" s="342"/>
      <c r="CH34" s="342"/>
      <c r="CI34" s="342"/>
      <c r="CJ34" s="342"/>
      <c r="CK34" s="342"/>
      <c r="CL34" s="342"/>
      <c r="CM34" s="342"/>
      <c r="CN34" s="342"/>
      <c r="CO34" s="342"/>
      <c r="CP34" s="342"/>
      <c r="CQ34" s="342"/>
      <c r="CR34" s="342"/>
      <c r="CS34" s="342"/>
      <c r="CT34" s="342"/>
      <c r="CU34" s="342"/>
      <c r="CV34" s="342"/>
      <c r="CW34" s="342"/>
      <c r="CX34" s="342"/>
      <c r="CY34" s="342"/>
      <c r="CZ34" s="342"/>
      <c r="DA34" s="342"/>
      <c r="DB34" s="342"/>
      <c r="DC34" s="342"/>
      <c r="DD34" s="342"/>
      <c r="DE34" s="342"/>
      <c r="DF34" s="342"/>
      <c r="DG34" s="342"/>
      <c r="DH34" s="342"/>
      <c r="DI34" s="342"/>
      <c r="DJ34" s="342"/>
      <c r="DK34" s="342"/>
      <c r="DL34" s="342"/>
      <c r="DM34" s="342"/>
      <c r="DN34" s="342"/>
      <c r="DO34" s="342"/>
      <c r="DP34" s="342"/>
      <c r="DQ34" s="342"/>
      <c r="DR34" s="342"/>
      <c r="DS34" s="342"/>
      <c r="DT34" s="342"/>
      <c r="DU34" s="342"/>
      <c r="DV34" s="342"/>
      <c r="DW34" s="342"/>
      <c r="DX34" s="342"/>
      <c r="DY34" s="342"/>
      <c r="DZ34" s="342"/>
      <c r="EA34" s="342"/>
      <c r="EB34" s="342"/>
      <c r="EC34" s="342"/>
      <c r="ED34" s="342"/>
      <c r="EE34" s="342"/>
      <c r="EF34" s="342"/>
      <c r="EG34" s="342"/>
      <c r="EH34" s="342"/>
      <c r="EI34" s="342"/>
      <c r="EJ34" s="342"/>
      <c r="EK34" s="342"/>
      <c r="EL34" s="342"/>
      <c r="EM34" s="342"/>
      <c r="EN34" s="342"/>
      <c r="EO34" s="342"/>
      <c r="EP34" s="342"/>
      <c r="EQ34" s="342"/>
      <c r="ER34" s="342"/>
      <c r="ES34" s="342"/>
      <c r="ET34" s="342"/>
      <c r="EU34" s="342"/>
      <c r="EV34" s="342"/>
      <c r="EW34" s="342"/>
      <c r="EX34" s="342"/>
      <c r="EY34" s="342"/>
      <c r="EZ34" s="342"/>
      <c r="FA34" s="342"/>
      <c r="FB34" s="342"/>
      <c r="FC34" s="342"/>
      <c r="FD34" s="342"/>
      <c r="FE34" s="342"/>
      <c r="FF34" s="342"/>
      <c r="FG34" s="342"/>
      <c r="FH34" s="342"/>
      <c r="FI34" s="342"/>
      <c r="FJ34" s="342"/>
      <c r="FK34" s="342"/>
      <c r="FL34" s="342"/>
      <c r="FM34" s="342"/>
      <c r="FN34" s="342"/>
      <c r="FO34" s="342"/>
      <c r="FP34" s="342"/>
      <c r="FQ34" s="342"/>
      <c r="FR34" s="342"/>
      <c r="FS34" s="342"/>
      <c r="FT34" s="342"/>
      <c r="FU34" s="342"/>
      <c r="FV34" s="342"/>
      <c r="FW34" s="342"/>
      <c r="FX34" s="342"/>
      <c r="FY34" s="342"/>
      <c r="FZ34" s="342"/>
      <c r="GA34" s="342"/>
      <c r="GB34" s="342"/>
      <c r="GC34" s="342"/>
      <c r="GD34" s="342"/>
      <c r="GE34" s="342"/>
      <c r="GF34" s="342"/>
      <c r="GG34" s="342"/>
      <c r="GH34" s="342"/>
      <c r="GI34" s="342"/>
      <c r="GJ34" s="342"/>
      <c r="GK34" s="342"/>
      <c r="GL34" s="342"/>
      <c r="GM34" s="342"/>
      <c r="GN34" s="342"/>
      <c r="GO34" s="342"/>
      <c r="GP34" s="342"/>
      <c r="GQ34" s="342"/>
      <c r="GR34" s="342"/>
      <c r="GS34" s="342"/>
      <c r="GT34" s="342"/>
      <c r="GU34" s="342"/>
      <c r="GV34" s="342"/>
      <c r="GW34" s="342"/>
      <c r="GX34" s="342"/>
      <c r="GY34" s="342"/>
      <c r="GZ34" s="342"/>
      <c r="HA34" s="342"/>
      <c r="HB34" s="342"/>
      <c r="HC34" s="342"/>
      <c r="HD34" s="342"/>
      <c r="HE34" s="342"/>
      <c r="HF34" s="342"/>
      <c r="HG34" s="342"/>
      <c r="HH34" s="342"/>
      <c r="HI34" s="342"/>
      <c r="HJ34" s="342"/>
      <c r="HK34" s="342"/>
    </row>
    <row r="35" spans="1:219" s="388" customFormat="1" ht="18.75" customHeight="1">
      <c r="A35" s="260">
        <v>561</v>
      </c>
      <c r="B35" s="377" t="s">
        <v>18</v>
      </c>
      <c r="C35" s="388" t="s">
        <v>1286</v>
      </c>
      <c r="D35" s="325">
        <v>39052</v>
      </c>
      <c r="E35" s="325">
        <v>39173</v>
      </c>
      <c r="F35" s="377" t="s">
        <v>5</v>
      </c>
      <c r="G35" s="252" t="s">
        <v>1451</v>
      </c>
      <c r="H35" s="304" t="s">
        <v>155</v>
      </c>
      <c r="I35" s="278" t="s">
        <v>2438</v>
      </c>
      <c r="J35" s="318">
        <v>11845</v>
      </c>
      <c r="K35" s="327">
        <v>418501</v>
      </c>
      <c r="L35" s="327">
        <v>397680</v>
      </c>
      <c r="M35" s="318">
        <v>395230</v>
      </c>
      <c r="N35" s="256">
        <v>33.366821443647112</v>
      </c>
      <c r="O35" s="327">
        <v>95</v>
      </c>
      <c r="P35" s="327"/>
      <c r="Q35" s="327"/>
      <c r="R35" s="318" t="s">
        <v>2</v>
      </c>
      <c r="S35" s="318" t="s">
        <v>233</v>
      </c>
      <c r="T35" s="327">
        <v>100</v>
      </c>
      <c r="U35" s="318"/>
      <c r="V35" s="318">
        <v>56000</v>
      </c>
      <c r="W35" s="318">
        <v>22542</v>
      </c>
      <c r="X35" s="318"/>
      <c r="Y35" s="318"/>
      <c r="Z35" s="318"/>
      <c r="AA35" s="318"/>
      <c r="AB35" s="327"/>
      <c r="AC35" s="318"/>
      <c r="AD35" s="318"/>
      <c r="AE35" s="327">
        <v>4738</v>
      </c>
      <c r="AF35" s="327" t="s">
        <v>75</v>
      </c>
      <c r="AG35" s="327" t="s">
        <v>75</v>
      </c>
      <c r="AH35" s="318"/>
      <c r="AI35" s="327"/>
      <c r="AJ35" s="259">
        <v>0</v>
      </c>
      <c r="AK35" s="318" t="s">
        <v>66</v>
      </c>
      <c r="AL35" s="318" t="s">
        <v>66</v>
      </c>
      <c r="AM35" s="318"/>
      <c r="AO35" s="342" t="s">
        <v>75</v>
      </c>
      <c r="AP35" s="342" t="s">
        <v>75</v>
      </c>
      <c r="AQ35" s="342" t="s">
        <v>75</v>
      </c>
      <c r="AR35" s="342" t="s">
        <v>75</v>
      </c>
      <c r="AS35" s="342" t="s">
        <v>75</v>
      </c>
      <c r="AT35" s="342" t="s">
        <v>136</v>
      </c>
      <c r="AU35" s="342"/>
      <c r="AV35" s="404" t="s">
        <v>156</v>
      </c>
      <c r="BN35" s="342"/>
      <c r="BO35" s="342"/>
      <c r="BP35" s="342"/>
      <c r="BQ35" s="342"/>
      <c r="BR35" s="342"/>
      <c r="BS35" s="342"/>
      <c r="BT35" s="342"/>
      <c r="BU35" s="342"/>
      <c r="BV35" s="342"/>
      <c r="BW35" s="342"/>
      <c r="BX35" s="342"/>
      <c r="BY35" s="342"/>
      <c r="BZ35" s="342"/>
      <c r="CA35" s="342"/>
      <c r="CB35" s="342"/>
      <c r="CC35" s="342"/>
      <c r="CD35" s="342"/>
      <c r="CE35" s="342"/>
      <c r="CF35" s="342"/>
      <c r="CG35" s="342"/>
      <c r="CH35" s="342"/>
      <c r="CI35" s="342"/>
      <c r="CJ35" s="342"/>
      <c r="CK35" s="342"/>
      <c r="CL35" s="342"/>
      <c r="CM35" s="342"/>
      <c r="CN35" s="342"/>
      <c r="CO35" s="342"/>
      <c r="CP35" s="342"/>
      <c r="CQ35" s="342"/>
      <c r="CR35" s="342"/>
      <c r="CS35" s="342"/>
      <c r="CT35" s="342"/>
      <c r="CU35" s="342"/>
      <c r="CV35" s="342"/>
      <c r="CW35" s="342"/>
      <c r="CX35" s="342"/>
      <c r="CY35" s="342"/>
      <c r="CZ35" s="342"/>
      <c r="DA35" s="342"/>
      <c r="DB35" s="342"/>
      <c r="DC35" s="342"/>
      <c r="DD35" s="342"/>
      <c r="DE35" s="342"/>
      <c r="DF35" s="342"/>
      <c r="DG35" s="342"/>
      <c r="DH35" s="342"/>
      <c r="DI35" s="342"/>
      <c r="DJ35" s="342"/>
      <c r="DK35" s="342"/>
      <c r="DL35" s="342"/>
      <c r="DM35" s="342"/>
      <c r="DN35" s="342"/>
      <c r="DO35" s="342"/>
      <c r="DP35" s="342"/>
      <c r="DQ35" s="342"/>
      <c r="DR35" s="342"/>
      <c r="DS35" s="342"/>
      <c r="DT35" s="342"/>
      <c r="DU35" s="342"/>
      <c r="DV35" s="342"/>
      <c r="DW35" s="342"/>
      <c r="DX35" s="342"/>
      <c r="DY35" s="342"/>
      <c r="DZ35" s="342"/>
      <c r="EA35" s="342"/>
      <c r="EB35" s="342"/>
      <c r="EC35" s="342"/>
      <c r="ED35" s="342"/>
      <c r="EE35" s="342"/>
      <c r="EF35" s="342"/>
      <c r="EG35" s="342"/>
      <c r="EH35" s="342"/>
      <c r="EI35" s="342"/>
      <c r="EJ35" s="342"/>
      <c r="EK35" s="342"/>
      <c r="EL35" s="342"/>
      <c r="EM35" s="342"/>
      <c r="EN35" s="342"/>
      <c r="EO35" s="342"/>
      <c r="EP35" s="342"/>
      <c r="EQ35" s="342"/>
      <c r="ER35" s="342"/>
      <c r="ES35" s="342"/>
      <c r="ET35" s="342"/>
      <c r="EU35" s="342"/>
      <c r="EV35" s="342"/>
      <c r="EW35" s="342"/>
      <c r="EX35" s="342"/>
      <c r="EY35" s="342"/>
      <c r="EZ35" s="342"/>
      <c r="FA35" s="342"/>
      <c r="FB35" s="342"/>
      <c r="FC35" s="342"/>
      <c r="FD35" s="342"/>
      <c r="FE35" s="342"/>
      <c r="FF35" s="342"/>
      <c r="FG35" s="342"/>
      <c r="FH35" s="342"/>
      <c r="FI35" s="342"/>
      <c r="FJ35" s="342"/>
      <c r="FK35" s="342"/>
      <c r="FL35" s="342"/>
      <c r="FM35" s="342"/>
      <c r="FN35" s="342"/>
      <c r="FO35" s="342"/>
      <c r="FP35" s="342"/>
      <c r="FQ35" s="342"/>
      <c r="FR35" s="342"/>
      <c r="FS35" s="342"/>
      <c r="FT35" s="342"/>
      <c r="FU35" s="342"/>
      <c r="FV35" s="342"/>
      <c r="FW35" s="342"/>
      <c r="FX35" s="342"/>
      <c r="FY35" s="342"/>
      <c r="FZ35" s="342"/>
      <c r="GA35" s="342"/>
      <c r="GB35" s="342"/>
      <c r="GC35" s="342"/>
      <c r="GD35" s="342"/>
      <c r="GE35" s="342"/>
      <c r="GF35" s="342"/>
      <c r="GG35" s="342"/>
      <c r="GH35" s="342"/>
      <c r="GI35" s="342"/>
      <c r="GJ35" s="342"/>
      <c r="GK35" s="342"/>
      <c r="GL35" s="342"/>
      <c r="GM35" s="342"/>
      <c r="GN35" s="342"/>
      <c r="GO35" s="342"/>
      <c r="GP35" s="342"/>
      <c r="GQ35" s="342"/>
      <c r="GR35" s="342"/>
      <c r="GS35" s="342"/>
      <c r="GT35" s="342"/>
      <c r="GU35" s="342"/>
      <c r="GV35" s="342"/>
      <c r="GW35" s="342"/>
      <c r="GX35" s="342"/>
      <c r="GY35" s="342"/>
      <c r="GZ35" s="342"/>
      <c r="HA35" s="342"/>
      <c r="HB35" s="342"/>
      <c r="HC35" s="342"/>
      <c r="HD35" s="342"/>
      <c r="HE35" s="342"/>
      <c r="HF35" s="342"/>
      <c r="HG35" s="342"/>
      <c r="HH35" s="342"/>
      <c r="HI35" s="342"/>
      <c r="HJ35" s="342"/>
      <c r="HK35" s="342"/>
    </row>
    <row r="36" spans="1:219" s="342" customFormat="1" ht="18.75" customHeight="1">
      <c r="A36" s="260">
        <v>562</v>
      </c>
      <c r="B36" s="384" t="s">
        <v>18</v>
      </c>
      <c r="C36" s="405" t="s">
        <v>1286</v>
      </c>
      <c r="D36" s="338">
        <v>38718</v>
      </c>
      <c r="E36" s="338">
        <v>39264</v>
      </c>
      <c r="F36" s="384" t="s">
        <v>2044</v>
      </c>
      <c r="G36" s="254" t="s">
        <v>1451</v>
      </c>
      <c r="H36" s="405" t="s">
        <v>2042</v>
      </c>
      <c r="I36" s="254" t="s">
        <v>2331</v>
      </c>
      <c r="J36" s="334">
        <v>3325</v>
      </c>
      <c r="K36" s="334">
        <v>90000</v>
      </c>
      <c r="L36" s="334">
        <v>64062</v>
      </c>
      <c r="M36" s="334">
        <v>64062</v>
      </c>
      <c r="N36" s="256">
        <v>19.266766917293232</v>
      </c>
      <c r="O36" s="334">
        <v>71</v>
      </c>
      <c r="P36" s="334">
        <v>15000</v>
      </c>
      <c r="Q36" s="334">
        <v>15000</v>
      </c>
      <c r="R36" s="340">
        <v>15000</v>
      </c>
      <c r="S36" s="318" t="s">
        <v>233</v>
      </c>
      <c r="T36" s="405">
        <v>150</v>
      </c>
      <c r="U36" s="405"/>
      <c r="V36" s="334">
        <v>2838</v>
      </c>
      <c r="W36" s="334">
        <v>298</v>
      </c>
      <c r="X36" s="349">
        <v>1.9866666666666668E-2</v>
      </c>
      <c r="Y36" s="334"/>
      <c r="Z36" s="334"/>
      <c r="AA36" s="334"/>
      <c r="AB36" s="334"/>
      <c r="AC36" s="334"/>
      <c r="AD36" s="334"/>
      <c r="AE36" s="334">
        <v>1100</v>
      </c>
      <c r="AF36" s="334"/>
      <c r="AG36" s="334"/>
      <c r="AH36" s="334"/>
      <c r="AI36" s="334"/>
      <c r="AJ36" s="254">
        <v>0</v>
      </c>
      <c r="AK36" s="334"/>
      <c r="AL36" s="334"/>
      <c r="AM36" s="334"/>
      <c r="AN36" s="405"/>
      <c r="AO36" s="405"/>
      <c r="AP36" s="405"/>
      <c r="AQ36" s="405"/>
      <c r="AR36" s="405"/>
      <c r="AS36" s="405"/>
      <c r="AT36" s="405"/>
      <c r="AU36" s="405"/>
      <c r="AV36" s="406" t="s">
        <v>2043</v>
      </c>
      <c r="AW36" s="405"/>
      <c r="AX36" s="405"/>
      <c r="AY36" s="405"/>
      <c r="AZ36" s="405"/>
      <c r="BA36" s="405"/>
      <c r="BB36" s="405"/>
      <c r="BC36" s="405"/>
      <c r="BD36" s="405"/>
      <c r="BE36" s="405"/>
      <c r="BF36" s="405"/>
      <c r="BG36" s="405"/>
      <c r="BH36" s="405"/>
      <c r="BI36" s="405"/>
      <c r="BJ36" s="405"/>
      <c r="BK36" s="405"/>
      <c r="BL36" s="405"/>
      <c r="BM36" s="405"/>
      <c r="BN36" s="405"/>
    </row>
    <row r="37" spans="1:219" s="342" customFormat="1" ht="18.75" customHeight="1">
      <c r="A37" s="260">
        <v>563</v>
      </c>
      <c r="B37" s="316" t="s">
        <v>85</v>
      </c>
      <c r="C37" s="316" t="s">
        <v>1261</v>
      </c>
      <c r="D37" s="317">
        <v>38838</v>
      </c>
      <c r="E37" s="317">
        <v>40817</v>
      </c>
      <c r="F37" s="316" t="s">
        <v>570</v>
      </c>
      <c r="G37" s="273" t="s">
        <v>1454</v>
      </c>
      <c r="H37" s="266" t="s">
        <v>954</v>
      </c>
      <c r="I37" s="278" t="s">
        <v>2438</v>
      </c>
      <c r="J37" s="318">
        <v>325000</v>
      </c>
      <c r="K37" s="318">
        <v>32667430</v>
      </c>
      <c r="L37" s="318">
        <v>30526980</v>
      </c>
      <c r="M37" s="318">
        <v>30526980</v>
      </c>
      <c r="N37" s="256">
        <v>93.929169230769233</v>
      </c>
      <c r="O37" s="318">
        <v>105</v>
      </c>
      <c r="P37" s="318">
        <v>601000</v>
      </c>
      <c r="Q37" s="318">
        <v>601000</v>
      </c>
      <c r="R37" s="348">
        <v>601000</v>
      </c>
      <c r="S37" s="318" t="s">
        <v>233</v>
      </c>
      <c r="T37" s="318" t="s">
        <v>75</v>
      </c>
      <c r="U37" s="318">
        <v>511580</v>
      </c>
      <c r="V37" s="318">
        <v>117050</v>
      </c>
      <c r="W37" s="318">
        <v>117050</v>
      </c>
      <c r="X37" s="349">
        <v>0.19475873544093178</v>
      </c>
      <c r="Y37" s="330" t="s">
        <v>134</v>
      </c>
      <c r="Z37" s="318" t="s">
        <v>134</v>
      </c>
      <c r="AA37" s="318" t="s">
        <v>134</v>
      </c>
      <c r="AB37" s="318" t="s">
        <v>134</v>
      </c>
      <c r="AC37" s="318" t="s">
        <v>2</v>
      </c>
      <c r="AD37" s="318" t="s">
        <v>75</v>
      </c>
      <c r="AE37" s="318" t="s">
        <v>75</v>
      </c>
      <c r="AF37" s="318" t="s">
        <v>75</v>
      </c>
      <c r="AG37" s="318" t="s">
        <v>75</v>
      </c>
      <c r="AH37" s="318">
        <v>343</v>
      </c>
      <c r="AI37" s="318" t="s">
        <v>75</v>
      </c>
      <c r="AJ37" s="254">
        <v>343</v>
      </c>
      <c r="AK37" s="318">
        <v>732467</v>
      </c>
      <c r="AL37" s="318">
        <v>731561</v>
      </c>
      <c r="AM37" s="318">
        <f t="shared" ref="AM37:AM41" si="4">AL37/AJ37</f>
        <v>2132.8309037900876</v>
      </c>
      <c r="AN37" s="319"/>
      <c r="AO37" s="319"/>
      <c r="AP37" s="319"/>
      <c r="AQ37" s="319"/>
      <c r="AR37" s="319"/>
      <c r="AS37" s="319"/>
      <c r="AT37" s="319" t="s">
        <v>75</v>
      </c>
      <c r="AU37" s="319" t="s">
        <v>75</v>
      </c>
      <c r="AV37" s="322" t="s">
        <v>571</v>
      </c>
      <c r="AW37" s="266"/>
      <c r="AX37" s="266"/>
      <c r="AY37" s="266"/>
      <c r="AZ37" s="266"/>
      <c r="BA37" s="266"/>
      <c r="BB37" s="266"/>
      <c r="BC37" s="266"/>
      <c r="BD37" s="266"/>
      <c r="BE37" s="266"/>
      <c r="BF37" s="266"/>
      <c r="BG37" s="266"/>
      <c r="BH37" s="266"/>
      <c r="BI37" s="266"/>
      <c r="BJ37" s="266"/>
      <c r="BK37" s="266"/>
      <c r="BL37" s="266"/>
      <c r="BM37" s="266"/>
      <c r="BN37" s="266"/>
    </row>
    <row r="38" spans="1:219" s="388" customFormat="1" ht="18.75" customHeight="1">
      <c r="A38" s="260">
        <v>564</v>
      </c>
      <c r="B38" s="278" t="s">
        <v>85</v>
      </c>
      <c r="C38" s="261" t="s">
        <v>1261</v>
      </c>
      <c r="D38" s="262">
        <v>38718</v>
      </c>
      <c r="E38" s="262">
        <v>39964</v>
      </c>
      <c r="F38" s="304" t="s">
        <v>698</v>
      </c>
      <c r="G38" s="252" t="s">
        <v>1451</v>
      </c>
      <c r="H38" s="278" t="s">
        <v>697</v>
      </c>
      <c r="I38" s="278" t="s">
        <v>2438</v>
      </c>
      <c r="J38" s="263">
        <v>100000</v>
      </c>
      <c r="K38" s="263">
        <v>520632</v>
      </c>
      <c r="L38" s="263">
        <v>520632</v>
      </c>
      <c r="M38" s="263">
        <v>520632</v>
      </c>
      <c r="N38" s="256">
        <v>5.2063199999999998</v>
      </c>
      <c r="O38" s="263">
        <v>100</v>
      </c>
      <c r="P38" s="263">
        <v>1500</v>
      </c>
      <c r="Q38" s="279" t="s">
        <v>339</v>
      </c>
      <c r="R38" s="263">
        <v>7500</v>
      </c>
      <c r="S38" s="263" t="s">
        <v>95</v>
      </c>
      <c r="T38" s="263" t="s">
        <v>75</v>
      </c>
      <c r="U38" s="263" t="s">
        <v>75</v>
      </c>
      <c r="V38" s="263">
        <v>940</v>
      </c>
      <c r="W38" s="263">
        <v>940</v>
      </c>
      <c r="X38" s="349">
        <v>0.12533333333333332</v>
      </c>
      <c r="Y38" s="263" t="s">
        <v>75</v>
      </c>
      <c r="Z38" s="263" t="s">
        <v>75</v>
      </c>
      <c r="AA38" s="263" t="s">
        <v>75</v>
      </c>
      <c r="AB38" s="263" t="s">
        <v>75</v>
      </c>
      <c r="AC38" s="263" t="s">
        <v>75</v>
      </c>
      <c r="AD38" s="263" t="s">
        <v>75</v>
      </c>
      <c r="AE38" s="263">
        <v>1500</v>
      </c>
      <c r="AF38" s="263" t="s">
        <v>75</v>
      </c>
      <c r="AG38" s="263" t="s">
        <v>75</v>
      </c>
      <c r="AH38" s="263" t="s">
        <v>75</v>
      </c>
      <c r="AI38" s="263" t="s">
        <v>75</v>
      </c>
      <c r="AJ38" s="259">
        <v>0</v>
      </c>
      <c r="AK38" s="263">
        <v>4025</v>
      </c>
      <c r="AL38" s="263">
        <v>4025</v>
      </c>
      <c r="AM38" s="318"/>
      <c r="AN38" s="264"/>
      <c r="AO38" s="264" t="s">
        <v>75</v>
      </c>
      <c r="AP38" s="264" t="s">
        <v>75</v>
      </c>
      <c r="AQ38" s="264" t="s">
        <v>75</v>
      </c>
      <c r="AR38" s="264" t="s">
        <v>75</v>
      </c>
      <c r="AS38" s="264" t="s">
        <v>75</v>
      </c>
      <c r="AT38" s="264" t="s">
        <v>75</v>
      </c>
      <c r="AU38" s="264" t="s">
        <v>75</v>
      </c>
      <c r="AV38" s="413" t="s">
        <v>696</v>
      </c>
      <c r="AW38" s="266"/>
      <c r="AX38" s="266"/>
      <c r="AY38" s="266"/>
      <c r="AZ38" s="266"/>
      <c r="BA38" s="266"/>
      <c r="BB38" s="266"/>
      <c r="BC38" s="266"/>
      <c r="BD38" s="266"/>
      <c r="BE38" s="266"/>
      <c r="BF38" s="266"/>
      <c r="BG38" s="266"/>
      <c r="BH38" s="266"/>
      <c r="BI38" s="266"/>
      <c r="BJ38" s="266"/>
      <c r="BK38" s="266"/>
      <c r="BL38" s="266"/>
      <c r="BM38" s="266"/>
      <c r="BN38" s="266"/>
      <c r="BO38" s="342"/>
      <c r="BP38" s="342"/>
      <c r="BQ38" s="342"/>
      <c r="BR38" s="342"/>
      <c r="BS38" s="342"/>
      <c r="BT38" s="342"/>
      <c r="BU38" s="342"/>
      <c r="BV38" s="342"/>
      <c r="BW38" s="342"/>
      <c r="BX38" s="342"/>
      <c r="BY38" s="342"/>
      <c r="BZ38" s="342"/>
      <c r="CA38" s="342"/>
      <c r="CB38" s="342"/>
      <c r="CC38" s="342"/>
      <c r="CD38" s="342"/>
      <c r="CE38" s="342"/>
      <c r="CF38" s="342"/>
      <c r="CG38" s="342"/>
      <c r="CH38" s="342"/>
      <c r="CI38" s="342"/>
      <c r="CJ38" s="342"/>
      <c r="CK38" s="342"/>
      <c r="CL38" s="342"/>
      <c r="CM38" s="342"/>
      <c r="CN38" s="342"/>
      <c r="CO38" s="342"/>
      <c r="CP38" s="342"/>
      <c r="CQ38" s="342"/>
      <c r="CR38" s="342"/>
      <c r="CS38" s="342"/>
      <c r="CT38" s="342"/>
      <c r="CU38" s="342"/>
      <c r="CV38" s="342"/>
      <c r="CW38" s="342"/>
      <c r="CX38" s="342"/>
      <c r="CY38" s="342"/>
      <c r="CZ38" s="342"/>
      <c r="DA38" s="342"/>
      <c r="DB38" s="342"/>
      <c r="DC38" s="342"/>
      <c r="DD38" s="342"/>
      <c r="DE38" s="342"/>
      <c r="DF38" s="342"/>
      <c r="DG38" s="342"/>
      <c r="DH38" s="342"/>
      <c r="DI38" s="342"/>
      <c r="DJ38" s="342"/>
      <c r="DK38" s="342"/>
      <c r="DL38" s="342"/>
      <c r="DM38" s="342"/>
      <c r="DN38" s="342"/>
      <c r="DO38" s="342"/>
      <c r="DP38" s="342"/>
      <c r="DQ38" s="342"/>
      <c r="DR38" s="342"/>
      <c r="DS38" s="342"/>
      <c r="DT38" s="342"/>
      <c r="DU38" s="342"/>
      <c r="DV38" s="342"/>
      <c r="DW38" s="342"/>
      <c r="DX38" s="342"/>
      <c r="DY38" s="342"/>
      <c r="DZ38" s="342"/>
      <c r="EA38" s="342"/>
      <c r="EB38" s="342"/>
      <c r="EC38" s="342"/>
      <c r="ED38" s="342"/>
      <c r="EE38" s="342"/>
      <c r="EF38" s="342"/>
      <c r="EG38" s="342"/>
      <c r="EH38" s="342"/>
      <c r="EI38" s="342"/>
      <c r="EJ38" s="342"/>
      <c r="EK38" s="342"/>
      <c r="EL38" s="342"/>
      <c r="EM38" s="342"/>
      <c r="EN38" s="342"/>
      <c r="EO38" s="342"/>
      <c r="EP38" s="342"/>
      <c r="EQ38" s="342"/>
      <c r="ER38" s="342"/>
      <c r="ES38" s="342"/>
      <c r="ET38" s="342"/>
      <c r="EU38" s="342"/>
      <c r="EV38" s="342"/>
      <c r="EW38" s="342"/>
      <c r="EX38" s="342"/>
      <c r="EY38" s="342"/>
      <c r="EZ38" s="342"/>
      <c r="FA38" s="342"/>
      <c r="FB38" s="342"/>
      <c r="FC38" s="342"/>
      <c r="FD38" s="342"/>
      <c r="FE38" s="342"/>
      <c r="FF38" s="342"/>
      <c r="FG38" s="342"/>
      <c r="FH38" s="342"/>
      <c r="FI38" s="342"/>
      <c r="FJ38" s="342"/>
      <c r="FK38" s="342"/>
      <c r="FL38" s="342"/>
      <c r="FM38" s="342"/>
      <c r="FN38" s="342"/>
      <c r="FO38" s="342"/>
      <c r="FP38" s="342"/>
      <c r="FQ38" s="342"/>
      <c r="FR38" s="342"/>
      <c r="FS38" s="342"/>
      <c r="FT38" s="342"/>
      <c r="FU38" s="342"/>
      <c r="FV38" s="342"/>
      <c r="FW38" s="342"/>
      <c r="FX38" s="342"/>
      <c r="FY38" s="342"/>
      <c r="FZ38" s="342"/>
      <c r="GA38" s="342"/>
      <c r="GB38" s="342"/>
      <c r="GC38" s="342"/>
      <c r="GD38" s="342"/>
      <c r="GE38" s="342"/>
      <c r="GF38" s="342"/>
      <c r="GG38" s="342"/>
      <c r="GH38" s="342"/>
      <c r="GI38" s="342"/>
      <c r="GJ38" s="342"/>
      <c r="GK38" s="342"/>
      <c r="GL38" s="342"/>
      <c r="GM38" s="342"/>
      <c r="GN38" s="342"/>
      <c r="GO38" s="342"/>
      <c r="GP38" s="342"/>
      <c r="GQ38" s="342"/>
      <c r="GR38" s="342"/>
      <c r="GS38" s="342"/>
      <c r="GT38" s="342"/>
      <c r="GU38" s="342"/>
      <c r="GV38" s="342"/>
      <c r="GW38" s="342"/>
      <c r="GX38" s="342"/>
      <c r="GY38" s="342"/>
      <c r="GZ38" s="342"/>
      <c r="HA38" s="342"/>
      <c r="HB38" s="342"/>
      <c r="HC38" s="342"/>
      <c r="HD38" s="342"/>
      <c r="HE38" s="342"/>
      <c r="HF38" s="342"/>
      <c r="HG38" s="342"/>
      <c r="HH38" s="342"/>
      <c r="HI38" s="342"/>
      <c r="HJ38" s="342"/>
      <c r="HK38" s="342"/>
    </row>
    <row r="39" spans="1:219" s="388" customFormat="1" ht="18.75" customHeight="1">
      <c r="A39" s="260">
        <v>565</v>
      </c>
      <c r="B39" s="401" t="s">
        <v>129</v>
      </c>
      <c r="C39" s="405" t="s">
        <v>1278</v>
      </c>
      <c r="D39" s="485">
        <v>38749</v>
      </c>
      <c r="E39" s="485">
        <v>38808</v>
      </c>
      <c r="F39" s="401" t="s">
        <v>5</v>
      </c>
      <c r="G39" s="252" t="s">
        <v>1451</v>
      </c>
      <c r="H39" s="278" t="s">
        <v>395</v>
      </c>
      <c r="I39" s="278" t="s">
        <v>2438</v>
      </c>
      <c r="J39" s="263">
        <v>25000</v>
      </c>
      <c r="K39" s="402">
        <v>1802139</v>
      </c>
      <c r="L39" s="402">
        <v>952357</v>
      </c>
      <c r="M39" s="402">
        <v>898501</v>
      </c>
      <c r="N39" s="256">
        <v>35.940040000000003</v>
      </c>
      <c r="O39" s="402">
        <v>53</v>
      </c>
      <c r="P39" s="402" t="s">
        <v>75</v>
      </c>
      <c r="Q39" s="402" t="s">
        <v>75</v>
      </c>
      <c r="R39" s="402"/>
      <c r="S39" s="402" t="s">
        <v>233</v>
      </c>
      <c r="T39" s="402" t="s">
        <v>75</v>
      </c>
      <c r="U39" s="402" t="s">
        <v>75</v>
      </c>
      <c r="V39" s="263" t="s">
        <v>66</v>
      </c>
      <c r="W39" s="402" t="s">
        <v>66</v>
      </c>
      <c r="X39" s="263"/>
      <c r="Y39" s="402" t="s">
        <v>75</v>
      </c>
      <c r="Z39" s="402" t="s">
        <v>75</v>
      </c>
      <c r="AA39" s="402" t="s">
        <v>75</v>
      </c>
      <c r="AB39" s="402" t="s">
        <v>75</v>
      </c>
      <c r="AC39" s="402" t="s">
        <v>75</v>
      </c>
      <c r="AD39" s="402" t="s">
        <v>75</v>
      </c>
      <c r="AE39" s="402" t="s">
        <v>75</v>
      </c>
      <c r="AF39" s="402" t="s">
        <v>75</v>
      </c>
      <c r="AG39" s="402" t="s">
        <v>75</v>
      </c>
      <c r="AH39" s="402" t="s">
        <v>75</v>
      </c>
      <c r="AI39" s="402" t="s">
        <v>75</v>
      </c>
      <c r="AJ39" s="259">
        <v>0</v>
      </c>
      <c r="AK39" s="263">
        <v>65000</v>
      </c>
      <c r="AL39" s="402">
        <v>34450</v>
      </c>
      <c r="AM39" s="318"/>
      <c r="AN39" s="362"/>
      <c r="AO39" s="362" t="s">
        <v>75</v>
      </c>
      <c r="AP39" s="362" t="s">
        <v>75</v>
      </c>
      <c r="AQ39" s="362" t="s">
        <v>75</v>
      </c>
      <c r="AR39" s="362" t="s">
        <v>75</v>
      </c>
      <c r="AS39" s="362" t="s">
        <v>75</v>
      </c>
      <c r="AT39" s="362" t="s">
        <v>75</v>
      </c>
      <c r="AU39" s="362" t="s">
        <v>75</v>
      </c>
      <c r="AV39" s="414" t="s">
        <v>396</v>
      </c>
      <c r="AW39" s="362"/>
      <c r="AX39" s="362"/>
      <c r="AY39" s="362"/>
      <c r="AZ39" s="362"/>
      <c r="BA39" s="362"/>
      <c r="BB39" s="362"/>
      <c r="BC39" s="362"/>
      <c r="BD39" s="362"/>
      <c r="BE39" s="362"/>
      <c r="BF39" s="362"/>
      <c r="BG39" s="362"/>
      <c r="BH39" s="362"/>
      <c r="BI39" s="362"/>
      <c r="BJ39" s="362"/>
      <c r="BK39" s="362"/>
      <c r="BL39" s="362"/>
      <c r="BM39" s="362"/>
      <c r="BN39" s="261"/>
      <c r="BO39" s="342"/>
      <c r="BP39" s="342"/>
      <c r="BQ39" s="342"/>
      <c r="BR39" s="342"/>
      <c r="BS39" s="342"/>
      <c r="BT39" s="342"/>
      <c r="BU39" s="342"/>
      <c r="BV39" s="342"/>
      <c r="BW39" s="342"/>
      <c r="BX39" s="342"/>
      <c r="BY39" s="342"/>
      <c r="BZ39" s="342"/>
      <c r="CA39" s="342"/>
      <c r="CB39" s="342"/>
      <c r="CC39" s="342"/>
      <c r="CD39" s="342"/>
      <c r="CE39" s="342"/>
      <c r="CF39" s="342"/>
      <c r="CG39" s="342"/>
      <c r="CH39" s="342"/>
      <c r="CI39" s="342"/>
      <c r="CJ39" s="342"/>
      <c r="CK39" s="342"/>
      <c r="CL39" s="342"/>
      <c r="CM39" s="342"/>
      <c r="CN39" s="342"/>
      <c r="CO39" s="342"/>
      <c r="CP39" s="342"/>
      <c r="CQ39" s="342"/>
      <c r="CR39" s="342"/>
      <c r="CS39" s="342"/>
      <c r="CT39" s="342"/>
      <c r="CU39" s="342"/>
      <c r="CV39" s="342"/>
      <c r="CW39" s="342"/>
      <c r="CX39" s="342"/>
      <c r="CY39" s="342"/>
      <c r="CZ39" s="342"/>
      <c r="DA39" s="342"/>
      <c r="DB39" s="342"/>
      <c r="DC39" s="342"/>
      <c r="DD39" s="342"/>
      <c r="DE39" s="342"/>
      <c r="DF39" s="342"/>
      <c r="DG39" s="342"/>
      <c r="DH39" s="342"/>
      <c r="DI39" s="342"/>
      <c r="DJ39" s="342"/>
      <c r="DK39" s="342"/>
      <c r="DL39" s="342"/>
      <c r="DM39" s="342"/>
      <c r="DN39" s="342"/>
      <c r="DO39" s="342"/>
      <c r="DP39" s="342"/>
      <c r="DQ39" s="342"/>
      <c r="DR39" s="342"/>
      <c r="DS39" s="342"/>
      <c r="DT39" s="342"/>
      <c r="DU39" s="342"/>
      <c r="DV39" s="342"/>
      <c r="DW39" s="342"/>
      <c r="DX39" s="342"/>
      <c r="DY39" s="342"/>
      <c r="DZ39" s="342"/>
      <c r="EA39" s="342"/>
      <c r="EB39" s="342"/>
      <c r="EC39" s="342"/>
      <c r="ED39" s="342"/>
      <c r="EE39" s="342"/>
      <c r="EF39" s="342"/>
      <c r="EG39" s="342"/>
      <c r="EH39" s="342"/>
      <c r="EI39" s="342"/>
      <c r="EJ39" s="342"/>
      <c r="EK39" s="342"/>
      <c r="EL39" s="342"/>
      <c r="EM39" s="342"/>
      <c r="EN39" s="342"/>
      <c r="EO39" s="342"/>
      <c r="EP39" s="342"/>
      <c r="EQ39" s="342"/>
      <c r="ER39" s="342"/>
      <c r="ES39" s="342"/>
      <c r="ET39" s="342"/>
      <c r="EU39" s="342"/>
      <c r="EV39" s="342"/>
      <c r="EW39" s="342"/>
      <c r="EX39" s="342"/>
      <c r="EY39" s="342"/>
      <c r="EZ39" s="342"/>
      <c r="FA39" s="342"/>
      <c r="FB39" s="342"/>
      <c r="FC39" s="342"/>
      <c r="FD39" s="342"/>
      <c r="FE39" s="342"/>
      <c r="FF39" s="342"/>
      <c r="FG39" s="342"/>
      <c r="FH39" s="342"/>
      <c r="FI39" s="342"/>
      <c r="FJ39" s="342"/>
      <c r="FK39" s="342"/>
      <c r="FL39" s="342"/>
      <c r="FM39" s="342"/>
      <c r="FN39" s="342"/>
      <c r="FO39" s="342"/>
      <c r="FP39" s="342"/>
      <c r="FQ39" s="342"/>
      <c r="FR39" s="342"/>
      <c r="FS39" s="342"/>
      <c r="FT39" s="342"/>
      <c r="FU39" s="342"/>
      <c r="FV39" s="342"/>
      <c r="FW39" s="342"/>
      <c r="FX39" s="342"/>
      <c r="FY39" s="342"/>
      <c r="FZ39" s="342"/>
      <c r="GA39" s="342"/>
      <c r="GB39" s="342"/>
      <c r="GC39" s="342"/>
      <c r="GD39" s="342"/>
      <c r="GE39" s="342"/>
      <c r="GF39" s="342"/>
      <c r="GG39" s="342"/>
      <c r="GH39" s="342"/>
      <c r="GI39" s="342"/>
      <c r="GJ39" s="342"/>
      <c r="GK39" s="342"/>
      <c r="GL39" s="342"/>
      <c r="GM39" s="342"/>
      <c r="GN39" s="342"/>
      <c r="GO39" s="342"/>
      <c r="GP39" s="342"/>
      <c r="GQ39" s="342"/>
      <c r="GR39" s="342"/>
      <c r="GS39" s="342"/>
      <c r="GT39" s="342"/>
      <c r="GU39" s="342"/>
      <c r="GV39" s="342"/>
      <c r="GW39" s="342"/>
      <c r="GX39" s="342"/>
      <c r="GY39" s="342"/>
      <c r="GZ39" s="342"/>
      <c r="HA39" s="342"/>
      <c r="HB39" s="342"/>
      <c r="HC39" s="342"/>
      <c r="HD39" s="342"/>
      <c r="HE39" s="342"/>
      <c r="HF39" s="342"/>
      <c r="HG39" s="342"/>
      <c r="HH39" s="342"/>
      <c r="HI39" s="342"/>
      <c r="HJ39" s="342"/>
      <c r="HK39" s="342"/>
    </row>
    <row r="40" spans="1:219" s="388" customFormat="1" ht="18.75" customHeight="1">
      <c r="A40" s="260">
        <v>566</v>
      </c>
      <c r="B40" s="278" t="s">
        <v>12</v>
      </c>
      <c r="C40" s="261" t="s">
        <v>1299</v>
      </c>
      <c r="D40" s="262">
        <v>39038</v>
      </c>
      <c r="E40" s="262">
        <v>39972</v>
      </c>
      <c r="F40" s="304" t="s">
        <v>5</v>
      </c>
      <c r="G40" s="252" t="s">
        <v>1451</v>
      </c>
      <c r="H40" s="278" t="s">
        <v>734</v>
      </c>
      <c r="I40" s="278" t="s">
        <v>2438</v>
      </c>
      <c r="J40" s="263">
        <v>300000</v>
      </c>
      <c r="K40" s="263">
        <v>9646293</v>
      </c>
      <c r="L40" s="263">
        <v>10524106</v>
      </c>
      <c r="M40" s="263">
        <v>10524106</v>
      </c>
      <c r="N40" s="256">
        <v>35.080353333333335</v>
      </c>
      <c r="O40" s="263">
        <v>109</v>
      </c>
      <c r="P40" s="263">
        <v>60000</v>
      </c>
      <c r="Q40" s="263">
        <v>15400</v>
      </c>
      <c r="R40" s="263">
        <v>60000</v>
      </c>
      <c r="S40" s="263" t="s">
        <v>2</v>
      </c>
      <c r="T40" s="263">
        <v>32</v>
      </c>
      <c r="U40" s="263">
        <v>131</v>
      </c>
      <c r="V40" s="263">
        <v>1260158</v>
      </c>
      <c r="W40" s="263">
        <v>1373572</v>
      </c>
      <c r="X40" s="349">
        <v>22.892866666666666</v>
      </c>
      <c r="Y40" s="279" t="s">
        <v>339</v>
      </c>
      <c r="Z40" s="263" t="s">
        <v>75</v>
      </c>
      <c r="AA40" s="263" t="s">
        <v>75</v>
      </c>
      <c r="AB40" s="263" t="s">
        <v>75</v>
      </c>
      <c r="AC40" s="263">
        <v>99</v>
      </c>
      <c r="AD40" s="263" t="s">
        <v>75</v>
      </c>
      <c r="AE40" s="263">
        <v>900</v>
      </c>
      <c r="AF40" s="263" t="s">
        <v>75</v>
      </c>
      <c r="AG40" s="263" t="s">
        <v>75</v>
      </c>
      <c r="AH40" s="263">
        <v>3336</v>
      </c>
      <c r="AI40" s="263" t="s">
        <v>75</v>
      </c>
      <c r="AJ40" s="259">
        <v>3336</v>
      </c>
      <c r="AK40" s="263">
        <v>546911</v>
      </c>
      <c r="AL40" s="263">
        <v>233169</v>
      </c>
      <c r="AM40" s="318">
        <f t="shared" si="4"/>
        <v>69.894784172661872</v>
      </c>
      <c r="AN40" s="264"/>
      <c r="AO40" s="264">
        <v>1</v>
      </c>
      <c r="AP40" s="264">
        <v>1</v>
      </c>
      <c r="AQ40" s="264" t="s">
        <v>75</v>
      </c>
      <c r="AR40" s="264" t="s">
        <v>75</v>
      </c>
      <c r="AS40" s="264">
        <v>3</v>
      </c>
      <c r="AT40" s="264" t="s">
        <v>75</v>
      </c>
      <c r="AU40" s="264" t="s">
        <v>75</v>
      </c>
      <c r="AV40" s="344" t="s">
        <v>733</v>
      </c>
      <c r="AW40" s="358"/>
      <c r="AX40" s="358"/>
      <c r="AY40" s="358"/>
      <c r="AZ40" s="358"/>
      <c r="BA40" s="358"/>
      <c r="BB40" s="358"/>
      <c r="BC40" s="358"/>
      <c r="BD40" s="358"/>
      <c r="BE40" s="358"/>
      <c r="BF40" s="358"/>
      <c r="BG40" s="358"/>
      <c r="BH40" s="358"/>
      <c r="BI40" s="358"/>
      <c r="BJ40" s="358"/>
      <c r="BK40" s="358"/>
      <c r="BL40" s="358"/>
      <c r="BM40" s="358"/>
      <c r="BN40" s="358"/>
      <c r="BO40" s="342"/>
      <c r="BP40" s="342"/>
      <c r="BQ40" s="342"/>
      <c r="BR40" s="342"/>
      <c r="BS40" s="342"/>
      <c r="BT40" s="342"/>
      <c r="BU40" s="342"/>
      <c r="BV40" s="342"/>
      <c r="BW40" s="342"/>
      <c r="BX40" s="342"/>
      <c r="BY40" s="342"/>
      <c r="BZ40" s="342"/>
      <c r="CA40" s="342"/>
      <c r="CB40" s="342"/>
      <c r="CC40" s="342"/>
      <c r="CD40" s="342"/>
      <c r="CE40" s="342"/>
      <c r="CF40" s="342"/>
      <c r="CG40" s="342"/>
      <c r="CH40" s="342"/>
      <c r="CI40" s="342"/>
      <c r="CJ40" s="342"/>
      <c r="CK40" s="342"/>
      <c r="CL40" s="342"/>
      <c r="CM40" s="342"/>
      <c r="CN40" s="342"/>
      <c r="CO40" s="342"/>
      <c r="CP40" s="342"/>
      <c r="CQ40" s="342"/>
      <c r="CR40" s="342"/>
      <c r="CS40" s="342"/>
      <c r="CT40" s="342"/>
      <c r="CU40" s="342"/>
      <c r="CV40" s="342"/>
      <c r="CW40" s="342"/>
      <c r="CX40" s="342"/>
      <c r="CY40" s="342"/>
      <c r="CZ40" s="342"/>
      <c r="DA40" s="342"/>
      <c r="DB40" s="342"/>
      <c r="DC40" s="342"/>
      <c r="DD40" s="342"/>
      <c r="DE40" s="342"/>
      <c r="DF40" s="342"/>
      <c r="DG40" s="342"/>
      <c r="DH40" s="342"/>
      <c r="DI40" s="342"/>
      <c r="DJ40" s="342"/>
      <c r="DK40" s="342"/>
      <c r="DL40" s="342"/>
      <c r="DM40" s="342"/>
      <c r="DN40" s="342"/>
      <c r="DO40" s="342"/>
      <c r="DP40" s="342"/>
      <c r="DQ40" s="342"/>
      <c r="DR40" s="342"/>
      <c r="DS40" s="342"/>
      <c r="DT40" s="342"/>
      <c r="DU40" s="342"/>
      <c r="DV40" s="342"/>
      <c r="DW40" s="342"/>
      <c r="DX40" s="342"/>
      <c r="DY40" s="342"/>
      <c r="DZ40" s="342"/>
      <c r="EA40" s="342"/>
      <c r="EB40" s="342"/>
      <c r="EC40" s="342"/>
      <c r="ED40" s="342"/>
      <c r="EE40" s="342"/>
      <c r="EF40" s="342"/>
      <c r="EG40" s="342"/>
      <c r="EH40" s="342"/>
      <c r="EI40" s="342"/>
      <c r="EJ40" s="342"/>
      <c r="EK40" s="342"/>
      <c r="EL40" s="342"/>
      <c r="EM40" s="342"/>
      <c r="EN40" s="342"/>
      <c r="EO40" s="342"/>
      <c r="EP40" s="342"/>
      <c r="EQ40" s="342"/>
      <c r="ER40" s="342"/>
      <c r="ES40" s="342"/>
      <c r="ET40" s="342"/>
      <c r="EU40" s="342"/>
      <c r="EV40" s="342"/>
      <c r="EW40" s="342"/>
      <c r="EX40" s="342"/>
      <c r="EY40" s="342"/>
      <c r="EZ40" s="342"/>
      <c r="FA40" s="342"/>
      <c r="FB40" s="342"/>
      <c r="FC40" s="342"/>
      <c r="FD40" s="342"/>
      <c r="FE40" s="342"/>
      <c r="FF40" s="342"/>
      <c r="FG40" s="342"/>
      <c r="FH40" s="342"/>
      <c r="FI40" s="342"/>
      <c r="FJ40" s="342"/>
      <c r="FK40" s="342"/>
      <c r="FL40" s="342"/>
      <c r="FM40" s="342"/>
      <c r="FN40" s="342"/>
      <c r="FO40" s="342"/>
      <c r="FP40" s="342"/>
      <c r="FQ40" s="342"/>
      <c r="FR40" s="342"/>
      <c r="FS40" s="342"/>
      <c r="FT40" s="342"/>
      <c r="FU40" s="342"/>
      <c r="FV40" s="342"/>
      <c r="FW40" s="342"/>
      <c r="FX40" s="342"/>
      <c r="FY40" s="342"/>
      <c r="FZ40" s="342"/>
      <c r="GA40" s="342"/>
      <c r="GB40" s="342"/>
      <c r="GC40" s="342"/>
      <c r="GD40" s="342"/>
      <c r="GE40" s="342"/>
      <c r="GF40" s="342"/>
      <c r="GG40" s="342"/>
      <c r="GH40" s="342"/>
      <c r="GI40" s="342"/>
      <c r="GJ40" s="342"/>
      <c r="GK40" s="342"/>
      <c r="GL40" s="342"/>
      <c r="GM40" s="342"/>
      <c r="GN40" s="342"/>
      <c r="GO40" s="342"/>
      <c r="GP40" s="342"/>
      <c r="GQ40" s="342"/>
      <c r="GR40" s="342"/>
      <c r="GS40" s="342"/>
      <c r="GT40" s="342"/>
      <c r="GU40" s="342"/>
      <c r="GV40" s="342"/>
      <c r="GW40" s="342"/>
      <c r="GX40" s="342"/>
      <c r="GY40" s="342"/>
      <c r="GZ40" s="342"/>
      <c r="HA40" s="342"/>
      <c r="HB40" s="342"/>
      <c r="HC40" s="342"/>
      <c r="HD40" s="342"/>
      <c r="HE40" s="342"/>
      <c r="HF40" s="342"/>
      <c r="HG40" s="342"/>
      <c r="HH40" s="342"/>
      <c r="HI40" s="342"/>
      <c r="HJ40" s="342"/>
      <c r="HK40" s="342"/>
    </row>
    <row r="41" spans="1:219" s="388" customFormat="1" ht="18.75" customHeight="1">
      <c r="A41" s="260">
        <v>567</v>
      </c>
      <c r="B41" s="377" t="s">
        <v>12</v>
      </c>
      <c r="C41" s="377" t="s">
        <v>1299</v>
      </c>
      <c r="D41" s="325">
        <v>38718</v>
      </c>
      <c r="E41" s="317">
        <v>39083</v>
      </c>
      <c r="F41" s="377" t="s">
        <v>79</v>
      </c>
      <c r="G41" s="252" t="s">
        <v>1453</v>
      </c>
      <c r="H41" s="304" t="s">
        <v>157</v>
      </c>
      <c r="I41" s="278" t="s">
        <v>2438</v>
      </c>
      <c r="J41" s="318">
        <v>329000</v>
      </c>
      <c r="K41" s="327">
        <v>16840847</v>
      </c>
      <c r="L41" s="327">
        <v>5334511</v>
      </c>
      <c r="M41" s="318">
        <v>4694035</v>
      </c>
      <c r="N41" s="256">
        <v>14.26758358662614</v>
      </c>
      <c r="O41" s="327">
        <v>31.7</v>
      </c>
      <c r="P41" s="327">
        <v>10000</v>
      </c>
      <c r="Q41" s="327">
        <v>2000</v>
      </c>
      <c r="R41" s="318" t="s">
        <v>2</v>
      </c>
      <c r="S41" s="318" t="s">
        <v>2</v>
      </c>
      <c r="T41" s="327"/>
      <c r="U41" s="318"/>
      <c r="V41" s="318">
        <v>3785073</v>
      </c>
      <c r="W41" s="318">
        <v>134960</v>
      </c>
      <c r="X41" s="318"/>
      <c r="Y41" s="318"/>
      <c r="Z41" s="318"/>
      <c r="AA41" s="318"/>
      <c r="AB41" s="327"/>
      <c r="AC41" s="318">
        <v>90</v>
      </c>
      <c r="AD41" s="318"/>
      <c r="AE41" s="327">
        <v>1700000</v>
      </c>
      <c r="AF41" s="327" t="s">
        <v>75</v>
      </c>
      <c r="AG41" s="327" t="s">
        <v>75</v>
      </c>
      <c r="AH41" s="318">
        <v>2000</v>
      </c>
      <c r="AI41" s="327" t="s">
        <v>2</v>
      </c>
      <c r="AJ41" s="259">
        <v>2000</v>
      </c>
      <c r="AK41" s="318">
        <v>1226305</v>
      </c>
      <c r="AL41" s="318">
        <v>392417.6</v>
      </c>
      <c r="AM41" s="318">
        <f t="shared" si="4"/>
        <v>196.2088</v>
      </c>
      <c r="AO41" s="342" t="s">
        <v>75</v>
      </c>
      <c r="AP41" s="342" t="s">
        <v>75</v>
      </c>
      <c r="AQ41" s="342" t="s">
        <v>75</v>
      </c>
      <c r="AR41" s="342" t="s">
        <v>75</v>
      </c>
      <c r="AS41" s="342" t="s">
        <v>75</v>
      </c>
      <c r="AT41" s="342" t="s">
        <v>75</v>
      </c>
      <c r="AU41" s="342" t="s">
        <v>75</v>
      </c>
      <c r="AV41" s="404" t="s">
        <v>158</v>
      </c>
      <c r="BN41" s="342"/>
      <c r="BO41" s="342"/>
      <c r="BP41" s="342"/>
      <c r="BQ41" s="342"/>
      <c r="BR41" s="342"/>
      <c r="BS41" s="342"/>
      <c r="BT41" s="342"/>
      <c r="BU41" s="342"/>
      <c r="BV41" s="342"/>
      <c r="BW41" s="342"/>
      <c r="BX41" s="342"/>
      <c r="BY41" s="342"/>
      <c r="BZ41" s="342"/>
      <c r="CA41" s="342"/>
      <c r="CB41" s="342"/>
      <c r="CC41" s="342"/>
      <c r="CD41" s="342"/>
      <c r="CE41" s="342"/>
      <c r="CF41" s="342"/>
      <c r="CG41" s="342"/>
      <c r="CH41" s="342"/>
      <c r="CI41" s="342"/>
      <c r="CJ41" s="342"/>
      <c r="CK41" s="342"/>
      <c r="CL41" s="342"/>
      <c r="CM41" s="342"/>
      <c r="CN41" s="342"/>
      <c r="CO41" s="342"/>
      <c r="CP41" s="342"/>
      <c r="CQ41" s="342"/>
      <c r="CR41" s="342"/>
      <c r="CS41" s="342"/>
      <c r="CT41" s="342"/>
      <c r="CU41" s="342"/>
      <c r="CV41" s="342"/>
      <c r="CW41" s="342"/>
      <c r="CX41" s="342"/>
      <c r="CY41" s="342"/>
      <c r="CZ41" s="342"/>
      <c r="DA41" s="342"/>
      <c r="DB41" s="342"/>
      <c r="DC41" s="342"/>
      <c r="DD41" s="342"/>
      <c r="DE41" s="342"/>
      <c r="DF41" s="342"/>
      <c r="DG41" s="342"/>
      <c r="DH41" s="342"/>
      <c r="DI41" s="342"/>
      <c r="DJ41" s="342"/>
      <c r="DK41" s="342"/>
      <c r="DL41" s="342"/>
      <c r="DM41" s="342"/>
      <c r="DN41" s="342"/>
      <c r="DO41" s="342"/>
      <c r="DP41" s="342"/>
      <c r="DQ41" s="342"/>
      <c r="DR41" s="342"/>
      <c r="DS41" s="342"/>
      <c r="DT41" s="342"/>
      <c r="DU41" s="342"/>
      <c r="DV41" s="342"/>
      <c r="DW41" s="342"/>
      <c r="DX41" s="342"/>
      <c r="DY41" s="342"/>
      <c r="DZ41" s="342"/>
      <c r="EA41" s="342"/>
      <c r="EB41" s="342"/>
      <c r="EC41" s="342"/>
      <c r="ED41" s="342"/>
      <c r="EE41" s="342"/>
      <c r="EF41" s="342"/>
      <c r="EG41" s="342"/>
      <c r="EH41" s="342"/>
      <c r="EI41" s="342"/>
      <c r="EJ41" s="342"/>
      <c r="EK41" s="342"/>
      <c r="EL41" s="342"/>
      <c r="EM41" s="342"/>
      <c r="EN41" s="342"/>
      <c r="EO41" s="342"/>
      <c r="EP41" s="342"/>
      <c r="EQ41" s="342"/>
      <c r="ER41" s="342"/>
      <c r="ES41" s="342"/>
      <c r="ET41" s="342"/>
      <c r="EU41" s="342"/>
      <c r="EV41" s="342"/>
      <c r="EW41" s="342"/>
      <c r="EX41" s="342"/>
      <c r="EY41" s="342"/>
      <c r="EZ41" s="342"/>
      <c r="FA41" s="342"/>
      <c r="FB41" s="342"/>
      <c r="FC41" s="342"/>
      <c r="FD41" s="342"/>
      <c r="FE41" s="342"/>
      <c r="FF41" s="342"/>
      <c r="FG41" s="342"/>
      <c r="FH41" s="342"/>
      <c r="FI41" s="342"/>
      <c r="FJ41" s="342"/>
      <c r="FK41" s="342"/>
      <c r="FL41" s="342"/>
      <c r="FM41" s="342"/>
      <c r="FN41" s="342"/>
      <c r="FO41" s="342"/>
      <c r="FP41" s="342"/>
      <c r="FQ41" s="342"/>
      <c r="FR41" s="342"/>
      <c r="FS41" s="342"/>
      <c r="FT41" s="342"/>
      <c r="FU41" s="342"/>
      <c r="FV41" s="342"/>
      <c r="FW41" s="342"/>
      <c r="FX41" s="342"/>
      <c r="FY41" s="342"/>
      <c r="FZ41" s="342"/>
      <c r="GA41" s="342"/>
      <c r="GB41" s="342"/>
      <c r="GC41" s="342"/>
      <c r="GD41" s="342"/>
      <c r="GE41" s="342"/>
      <c r="GF41" s="342"/>
      <c r="GG41" s="342"/>
      <c r="GH41" s="342"/>
      <c r="GI41" s="342"/>
      <c r="GJ41" s="342"/>
      <c r="GK41" s="342"/>
      <c r="GL41" s="342"/>
      <c r="GM41" s="342"/>
      <c r="GN41" s="342"/>
      <c r="GO41" s="342"/>
      <c r="GP41" s="342"/>
      <c r="GQ41" s="342"/>
      <c r="GR41" s="342"/>
      <c r="GS41" s="342"/>
      <c r="GT41" s="342"/>
      <c r="GU41" s="342"/>
      <c r="GV41" s="342"/>
      <c r="GW41" s="342"/>
      <c r="GX41" s="342"/>
      <c r="GY41" s="342"/>
      <c r="GZ41" s="342"/>
      <c r="HA41" s="342"/>
      <c r="HB41" s="342"/>
      <c r="HC41" s="342"/>
      <c r="HD41" s="342"/>
      <c r="HE41" s="342"/>
      <c r="HF41" s="342"/>
      <c r="HG41" s="342"/>
      <c r="HH41" s="342"/>
      <c r="HI41" s="342"/>
      <c r="HJ41" s="342"/>
      <c r="HK41" s="342"/>
    </row>
    <row r="42" spans="1:219" s="388" customFormat="1" ht="18.75" customHeight="1">
      <c r="A42" s="260">
        <v>568</v>
      </c>
      <c r="B42" s="377" t="s">
        <v>184</v>
      </c>
      <c r="C42" s="388" t="s">
        <v>1261</v>
      </c>
      <c r="D42" s="325">
        <v>39052</v>
      </c>
      <c r="E42" s="325">
        <v>39142</v>
      </c>
      <c r="F42" s="377" t="s">
        <v>5</v>
      </c>
      <c r="G42" s="252" t="s">
        <v>1451</v>
      </c>
      <c r="H42" s="304" t="s">
        <v>183</v>
      </c>
      <c r="I42" s="254" t="s">
        <v>2331</v>
      </c>
      <c r="J42" s="318">
        <v>42000</v>
      </c>
      <c r="K42" s="327">
        <v>50000</v>
      </c>
      <c r="L42" s="327">
        <v>49168</v>
      </c>
      <c r="M42" s="318">
        <v>49168</v>
      </c>
      <c r="N42" s="256">
        <v>1.1706666666666667</v>
      </c>
      <c r="O42" s="318">
        <v>98.3</v>
      </c>
      <c r="P42" s="327" t="s">
        <v>134</v>
      </c>
      <c r="Q42" s="327"/>
      <c r="R42" s="318" t="s">
        <v>134</v>
      </c>
      <c r="S42" s="318" t="s">
        <v>233</v>
      </c>
      <c r="T42" s="327"/>
      <c r="U42" s="318" t="s">
        <v>2</v>
      </c>
      <c r="V42" s="318" t="s">
        <v>66</v>
      </c>
      <c r="W42" s="318" t="s">
        <v>66</v>
      </c>
      <c r="X42" s="318"/>
      <c r="Y42" s="318"/>
      <c r="Z42" s="318"/>
      <c r="AA42" s="318"/>
      <c r="AB42" s="327"/>
      <c r="AC42" s="318"/>
      <c r="AD42" s="318"/>
      <c r="AE42" s="327"/>
      <c r="AF42" s="327" t="s">
        <v>75</v>
      </c>
      <c r="AG42" s="327" t="s">
        <v>75</v>
      </c>
      <c r="AH42" s="318">
        <v>1826</v>
      </c>
      <c r="AI42" s="327"/>
      <c r="AJ42" s="259">
        <v>1826</v>
      </c>
      <c r="AK42" s="318" t="s">
        <v>66</v>
      </c>
      <c r="AL42" s="318" t="s">
        <v>66</v>
      </c>
      <c r="AM42" s="318"/>
      <c r="AO42" s="342" t="s">
        <v>75</v>
      </c>
      <c r="AP42" s="342" t="s">
        <v>75</v>
      </c>
      <c r="AQ42" s="342" t="s">
        <v>75</v>
      </c>
      <c r="AR42" s="342" t="s">
        <v>75</v>
      </c>
      <c r="AS42" s="342" t="s">
        <v>75</v>
      </c>
      <c r="AT42" s="342" t="s">
        <v>188</v>
      </c>
      <c r="AU42" s="342"/>
      <c r="AV42" s="377" t="s">
        <v>186</v>
      </c>
      <c r="BN42" s="342"/>
      <c r="BO42" s="342"/>
      <c r="BP42" s="342"/>
      <c r="BQ42" s="342"/>
      <c r="BR42" s="342"/>
      <c r="BS42" s="342"/>
      <c r="BT42" s="342"/>
      <c r="BU42" s="342"/>
      <c r="BV42" s="342"/>
      <c r="BW42" s="342"/>
      <c r="BX42" s="342"/>
      <c r="BY42" s="342"/>
      <c r="BZ42" s="342"/>
      <c r="CA42" s="342"/>
      <c r="CB42" s="342"/>
      <c r="CC42" s="342"/>
      <c r="CD42" s="342"/>
      <c r="CE42" s="342"/>
      <c r="CF42" s="342"/>
      <c r="CG42" s="342"/>
      <c r="CH42" s="342"/>
      <c r="CI42" s="342"/>
      <c r="CJ42" s="342"/>
      <c r="CK42" s="342"/>
      <c r="CL42" s="342"/>
      <c r="CM42" s="342"/>
      <c r="CN42" s="342"/>
      <c r="CO42" s="342"/>
      <c r="CP42" s="342"/>
      <c r="CQ42" s="342"/>
      <c r="CR42" s="342"/>
      <c r="CS42" s="342"/>
      <c r="CT42" s="342"/>
      <c r="CU42" s="342"/>
      <c r="CV42" s="342"/>
      <c r="CW42" s="342"/>
      <c r="CX42" s="342"/>
      <c r="CY42" s="342"/>
      <c r="CZ42" s="342"/>
      <c r="DA42" s="342"/>
      <c r="DB42" s="342"/>
      <c r="DC42" s="342"/>
      <c r="DD42" s="342"/>
      <c r="DE42" s="342"/>
      <c r="DF42" s="342"/>
      <c r="DG42" s="342"/>
      <c r="DH42" s="342"/>
      <c r="DI42" s="342"/>
      <c r="DJ42" s="342"/>
      <c r="DK42" s="342"/>
      <c r="DL42" s="342"/>
      <c r="DM42" s="342"/>
      <c r="DN42" s="342"/>
      <c r="DO42" s="342"/>
      <c r="DP42" s="342"/>
      <c r="DQ42" s="342"/>
      <c r="DR42" s="342"/>
      <c r="DS42" s="342"/>
      <c r="DT42" s="342"/>
      <c r="DU42" s="342"/>
      <c r="DV42" s="342"/>
      <c r="DW42" s="342"/>
      <c r="DX42" s="342"/>
      <c r="DY42" s="342"/>
      <c r="DZ42" s="342"/>
      <c r="EA42" s="342"/>
      <c r="EB42" s="342"/>
      <c r="EC42" s="342"/>
      <c r="ED42" s="342"/>
      <c r="EE42" s="342"/>
      <c r="EF42" s="342"/>
      <c r="EG42" s="342"/>
      <c r="EH42" s="342"/>
      <c r="EI42" s="342"/>
      <c r="EJ42" s="342"/>
      <c r="EK42" s="342"/>
      <c r="EL42" s="342"/>
      <c r="EM42" s="342"/>
      <c r="EN42" s="342"/>
      <c r="EO42" s="342"/>
      <c r="EP42" s="342"/>
      <c r="EQ42" s="342"/>
      <c r="ER42" s="342"/>
      <c r="ES42" s="342"/>
      <c r="ET42" s="342"/>
      <c r="EU42" s="342"/>
      <c r="EV42" s="342"/>
      <c r="EW42" s="342"/>
      <c r="EX42" s="342"/>
      <c r="EY42" s="342"/>
      <c r="EZ42" s="342"/>
      <c r="FA42" s="342"/>
      <c r="FB42" s="342"/>
      <c r="FC42" s="342"/>
      <c r="FD42" s="342"/>
      <c r="FE42" s="342"/>
      <c r="FF42" s="342"/>
      <c r="FG42" s="342"/>
      <c r="FH42" s="342"/>
      <c r="FI42" s="342"/>
      <c r="FJ42" s="342"/>
      <c r="FK42" s="342"/>
      <c r="FL42" s="342"/>
      <c r="FM42" s="342"/>
      <c r="FN42" s="342"/>
      <c r="FO42" s="342"/>
      <c r="FP42" s="342"/>
      <c r="FQ42" s="342"/>
      <c r="FR42" s="342"/>
      <c r="FS42" s="342"/>
      <c r="FT42" s="342"/>
      <c r="FU42" s="342"/>
      <c r="FV42" s="342"/>
      <c r="FW42" s="342"/>
      <c r="FX42" s="342"/>
      <c r="FY42" s="342"/>
      <c r="FZ42" s="342"/>
      <c r="GA42" s="342"/>
      <c r="GB42" s="342"/>
      <c r="GC42" s="342"/>
      <c r="GD42" s="342"/>
      <c r="GE42" s="342"/>
      <c r="GF42" s="342"/>
      <c r="GG42" s="342"/>
      <c r="GH42" s="342"/>
      <c r="GI42" s="342"/>
      <c r="GJ42" s="342"/>
      <c r="GK42" s="342"/>
      <c r="GL42" s="342"/>
      <c r="GM42" s="342"/>
      <c r="GN42" s="342"/>
      <c r="GO42" s="342"/>
      <c r="GP42" s="342"/>
      <c r="GQ42" s="342"/>
      <c r="GR42" s="342"/>
      <c r="GS42" s="342"/>
      <c r="GT42" s="342"/>
      <c r="GU42" s="342"/>
      <c r="GV42" s="342"/>
      <c r="GW42" s="342"/>
      <c r="GX42" s="342"/>
      <c r="GY42" s="342"/>
      <c r="GZ42" s="342"/>
      <c r="HA42" s="342"/>
      <c r="HB42" s="342"/>
      <c r="HC42" s="342"/>
      <c r="HD42" s="342"/>
      <c r="HE42" s="342"/>
      <c r="HF42" s="342"/>
      <c r="HG42" s="342"/>
      <c r="HH42" s="342"/>
      <c r="HI42" s="342"/>
      <c r="HJ42" s="342"/>
      <c r="HK42" s="342"/>
    </row>
    <row r="43" spans="1:219" s="388" customFormat="1" ht="18.75" customHeight="1">
      <c r="A43" s="260">
        <v>569</v>
      </c>
      <c r="B43" s="377" t="s">
        <v>140</v>
      </c>
      <c r="C43" s="377" t="s">
        <v>1299</v>
      </c>
      <c r="D43" s="325">
        <v>38718</v>
      </c>
      <c r="E43" s="317">
        <v>38838</v>
      </c>
      <c r="F43" s="304" t="s">
        <v>5</v>
      </c>
      <c r="G43" s="252" t="s">
        <v>1451</v>
      </c>
      <c r="H43" s="304" t="s">
        <v>301</v>
      </c>
      <c r="I43" s="254" t="s">
        <v>2331</v>
      </c>
      <c r="J43" s="318">
        <v>9500</v>
      </c>
      <c r="K43" s="327">
        <v>99827</v>
      </c>
      <c r="L43" s="327">
        <v>96773</v>
      </c>
      <c r="M43" s="327">
        <v>96773</v>
      </c>
      <c r="N43" s="256">
        <v>10.186631578947368</v>
      </c>
      <c r="O43" s="318">
        <v>96.9</v>
      </c>
      <c r="P43" s="318" t="s">
        <v>75</v>
      </c>
      <c r="Q43" s="327">
        <v>9500</v>
      </c>
      <c r="R43" s="318">
        <v>9500</v>
      </c>
      <c r="S43" s="318" t="s">
        <v>233</v>
      </c>
      <c r="T43" s="330" t="s">
        <v>134</v>
      </c>
      <c r="U43" s="318" t="s">
        <v>134</v>
      </c>
      <c r="V43" s="318">
        <v>2745</v>
      </c>
      <c r="W43" s="318">
        <v>2001</v>
      </c>
      <c r="X43" s="349">
        <v>0.21063157894736842</v>
      </c>
      <c r="Y43" s="330" t="s">
        <v>206</v>
      </c>
      <c r="Z43" s="318" t="s">
        <v>75</v>
      </c>
      <c r="AA43" s="318" t="s">
        <v>134</v>
      </c>
      <c r="AB43" s="318" t="s">
        <v>134</v>
      </c>
      <c r="AC43" s="318" t="s">
        <v>75</v>
      </c>
      <c r="AD43" s="318" t="s">
        <v>75</v>
      </c>
      <c r="AE43" s="318" t="s">
        <v>75</v>
      </c>
      <c r="AF43" s="318" t="s">
        <v>75</v>
      </c>
      <c r="AG43" s="318" t="s">
        <v>75</v>
      </c>
      <c r="AH43" s="318" t="s">
        <v>75</v>
      </c>
      <c r="AI43" s="318" t="s">
        <v>75</v>
      </c>
      <c r="AJ43" s="259">
        <v>0</v>
      </c>
      <c r="AK43" s="318" t="s">
        <v>66</v>
      </c>
      <c r="AL43" s="318" t="s">
        <v>66</v>
      </c>
      <c r="AM43" s="318"/>
      <c r="AO43" s="342" t="s">
        <v>75</v>
      </c>
      <c r="AP43" s="342" t="s">
        <v>75</v>
      </c>
      <c r="AQ43" s="342" t="s">
        <v>75</v>
      </c>
      <c r="AR43" s="342" t="s">
        <v>75</v>
      </c>
      <c r="AS43" s="342" t="s">
        <v>75</v>
      </c>
      <c r="AT43" s="342" t="s">
        <v>75</v>
      </c>
      <c r="AU43" s="342" t="s">
        <v>75</v>
      </c>
      <c r="AV43" s="404" t="s">
        <v>302</v>
      </c>
      <c r="BN43" s="342"/>
      <c r="BO43" s="342"/>
      <c r="BP43" s="342"/>
      <c r="BQ43" s="342"/>
      <c r="BR43" s="342"/>
      <c r="BS43" s="342"/>
      <c r="BT43" s="342"/>
      <c r="BU43" s="342"/>
      <c r="BV43" s="342"/>
      <c r="BW43" s="342"/>
      <c r="BX43" s="342"/>
      <c r="BY43" s="342"/>
      <c r="BZ43" s="342"/>
      <c r="CA43" s="342"/>
      <c r="CB43" s="342"/>
      <c r="CC43" s="342"/>
      <c r="CD43" s="342"/>
      <c r="CE43" s="342"/>
      <c r="CF43" s="342"/>
      <c r="CG43" s="342"/>
      <c r="CH43" s="342"/>
      <c r="CI43" s="342"/>
      <c r="CJ43" s="342"/>
      <c r="CK43" s="342"/>
      <c r="CL43" s="342"/>
      <c r="CM43" s="342"/>
      <c r="CN43" s="342"/>
      <c r="CO43" s="342"/>
      <c r="CP43" s="342"/>
      <c r="CQ43" s="342"/>
      <c r="CR43" s="342"/>
      <c r="CS43" s="342"/>
      <c r="CT43" s="342"/>
      <c r="CU43" s="342"/>
      <c r="CV43" s="342"/>
      <c r="CW43" s="342"/>
      <c r="CX43" s="342"/>
      <c r="CY43" s="342"/>
      <c r="CZ43" s="342"/>
      <c r="DA43" s="342"/>
      <c r="DB43" s="342"/>
      <c r="DC43" s="342"/>
      <c r="DD43" s="342"/>
      <c r="DE43" s="342"/>
      <c r="DF43" s="342"/>
      <c r="DG43" s="342"/>
      <c r="DH43" s="342"/>
      <c r="DI43" s="342"/>
      <c r="DJ43" s="342"/>
      <c r="DK43" s="342"/>
      <c r="DL43" s="342"/>
      <c r="DM43" s="342"/>
      <c r="DN43" s="342"/>
      <c r="DO43" s="342"/>
      <c r="DP43" s="342"/>
      <c r="DQ43" s="342"/>
      <c r="DR43" s="342"/>
      <c r="DS43" s="342"/>
      <c r="DT43" s="342"/>
      <c r="DU43" s="342"/>
      <c r="DV43" s="342"/>
      <c r="DW43" s="342"/>
      <c r="DX43" s="342"/>
      <c r="DY43" s="342"/>
      <c r="DZ43" s="342"/>
      <c r="EA43" s="342"/>
      <c r="EB43" s="342"/>
      <c r="EC43" s="342"/>
      <c r="ED43" s="342"/>
      <c r="EE43" s="342"/>
      <c r="EF43" s="342"/>
      <c r="EG43" s="342"/>
      <c r="EH43" s="342"/>
      <c r="EI43" s="342"/>
      <c r="EJ43" s="342"/>
      <c r="EK43" s="342"/>
      <c r="EL43" s="342"/>
      <c r="EM43" s="342"/>
      <c r="EN43" s="342"/>
      <c r="EO43" s="342"/>
      <c r="EP43" s="342"/>
      <c r="EQ43" s="342"/>
      <c r="ER43" s="342"/>
      <c r="ES43" s="342"/>
      <c r="ET43" s="342"/>
      <c r="EU43" s="342"/>
      <c r="EV43" s="342"/>
      <c r="EW43" s="342"/>
      <c r="EX43" s="342"/>
      <c r="EY43" s="342"/>
      <c r="EZ43" s="342"/>
      <c r="FA43" s="342"/>
      <c r="FB43" s="342"/>
      <c r="FC43" s="342"/>
      <c r="FD43" s="342"/>
      <c r="FE43" s="342"/>
      <c r="FF43" s="342"/>
      <c r="FG43" s="342"/>
      <c r="FH43" s="342"/>
      <c r="FI43" s="342"/>
      <c r="FJ43" s="342"/>
      <c r="FK43" s="342"/>
      <c r="FL43" s="342"/>
      <c r="FM43" s="342"/>
      <c r="FN43" s="342"/>
      <c r="FO43" s="342"/>
      <c r="FP43" s="342"/>
      <c r="FQ43" s="342"/>
      <c r="FR43" s="342"/>
      <c r="FS43" s="342"/>
      <c r="FT43" s="342"/>
      <c r="FU43" s="342"/>
      <c r="FV43" s="342"/>
      <c r="FW43" s="342"/>
      <c r="FX43" s="342"/>
      <c r="FY43" s="342"/>
      <c r="FZ43" s="342"/>
      <c r="GA43" s="342"/>
      <c r="GB43" s="342"/>
      <c r="GC43" s="342"/>
      <c r="GD43" s="342"/>
      <c r="GE43" s="342"/>
      <c r="GF43" s="342"/>
      <c r="GG43" s="342"/>
      <c r="GH43" s="342"/>
      <c r="GI43" s="342"/>
      <c r="GJ43" s="342"/>
      <c r="GK43" s="342"/>
      <c r="GL43" s="342"/>
      <c r="GM43" s="342"/>
      <c r="GN43" s="342"/>
      <c r="GO43" s="342"/>
      <c r="GP43" s="342"/>
      <c r="GQ43" s="342"/>
      <c r="GR43" s="342"/>
      <c r="GS43" s="342"/>
      <c r="GT43" s="342"/>
      <c r="GU43" s="342"/>
      <c r="GV43" s="342"/>
      <c r="GW43" s="342"/>
      <c r="GX43" s="342"/>
      <c r="GY43" s="342"/>
      <c r="GZ43" s="342"/>
      <c r="HA43" s="342"/>
      <c r="HB43" s="342"/>
      <c r="HC43" s="342"/>
      <c r="HD43" s="342"/>
      <c r="HE43" s="342"/>
      <c r="HF43" s="342"/>
      <c r="HG43" s="342"/>
      <c r="HH43" s="342"/>
      <c r="HI43" s="342"/>
      <c r="HJ43" s="342"/>
      <c r="HK43" s="342"/>
    </row>
    <row r="44" spans="1:219" s="342" customFormat="1" ht="18.75" customHeight="1">
      <c r="A44" s="260">
        <v>570</v>
      </c>
      <c r="B44" s="304" t="s">
        <v>120</v>
      </c>
      <c r="C44" s="304" t="s">
        <v>1299</v>
      </c>
      <c r="D44" s="317">
        <v>38930</v>
      </c>
      <c r="E44" s="317">
        <v>39356</v>
      </c>
      <c r="F44" s="304" t="s">
        <v>79</v>
      </c>
      <c r="G44" s="273" t="s">
        <v>1453</v>
      </c>
      <c r="H44" s="304" t="s">
        <v>776</v>
      </c>
      <c r="I44" s="254" t="s">
        <v>2331</v>
      </c>
      <c r="J44" s="318">
        <v>25000</v>
      </c>
      <c r="K44" s="342">
        <v>0</v>
      </c>
      <c r="L44" s="318">
        <v>151306</v>
      </c>
      <c r="M44" s="318">
        <v>151306</v>
      </c>
      <c r="N44" s="256">
        <v>6.0522400000000003</v>
      </c>
      <c r="O44" s="318" t="s">
        <v>66</v>
      </c>
      <c r="P44" s="318" t="s">
        <v>75</v>
      </c>
      <c r="Q44" s="318" t="s">
        <v>75</v>
      </c>
      <c r="R44" s="318" t="s">
        <v>75</v>
      </c>
      <c r="S44" s="318" t="s">
        <v>849</v>
      </c>
      <c r="T44" s="318" t="s">
        <v>75</v>
      </c>
      <c r="U44" s="318" t="s">
        <v>75</v>
      </c>
      <c r="V44" s="318" t="s">
        <v>75</v>
      </c>
      <c r="W44" s="318" t="s">
        <v>75</v>
      </c>
      <c r="X44" s="318"/>
      <c r="Y44" s="318" t="s">
        <v>75</v>
      </c>
      <c r="Z44" s="318" t="s">
        <v>75</v>
      </c>
      <c r="AA44" s="318" t="s">
        <v>75</v>
      </c>
      <c r="AB44" s="318" t="s">
        <v>75</v>
      </c>
      <c r="AC44" s="318" t="s">
        <v>75</v>
      </c>
      <c r="AD44" s="318" t="s">
        <v>75</v>
      </c>
      <c r="AE44" s="318" t="s">
        <v>75</v>
      </c>
      <c r="AF44" s="318" t="s">
        <v>75</v>
      </c>
      <c r="AG44" s="318" t="s">
        <v>75</v>
      </c>
      <c r="AH44" s="318" t="s">
        <v>75</v>
      </c>
      <c r="AI44" s="318" t="s">
        <v>75</v>
      </c>
      <c r="AJ44" s="254">
        <v>0</v>
      </c>
      <c r="AK44" s="318" t="s">
        <v>75</v>
      </c>
      <c r="AL44" s="318" t="s">
        <v>75</v>
      </c>
      <c r="AM44" s="318"/>
      <c r="AN44" s="319"/>
      <c r="AO44" s="319" t="s">
        <v>75</v>
      </c>
      <c r="AP44" s="319" t="s">
        <v>75</v>
      </c>
      <c r="AQ44" s="319" t="s">
        <v>75</v>
      </c>
      <c r="AR44" s="319" t="s">
        <v>75</v>
      </c>
      <c r="AS44" s="319" t="s">
        <v>75</v>
      </c>
      <c r="AT44" s="319" t="s">
        <v>75</v>
      </c>
      <c r="AU44" s="319" t="s">
        <v>75</v>
      </c>
      <c r="AV44" s="356" t="s">
        <v>775</v>
      </c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  <c r="BM44" s="357"/>
      <c r="BN44" s="357"/>
    </row>
    <row r="45" spans="1:219" s="342" customFormat="1" ht="18.75" customHeight="1">
      <c r="A45" s="260">
        <v>571</v>
      </c>
      <c r="B45" s="304" t="s">
        <v>120</v>
      </c>
      <c r="C45" s="304" t="s">
        <v>1299</v>
      </c>
      <c r="D45" s="317">
        <v>39052</v>
      </c>
      <c r="E45" s="317">
        <v>39387</v>
      </c>
      <c r="F45" s="304" t="s">
        <v>781</v>
      </c>
      <c r="G45" s="273" t="s">
        <v>1464</v>
      </c>
      <c r="H45" s="304" t="s">
        <v>759</v>
      </c>
      <c r="I45" s="254" t="s">
        <v>2331</v>
      </c>
      <c r="J45" s="318">
        <v>5000</v>
      </c>
      <c r="K45" s="318">
        <v>53044</v>
      </c>
      <c r="L45" s="318">
        <v>52919</v>
      </c>
      <c r="M45" s="318">
        <v>52919</v>
      </c>
      <c r="N45" s="256">
        <v>10.5838</v>
      </c>
      <c r="O45" s="318">
        <v>100</v>
      </c>
      <c r="P45" s="318" t="s">
        <v>75</v>
      </c>
      <c r="Q45" s="318" t="s">
        <v>75</v>
      </c>
      <c r="R45" s="318" t="s">
        <v>75</v>
      </c>
      <c r="S45" s="318" t="s">
        <v>849</v>
      </c>
      <c r="T45" s="318" t="s">
        <v>75</v>
      </c>
      <c r="U45" s="318" t="s">
        <v>75</v>
      </c>
      <c r="V45" s="318" t="s">
        <v>75</v>
      </c>
      <c r="W45" s="318" t="s">
        <v>75</v>
      </c>
      <c r="X45" s="318"/>
      <c r="Y45" s="318" t="s">
        <v>75</v>
      </c>
      <c r="Z45" s="318" t="s">
        <v>75</v>
      </c>
      <c r="AA45" s="318" t="s">
        <v>75</v>
      </c>
      <c r="AB45" s="318" t="s">
        <v>75</v>
      </c>
      <c r="AC45" s="318" t="s">
        <v>75</v>
      </c>
      <c r="AD45" s="318" t="s">
        <v>75</v>
      </c>
      <c r="AE45" s="318" t="s">
        <v>75</v>
      </c>
      <c r="AF45" s="318" t="s">
        <v>75</v>
      </c>
      <c r="AG45" s="318" t="s">
        <v>75</v>
      </c>
      <c r="AH45" s="318" t="s">
        <v>75</v>
      </c>
      <c r="AI45" s="318" t="s">
        <v>75</v>
      </c>
      <c r="AJ45" s="254">
        <v>0</v>
      </c>
      <c r="AK45" s="318" t="s">
        <v>75</v>
      </c>
      <c r="AL45" s="318" t="s">
        <v>75</v>
      </c>
      <c r="AM45" s="318"/>
      <c r="AN45" s="319"/>
      <c r="AO45" s="319" t="s">
        <v>75</v>
      </c>
      <c r="AP45" s="319" t="s">
        <v>75</v>
      </c>
      <c r="AQ45" s="319" t="s">
        <v>75</v>
      </c>
      <c r="AR45" s="319" t="s">
        <v>75</v>
      </c>
      <c r="AS45" s="319" t="s">
        <v>75</v>
      </c>
      <c r="AT45" s="319" t="s">
        <v>75</v>
      </c>
      <c r="AU45" s="319" t="s">
        <v>75</v>
      </c>
      <c r="AV45" s="356" t="s">
        <v>758</v>
      </c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</row>
    <row r="46" spans="1:219" s="388" customFormat="1" ht="18.75" customHeight="1">
      <c r="A46" s="260">
        <v>572</v>
      </c>
      <c r="B46" s="377" t="s">
        <v>212</v>
      </c>
      <c r="C46" s="377" t="s">
        <v>1299</v>
      </c>
      <c r="D46" s="325">
        <v>38808</v>
      </c>
      <c r="E46" s="325">
        <v>38869</v>
      </c>
      <c r="F46" s="377" t="s">
        <v>226</v>
      </c>
      <c r="G46" s="252" t="s">
        <v>1449</v>
      </c>
      <c r="H46" s="304" t="s">
        <v>222</v>
      </c>
      <c r="I46" s="254" t="s">
        <v>2331</v>
      </c>
      <c r="J46" s="318">
        <v>2295499</v>
      </c>
      <c r="K46" s="327">
        <v>27000</v>
      </c>
      <c r="L46" s="327">
        <v>26463</v>
      </c>
      <c r="M46" s="318">
        <v>26463</v>
      </c>
      <c r="N46" s="256">
        <v>1.1528212384322537E-2</v>
      </c>
      <c r="O46" s="318">
        <v>98</v>
      </c>
      <c r="P46" s="327" t="s">
        <v>75</v>
      </c>
      <c r="Q46" s="327" t="s">
        <v>75</v>
      </c>
      <c r="R46" s="318" t="s">
        <v>75</v>
      </c>
      <c r="S46" s="318" t="s">
        <v>233</v>
      </c>
      <c r="T46" s="327" t="s">
        <v>75</v>
      </c>
      <c r="U46" s="318" t="s">
        <v>75</v>
      </c>
      <c r="V46" s="318" t="s">
        <v>66</v>
      </c>
      <c r="W46" s="318" t="s">
        <v>66</v>
      </c>
      <c r="X46" s="318"/>
      <c r="Y46" s="318">
        <v>79339</v>
      </c>
      <c r="Z46" s="318" t="s">
        <v>75</v>
      </c>
      <c r="AA46" s="318">
        <v>79339</v>
      </c>
      <c r="AB46" s="327">
        <v>1000</v>
      </c>
      <c r="AC46" s="318" t="s">
        <v>75</v>
      </c>
      <c r="AD46" s="318"/>
      <c r="AE46" s="327" t="s">
        <v>75</v>
      </c>
      <c r="AF46" s="327" t="s">
        <v>75</v>
      </c>
      <c r="AG46" s="327" t="s">
        <v>75</v>
      </c>
      <c r="AH46" s="318" t="s">
        <v>75</v>
      </c>
      <c r="AI46" s="327" t="s">
        <v>75</v>
      </c>
      <c r="AJ46" s="259">
        <v>79339</v>
      </c>
      <c r="AK46" s="330" t="s">
        <v>66</v>
      </c>
      <c r="AL46" s="318" t="s">
        <v>66</v>
      </c>
      <c r="AM46" s="318"/>
      <c r="AO46" s="342" t="s">
        <v>75</v>
      </c>
      <c r="AP46" s="342" t="s">
        <v>75</v>
      </c>
      <c r="AQ46" s="342" t="s">
        <v>75</v>
      </c>
      <c r="AR46" s="342" t="s">
        <v>75</v>
      </c>
      <c r="AS46" s="342" t="s">
        <v>75</v>
      </c>
      <c r="AT46" s="342" t="s">
        <v>75</v>
      </c>
      <c r="AU46" s="342" t="s">
        <v>75</v>
      </c>
      <c r="AV46" s="404" t="s">
        <v>223</v>
      </c>
      <c r="BN46" s="342"/>
      <c r="BO46" s="342"/>
      <c r="BP46" s="342"/>
      <c r="BQ46" s="342"/>
      <c r="BR46" s="342"/>
      <c r="BS46" s="342"/>
      <c r="BT46" s="342"/>
      <c r="BU46" s="342"/>
      <c r="BV46" s="342"/>
      <c r="BW46" s="342"/>
      <c r="BX46" s="342"/>
      <c r="BY46" s="342"/>
      <c r="BZ46" s="342"/>
      <c r="CA46" s="342"/>
      <c r="CB46" s="342"/>
      <c r="CC46" s="342"/>
      <c r="CD46" s="342"/>
      <c r="CE46" s="342"/>
      <c r="CF46" s="342"/>
      <c r="CG46" s="342"/>
      <c r="CH46" s="342"/>
      <c r="CI46" s="342"/>
      <c r="CJ46" s="342"/>
      <c r="CK46" s="342"/>
      <c r="CL46" s="342"/>
      <c r="CM46" s="342"/>
      <c r="CN46" s="342"/>
      <c r="CO46" s="342"/>
      <c r="CP46" s="342"/>
      <c r="CQ46" s="342"/>
      <c r="CR46" s="342"/>
      <c r="CS46" s="342"/>
      <c r="CT46" s="342"/>
      <c r="CU46" s="342"/>
      <c r="CV46" s="342"/>
      <c r="CW46" s="342"/>
      <c r="CX46" s="342"/>
      <c r="CY46" s="342"/>
      <c r="CZ46" s="342"/>
      <c r="DA46" s="342"/>
      <c r="DB46" s="342"/>
      <c r="DC46" s="342"/>
      <c r="DD46" s="342"/>
      <c r="DE46" s="342"/>
      <c r="DF46" s="342"/>
      <c r="DG46" s="342"/>
      <c r="DH46" s="342"/>
      <c r="DI46" s="342"/>
      <c r="DJ46" s="342"/>
      <c r="DK46" s="342"/>
      <c r="DL46" s="342"/>
      <c r="DM46" s="342"/>
      <c r="DN46" s="342"/>
      <c r="DO46" s="342"/>
      <c r="DP46" s="342"/>
      <c r="DQ46" s="342"/>
      <c r="DR46" s="342"/>
      <c r="DS46" s="342"/>
      <c r="DT46" s="342"/>
      <c r="DU46" s="342"/>
      <c r="DV46" s="342"/>
      <c r="DW46" s="342"/>
      <c r="DX46" s="342"/>
      <c r="DY46" s="342"/>
      <c r="DZ46" s="342"/>
      <c r="EA46" s="342"/>
      <c r="EB46" s="342"/>
      <c r="EC46" s="342"/>
      <c r="ED46" s="342"/>
      <c r="EE46" s="342"/>
      <c r="EF46" s="342"/>
      <c r="EG46" s="342"/>
      <c r="EH46" s="342"/>
      <c r="EI46" s="342"/>
      <c r="EJ46" s="342"/>
      <c r="EK46" s="342"/>
      <c r="EL46" s="342"/>
      <c r="EM46" s="342"/>
      <c r="EN46" s="342"/>
      <c r="EO46" s="342"/>
      <c r="EP46" s="342"/>
      <c r="EQ46" s="342"/>
      <c r="ER46" s="342"/>
      <c r="ES46" s="342"/>
      <c r="ET46" s="342"/>
      <c r="EU46" s="342"/>
      <c r="EV46" s="342"/>
      <c r="EW46" s="342"/>
      <c r="EX46" s="342"/>
      <c r="EY46" s="342"/>
      <c r="EZ46" s="342"/>
      <c r="FA46" s="342"/>
      <c r="FB46" s="342"/>
      <c r="FC46" s="342"/>
      <c r="FD46" s="342"/>
      <c r="FE46" s="342"/>
      <c r="FF46" s="342"/>
      <c r="FG46" s="342"/>
      <c r="FH46" s="342"/>
      <c r="FI46" s="342"/>
      <c r="FJ46" s="342"/>
      <c r="FK46" s="342"/>
      <c r="FL46" s="342"/>
      <c r="FM46" s="342"/>
      <c r="FN46" s="342"/>
      <c r="FO46" s="342"/>
      <c r="FP46" s="342"/>
      <c r="FQ46" s="342"/>
      <c r="FR46" s="342"/>
      <c r="FS46" s="342"/>
      <c r="FT46" s="342"/>
      <c r="FU46" s="342"/>
      <c r="FV46" s="342"/>
      <c r="FW46" s="342"/>
      <c r="FX46" s="342"/>
      <c r="FY46" s="342"/>
      <c r="FZ46" s="342"/>
      <c r="GA46" s="342"/>
      <c r="GB46" s="342"/>
      <c r="GC46" s="342"/>
      <c r="GD46" s="342"/>
      <c r="GE46" s="342"/>
      <c r="GF46" s="342"/>
      <c r="GG46" s="342"/>
      <c r="GH46" s="342"/>
      <c r="GI46" s="342"/>
      <c r="GJ46" s="342"/>
      <c r="GK46" s="342"/>
      <c r="GL46" s="342"/>
      <c r="GM46" s="342"/>
      <c r="GN46" s="342"/>
      <c r="GO46" s="342"/>
      <c r="GP46" s="342"/>
      <c r="GQ46" s="342"/>
      <c r="GR46" s="342"/>
      <c r="GS46" s="342"/>
      <c r="GT46" s="342"/>
      <c r="GU46" s="342"/>
      <c r="GV46" s="342"/>
      <c r="GW46" s="342"/>
      <c r="GX46" s="342"/>
      <c r="GY46" s="342"/>
      <c r="GZ46" s="342"/>
      <c r="HA46" s="342"/>
      <c r="HB46" s="342"/>
      <c r="HC46" s="342"/>
      <c r="HD46" s="342"/>
      <c r="HE46" s="342"/>
      <c r="HF46" s="342"/>
      <c r="HG46" s="342"/>
      <c r="HH46" s="342"/>
      <c r="HI46" s="342"/>
      <c r="HJ46" s="342"/>
      <c r="HK46" s="342"/>
    </row>
    <row r="47" spans="1:219" s="388" customFormat="1" ht="18.75" customHeight="1">
      <c r="A47" s="260">
        <v>573</v>
      </c>
      <c r="B47" s="304" t="s">
        <v>118</v>
      </c>
      <c r="C47" s="304" t="s">
        <v>1299</v>
      </c>
      <c r="D47" s="317">
        <v>38899</v>
      </c>
      <c r="E47" s="317">
        <v>39234</v>
      </c>
      <c r="F47" s="304" t="s">
        <v>5</v>
      </c>
      <c r="G47" s="252" t="s">
        <v>1451</v>
      </c>
      <c r="H47" s="304" t="s">
        <v>748</v>
      </c>
      <c r="I47" s="254" t="s">
        <v>2331</v>
      </c>
      <c r="J47" s="318">
        <v>2000</v>
      </c>
      <c r="K47" s="318">
        <v>0</v>
      </c>
      <c r="L47" s="318">
        <v>58727</v>
      </c>
      <c r="M47" s="318">
        <v>58727</v>
      </c>
      <c r="N47" s="256">
        <v>29.363499999999998</v>
      </c>
      <c r="O47" s="318">
        <v>0</v>
      </c>
      <c r="P47" s="318" t="s">
        <v>75</v>
      </c>
      <c r="Q47" s="318" t="s">
        <v>75</v>
      </c>
      <c r="R47" s="318" t="s">
        <v>75</v>
      </c>
      <c r="S47" s="318" t="s">
        <v>849</v>
      </c>
      <c r="T47" s="318" t="s">
        <v>75</v>
      </c>
      <c r="U47" s="318" t="s">
        <v>75</v>
      </c>
      <c r="V47" s="318">
        <v>24370</v>
      </c>
      <c r="W47" s="318">
        <v>24370</v>
      </c>
      <c r="X47" s="318"/>
      <c r="Y47" s="330" t="s">
        <v>206</v>
      </c>
      <c r="Z47" s="318" t="s">
        <v>75</v>
      </c>
      <c r="AA47" s="318">
        <v>2000</v>
      </c>
      <c r="AB47" s="318">
        <v>30</v>
      </c>
      <c r="AC47" s="318" t="s">
        <v>75</v>
      </c>
      <c r="AD47" s="318" t="s">
        <v>75</v>
      </c>
      <c r="AE47" s="318">
        <v>400</v>
      </c>
      <c r="AF47" s="318" t="s">
        <v>75</v>
      </c>
      <c r="AG47" s="318" t="s">
        <v>75</v>
      </c>
      <c r="AH47" s="318" t="s">
        <v>75</v>
      </c>
      <c r="AI47" s="318" t="s">
        <v>75</v>
      </c>
      <c r="AJ47" s="259">
        <v>2000</v>
      </c>
      <c r="AK47" s="318" t="s">
        <v>75</v>
      </c>
      <c r="AL47" s="318" t="s">
        <v>75</v>
      </c>
      <c r="AM47" s="318"/>
      <c r="AN47" s="319"/>
      <c r="AO47" s="319" t="s">
        <v>75</v>
      </c>
      <c r="AP47" s="319" t="s">
        <v>75</v>
      </c>
      <c r="AQ47" s="319" t="s">
        <v>75</v>
      </c>
      <c r="AR47" s="319" t="s">
        <v>75</v>
      </c>
      <c r="AS47" s="319" t="s">
        <v>75</v>
      </c>
      <c r="AT47" s="319" t="s">
        <v>75</v>
      </c>
      <c r="AU47" s="319" t="s">
        <v>75</v>
      </c>
      <c r="AV47" s="363" t="s">
        <v>747</v>
      </c>
      <c r="AW47" s="357"/>
      <c r="AX47" s="357"/>
      <c r="AY47" s="357"/>
      <c r="AZ47" s="357"/>
      <c r="BA47" s="357"/>
      <c r="BB47" s="357"/>
      <c r="BC47" s="357"/>
      <c r="BD47" s="357"/>
      <c r="BE47" s="357"/>
      <c r="BF47" s="357"/>
      <c r="BG47" s="357"/>
      <c r="BH47" s="357"/>
      <c r="BI47" s="357"/>
      <c r="BJ47" s="357"/>
      <c r="BK47" s="357"/>
      <c r="BL47" s="357"/>
      <c r="BM47" s="357"/>
      <c r="BN47" s="357"/>
      <c r="BO47" s="342"/>
      <c r="BP47" s="342"/>
      <c r="BQ47" s="342"/>
      <c r="BR47" s="342"/>
      <c r="BS47" s="342"/>
      <c r="BT47" s="342"/>
      <c r="BU47" s="342"/>
      <c r="BV47" s="342"/>
      <c r="BW47" s="342"/>
      <c r="BX47" s="342"/>
      <c r="BY47" s="342"/>
      <c r="BZ47" s="342"/>
      <c r="CA47" s="342"/>
      <c r="CB47" s="342"/>
      <c r="CC47" s="342"/>
      <c r="CD47" s="342"/>
      <c r="CE47" s="342"/>
      <c r="CF47" s="342"/>
      <c r="CG47" s="342"/>
      <c r="CH47" s="342"/>
      <c r="CI47" s="342"/>
      <c r="CJ47" s="342"/>
      <c r="CK47" s="342"/>
      <c r="CL47" s="342"/>
      <c r="CM47" s="342"/>
      <c r="CN47" s="342"/>
      <c r="CO47" s="342"/>
      <c r="CP47" s="342"/>
      <c r="CQ47" s="342"/>
      <c r="CR47" s="342"/>
      <c r="CS47" s="342"/>
      <c r="CT47" s="342"/>
      <c r="CU47" s="342"/>
      <c r="CV47" s="342"/>
      <c r="CW47" s="342"/>
      <c r="CX47" s="342"/>
      <c r="CY47" s="342"/>
      <c r="CZ47" s="342"/>
      <c r="DA47" s="342"/>
      <c r="DB47" s="342"/>
      <c r="DC47" s="342"/>
      <c r="DD47" s="342"/>
      <c r="DE47" s="342"/>
      <c r="DF47" s="342"/>
      <c r="DG47" s="342"/>
      <c r="DH47" s="342"/>
      <c r="DI47" s="342"/>
      <c r="DJ47" s="342"/>
      <c r="DK47" s="342"/>
      <c r="DL47" s="342"/>
      <c r="DM47" s="342"/>
      <c r="DN47" s="342"/>
      <c r="DO47" s="342"/>
      <c r="DP47" s="342"/>
      <c r="DQ47" s="342"/>
      <c r="DR47" s="342"/>
      <c r="DS47" s="342"/>
      <c r="DT47" s="342"/>
      <c r="DU47" s="342"/>
      <c r="DV47" s="342"/>
      <c r="DW47" s="342"/>
      <c r="DX47" s="342"/>
      <c r="DY47" s="342"/>
      <c r="DZ47" s="342"/>
      <c r="EA47" s="342"/>
      <c r="EB47" s="342"/>
      <c r="EC47" s="342"/>
      <c r="ED47" s="342"/>
      <c r="EE47" s="342"/>
      <c r="EF47" s="342"/>
      <c r="EG47" s="342"/>
      <c r="EH47" s="342"/>
      <c r="EI47" s="342"/>
      <c r="EJ47" s="342"/>
      <c r="EK47" s="342"/>
      <c r="EL47" s="342"/>
      <c r="EM47" s="342"/>
      <c r="EN47" s="342"/>
      <c r="EO47" s="342"/>
      <c r="EP47" s="342"/>
      <c r="EQ47" s="342"/>
      <c r="ER47" s="342"/>
      <c r="ES47" s="342"/>
      <c r="ET47" s="342"/>
      <c r="EU47" s="342"/>
      <c r="EV47" s="342"/>
      <c r="EW47" s="342"/>
      <c r="EX47" s="342"/>
      <c r="EY47" s="342"/>
      <c r="EZ47" s="342"/>
      <c r="FA47" s="342"/>
      <c r="FB47" s="342"/>
      <c r="FC47" s="342"/>
      <c r="FD47" s="342"/>
      <c r="FE47" s="342"/>
      <c r="FF47" s="342"/>
      <c r="FG47" s="342"/>
      <c r="FH47" s="342"/>
      <c r="FI47" s="342"/>
      <c r="FJ47" s="342"/>
      <c r="FK47" s="342"/>
      <c r="FL47" s="342"/>
      <c r="FM47" s="342"/>
      <c r="FN47" s="342"/>
      <c r="FO47" s="342"/>
      <c r="FP47" s="342"/>
      <c r="FQ47" s="342"/>
      <c r="FR47" s="342"/>
      <c r="FS47" s="342"/>
      <c r="FT47" s="342"/>
      <c r="FU47" s="342"/>
      <c r="FV47" s="342"/>
      <c r="FW47" s="342"/>
      <c r="FX47" s="342"/>
      <c r="FY47" s="342"/>
      <c r="FZ47" s="342"/>
      <c r="GA47" s="342"/>
      <c r="GB47" s="342"/>
      <c r="GC47" s="342"/>
      <c r="GD47" s="342"/>
      <c r="GE47" s="342"/>
      <c r="GF47" s="342"/>
      <c r="GG47" s="342"/>
      <c r="GH47" s="342"/>
      <c r="GI47" s="342"/>
      <c r="GJ47" s="342"/>
      <c r="GK47" s="342"/>
      <c r="GL47" s="342"/>
      <c r="GM47" s="342"/>
      <c r="GN47" s="342"/>
      <c r="GO47" s="342"/>
      <c r="GP47" s="342"/>
      <c r="GQ47" s="342"/>
      <c r="GR47" s="342"/>
      <c r="GS47" s="342"/>
      <c r="GT47" s="342"/>
      <c r="GU47" s="342"/>
      <c r="GV47" s="342"/>
      <c r="GW47" s="342"/>
      <c r="GX47" s="342"/>
      <c r="GY47" s="342"/>
      <c r="GZ47" s="342"/>
      <c r="HA47" s="342"/>
      <c r="HB47" s="342"/>
      <c r="HC47" s="342"/>
      <c r="HD47" s="342"/>
      <c r="HE47" s="342"/>
      <c r="HF47" s="342"/>
      <c r="HG47" s="342"/>
      <c r="HH47" s="342"/>
      <c r="HI47" s="342"/>
      <c r="HJ47" s="342"/>
      <c r="HK47" s="342"/>
    </row>
    <row r="48" spans="1:219" s="388" customFormat="1" ht="18.75" customHeight="1">
      <c r="A48" s="260">
        <v>574</v>
      </c>
      <c r="B48" s="278" t="s">
        <v>2406</v>
      </c>
      <c r="C48" s="405" t="s">
        <v>1278</v>
      </c>
      <c r="D48" s="262">
        <v>38919</v>
      </c>
      <c r="E48" s="262">
        <v>39903</v>
      </c>
      <c r="F48" s="304" t="s">
        <v>668</v>
      </c>
      <c r="G48" s="252" t="s">
        <v>1452</v>
      </c>
      <c r="H48" s="278" t="s">
        <v>667</v>
      </c>
      <c r="I48" s="278" t="s">
        <v>2438</v>
      </c>
      <c r="J48" s="263">
        <v>50000</v>
      </c>
      <c r="K48" s="263">
        <v>5037019</v>
      </c>
      <c r="L48" s="263">
        <v>4014458</v>
      </c>
      <c r="M48" s="263">
        <v>4014458</v>
      </c>
      <c r="N48" s="256">
        <v>80.289159999999995</v>
      </c>
      <c r="O48" s="263">
        <v>80</v>
      </c>
      <c r="P48" s="263" t="s">
        <v>75</v>
      </c>
      <c r="Q48" s="263" t="s">
        <v>75</v>
      </c>
      <c r="R48" s="263" t="s">
        <v>75</v>
      </c>
      <c r="S48" s="263" t="s">
        <v>95</v>
      </c>
      <c r="T48" s="263" t="s">
        <v>75</v>
      </c>
      <c r="U48" s="263" t="s">
        <v>75</v>
      </c>
      <c r="V48" s="263">
        <v>86590</v>
      </c>
      <c r="W48" s="263">
        <v>85705</v>
      </c>
      <c r="X48" s="263"/>
      <c r="Y48" s="263" t="s">
        <v>75</v>
      </c>
      <c r="Z48" s="263" t="s">
        <v>75</v>
      </c>
      <c r="AA48" s="263" t="s">
        <v>75</v>
      </c>
      <c r="AB48" s="263" t="s">
        <v>75</v>
      </c>
      <c r="AC48" s="263" t="s">
        <v>75</v>
      </c>
      <c r="AD48" s="263" t="s">
        <v>75</v>
      </c>
      <c r="AE48" s="263" t="s">
        <v>75</v>
      </c>
      <c r="AF48" s="263" t="s">
        <v>75</v>
      </c>
      <c r="AG48" s="263" t="s">
        <v>75</v>
      </c>
      <c r="AH48" s="263" t="s">
        <v>75</v>
      </c>
      <c r="AI48" s="263" t="s">
        <v>75</v>
      </c>
      <c r="AJ48" s="259">
        <v>0</v>
      </c>
      <c r="AK48" s="263">
        <v>3607</v>
      </c>
      <c r="AL48" s="263">
        <v>222347</v>
      </c>
      <c r="AM48" s="318"/>
      <c r="AN48" s="264"/>
      <c r="AO48" s="264" t="s">
        <v>75</v>
      </c>
      <c r="AP48" s="264" t="s">
        <v>75</v>
      </c>
      <c r="AQ48" s="264" t="s">
        <v>75</v>
      </c>
      <c r="AR48" s="264" t="s">
        <v>75</v>
      </c>
      <c r="AS48" s="264" t="s">
        <v>75</v>
      </c>
      <c r="AT48" s="264" t="s">
        <v>75</v>
      </c>
      <c r="AU48" s="264" t="s">
        <v>75</v>
      </c>
      <c r="AV48" s="293" t="s">
        <v>666</v>
      </c>
      <c r="AW48" s="358"/>
      <c r="AX48" s="358"/>
      <c r="AY48" s="358"/>
      <c r="AZ48" s="358"/>
      <c r="BA48" s="358"/>
      <c r="BB48" s="358"/>
      <c r="BC48" s="358"/>
      <c r="BD48" s="358"/>
      <c r="BE48" s="358"/>
      <c r="BF48" s="358"/>
      <c r="BG48" s="358"/>
      <c r="BH48" s="358"/>
      <c r="BI48" s="358"/>
      <c r="BJ48" s="358"/>
      <c r="BK48" s="358"/>
      <c r="BL48" s="358"/>
      <c r="BM48" s="358"/>
      <c r="BN48" s="358"/>
      <c r="BO48" s="342"/>
      <c r="BP48" s="342"/>
      <c r="BQ48" s="342"/>
      <c r="BR48" s="342"/>
      <c r="BS48" s="342"/>
      <c r="BT48" s="342"/>
      <c r="BU48" s="342"/>
      <c r="BV48" s="342"/>
      <c r="BW48" s="342"/>
      <c r="BX48" s="342"/>
      <c r="BY48" s="342"/>
      <c r="BZ48" s="342"/>
      <c r="CA48" s="342"/>
      <c r="CB48" s="342"/>
      <c r="CC48" s="342"/>
      <c r="CD48" s="342"/>
      <c r="CE48" s="342"/>
      <c r="CF48" s="342"/>
      <c r="CG48" s="342"/>
      <c r="CH48" s="342"/>
      <c r="CI48" s="342"/>
      <c r="CJ48" s="342"/>
      <c r="CK48" s="342"/>
      <c r="CL48" s="342"/>
      <c r="CM48" s="342"/>
      <c r="CN48" s="342"/>
      <c r="CO48" s="342"/>
      <c r="CP48" s="342"/>
      <c r="CQ48" s="342"/>
      <c r="CR48" s="342"/>
      <c r="CS48" s="342"/>
      <c r="CT48" s="342"/>
      <c r="CU48" s="342"/>
      <c r="CV48" s="342"/>
      <c r="CW48" s="342"/>
      <c r="CX48" s="342"/>
      <c r="CY48" s="342"/>
      <c r="CZ48" s="342"/>
      <c r="DA48" s="342"/>
      <c r="DB48" s="342"/>
      <c r="DC48" s="342"/>
      <c r="DD48" s="342"/>
      <c r="DE48" s="342"/>
      <c r="DF48" s="342"/>
      <c r="DG48" s="342"/>
      <c r="DH48" s="342"/>
      <c r="DI48" s="342"/>
      <c r="DJ48" s="342"/>
      <c r="DK48" s="342"/>
      <c r="DL48" s="342"/>
      <c r="DM48" s="342"/>
      <c r="DN48" s="342"/>
      <c r="DO48" s="342"/>
      <c r="DP48" s="342"/>
      <c r="DQ48" s="342"/>
      <c r="DR48" s="342"/>
      <c r="DS48" s="342"/>
      <c r="DT48" s="342"/>
      <c r="DU48" s="342"/>
      <c r="DV48" s="342"/>
      <c r="DW48" s="342"/>
      <c r="DX48" s="342"/>
      <c r="DY48" s="342"/>
      <c r="DZ48" s="342"/>
      <c r="EA48" s="342"/>
      <c r="EB48" s="342"/>
      <c r="EC48" s="342"/>
      <c r="ED48" s="342"/>
      <c r="EE48" s="342"/>
      <c r="EF48" s="342"/>
      <c r="EG48" s="342"/>
      <c r="EH48" s="342"/>
      <c r="EI48" s="342"/>
      <c r="EJ48" s="342"/>
      <c r="EK48" s="342"/>
      <c r="EL48" s="342"/>
      <c r="EM48" s="342"/>
      <c r="EN48" s="342"/>
      <c r="EO48" s="342"/>
      <c r="EP48" s="342"/>
      <c r="EQ48" s="342"/>
      <c r="ER48" s="342"/>
      <c r="ES48" s="342"/>
      <c r="ET48" s="342"/>
      <c r="EU48" s="342"/>
      <c r="EV48" s="342"/>
      <c r="EW48" s="342"/>
      <c r="EX48" s="342"/>
      <c r="EY48" s="342"/>
      <c r="EZ48" s="342"/>
      <c r="FA48" s="342"/>
      <c r="FB48" s="342"/>
      <c r="FC48" s="342"/>
      <c r="FD48" s="342"/>
      <c r="FE48" s="342"/>
      <c r="FF48" s="342"/>
      <c r="FG48" s="342"/>
      <c r="FH48" s="342"/>
      <c r="FI48" s="342"/>
      <c r="FJ48" s="342"/>
      <c r="FK48" s="342"/>
      <c r="FL48" s="342"/>
      <c r="FM48" s="342"/>
      <c r="FN48" s="342"/>
      <c r="FO48" s="342"/>
      <c r="FP48" s="342"/>
      <c r="FQ48" s="342"/>
      <c r="FR48" s="342"/>
      <c r="FS48" s="342"/>
      <c r="FT48" s="342"/>
      <c r="FU48" s="342"/>
      <c r="FV48" s="342"/>
      <c r="FW48" s="342"/>
      <c r="FX48" s="342"/>
      <c r="FY48" s="342"/>
      <c r="FZ48" s="342"/>
      <c r="GA48" s="342"/>
      <c r="GB48" s="342"/>
      <c r="GC48" s="342"/>
      <c r="GD48" s="342"/>
      <c r="GE48" s="342"/>
      <c r="GF48" s="342"/>
      <c r="GG48" s="342"/>
      <c r="GH48" s="342"/>
      <c r="GI48" s="342"/>
      <c r="GJ48" s="342"/>
      <c r="GK48" s="342"/>
      <c r="GL48" s="342"/>
      <c r="GM48" s="342"/>
      <c r="GN48" s="342"/>
      <c r="GO48" s="342"/>
      <c r="GP48" s="342"/>
      <c r="GQ48" s="342"/>
      <c r="GR48" s="342"/>
      <c r="GS48" s="342"/>
      <c r="GT48" s="342"/>
      <c r="GU48" s="342"/>
      <c r="GV48" s="342"/>
      <c r="GW48" s="342"/>
      <c r="GX48" s="342"/>
      <c r="GY48" s="342"/>
      <c r="GZ48" s="342"/>
      <c r="HA48" s="342"/>
      <c r="HB48" s="342"/>
      <c r="HC48" s="342"/>
      <c r="HD48" s="342"/>
      <c r="HE48" s="342"/>
      <c r="HF48" s="342"/>
      <c r="HG48" s="342"/>
      <c r="HH48" s="342"/>
      <c r="HI48" s="342"/>
      <c r="HJ48" s="342"/>
      <c r="HK48" s="342"/>
    </row>
    <row r="49" spans="1:219" s="342" customFormat="1" ht="18.75" customHeight="1">
      <c r="A49" s="260">
        <v>575</v>
      </c>
      <c r="B49" s="377" t="s">
        <v>279</v>
      </c>
      <c r="C49" s="377" t="s">
        <v>1299</v>
      </c>
      <c r="D49" s="325">
        <v>38777</v>
      </c>
      <c r="E49" s="317">
        <v>38838</v>
      </c>
      <c r="F49" s="377" t="s">
        <v>296</v>
      </c>
      <c r="G49" s="252" t="s">
        <v>1451</v>
      </c>
      <c r="H49" s="304" t="s">
        <v>295</v>
      </c>
      <c r="I49" s="254" t="s">
        <v>2331</v>
      </c>
      <c r="J49" s="318">
        <v>2100</v>
      </c>
      <c r="K49" s="327">
        <v>89968</v>
      </c>
      <c r="L49" s="327">
        <v>83944</v>
      </c>
      <c r="M49" s="318">
        <v>83944</v>
      </c>
      <c r="N49" s="256">
        <v>39.973333333333336</v>
      </c>
      <c r="O49" s="318">
        <v>93.3</v>
      </c>
      <c r="P49" s="327">
        <v>14000</v>
      </c>
      <c r="Q49" s="318" t="s">
        <v>75</v>
      </c>
      <c r="R49" s="318">
        <v>14000</v>
      </c>
      <c r="S49" s="318" t="s">
        <v>233</v>
      </c>
      <c r="T49" s="327">
        <v>20</v>
      </c>
      <c r="U49" s="318" t="s">
        <v>134</v>
      </c>
      <c r="V49" s="318">
        <v>6270</v>
      </c>
      <c r="W49" s="318">
        <v>22112</v>
      </c>
      <c r="X49" s="349">
        <v>1.5794285714285714</v>
      </c>
      <c r="Y49" s="318">
        <v>2100</v>
      </c>
      <c r="Z49" s="318" t="s">
        <v>2</v>
      </c>
      <c r="AA49" s="318" t="s">
        <v>134</v>
      </c>
      <c r="AB49" s="327">
        <v>20</v>
      </c>
      <c r="AC49" s="318" t="s">
        <v>75</v>
      </c>
      <c r="AD49" s="318" t="s">
        <v>75</v>
      </c>
      <c r="AE49" s="327">
        <v>630</v>
      </c>
      <c r="AF49" s="318" t="s">
        <v>134</v>
      </c>
      <c r="AG49" s="327">
        <v>1440</v>
      </c>
      <c r="AH49" s="318" t="s">
        <v>134</v>
      </c>
      <c r="AI49" s="318" t="s">
        <v>75</v>
      </c>
      <c r="AJ49" s="259">
        <v>0</v>
      </c>
      <c r="AK49" s="318" t="s">
        <v>66</v>
      </c>
      <c r="AL49" s="318" t="s">
        <v>66</v>
      </c>
      <c r="AM49" s="318"/>
      <c r="AN49" s="388"/>
      <c r="AO49" s="342" t="s">
        <v>75</v>
      </c>
      <c r="AP49" s="342" t="s">
        <v>75</v>
      </c>
      <c r="AQ49" s="342" t="s">
        <v>75</v>
      </c>
      <c r="AR49" s="342" t="s">
        <v>75</v>
      </c>
      <c r="AS49" s="342" t="s">
        <v>75</v>
      </c>
      <c r="AT49" s="342" t="s">
        <v>75</v>
      </c>
      <c r="AU49" s="342" t="s">
        <v>75</v>
      </c>
      <c r="AV49" s="377" t="s">
        <v>294</v>
      </c>
      <c r="AW49" s="388"/>
      <c r="AX49" s="388"/>
      <c r="AY49" s="388"/>
      <c r="AZ49" s="388"/>
      <c r="BA49" s="388"/>
      <c r="BB49" s="388"/>
      <c r="BC49" s="388"/>
      <c r="BD49" s="388"/>
      <c r="BE49" s="388"/>
      <c r="BF49" s="388"/>
      <c r="BG49" s="388"/>
      <c r="BH49" s="388"/>
      <c r="BI49" s="388"/>
      <c r="BJ49" s="388"/>
      <c r="BK49" s="388"/>
      <c r="BL49" s="388"/>
      <c r="BM49" s="388"/>
    </row>
    <row r="50" spans="1:219" s="388" customFormat="1" ht="18.75" customHeight="1">
      <c r="A50" s="260">
        <v>576</v>
      </c>
      <c r="B50" s="377" t="s">
        <v>145</v>
      </c>
      <c r="C50" s="377" t="s">
        <v>1299</v>
      </c>
      <c r="D50" s="325">
        <v>38749</v>
      </c>
      <c r="E50" s="325">
        <v>38991</v>
      </c>
      <c r="F50" s="377" t="s">
        <v>147</v>
      </c>
      <c r="G50" s="273" t="s">
        <v>1449</v>
      </c>
      <c r="H50" s="304" t="s">
        <v>146</v>
      </c>
      <c r="I50" s="254" t="s">
        <v>2331</v>
      </c>
      <c r="J50" s="318">
        <v>500000</v>
      </c>
      <c r="K50" s="327">
        <v>100000</v>
      </c>
      <c r="L50" s="327">
        <v>99899</v>
      </c>
      <c r="M50" s="318">
        <v>99899</v>
      </c>
      <c r="N50" s="256">
        <v>0.199798</v>
      </c>
      <c r="O50" s="327">
        <v>100</v>
      </c>
      <c r="P50" s="327"/>
      <c r="Q50" s="327"/>
      <c r="R50" s="318"/>
      <c r="S50" s="318" t="s">
        <v>233</v>
      </c>
      <c r="T50" s="327"/>
      <c r="U50" s="318"/>
      <c r="V50" s="318" t="s">
        <v>66</v>
      </c>
      <c r="W50" s="318" t="s">
        <v>66</v>
      </c>
      <c r="X50" s="318"/>
      <c r="Y50" s="318"/>
      <c r="Z50" s="318"/>
      <c r="AA50" s="318">
        <v>500000</v>
      </c>
      <c r="AB50" s="327">
        <v>30</v>
      </c>
      <c r="AC50" s="318"/>
      <c r="AD50" s="348"/>
      <c r="AE50" s="327"/>
      <c r="AF50" s="327" t="s">
        <v>75</v>
      </c>
      <c r="AG50" s="327" t="s">
        <v>75</v>
      </c>
      <c r="AH50" s="318">
        <v>50</v>
      </c>
      <c r="AI50" s="327"/>
      <c r="AJ50" s="259">
        <v>500050</v>
      </c>
      <c r="AK50" s="318" t="s">
        <v>66</v>
      </c>
      <c r="AL50" s="318" t="s">
        <v>66</v>
      </c>
      <c r="AM50" s="318"/>
      <c r="AO50" s="342" t="s">
        <v>75</v>
      </c>
      <c r="AP50" s="342" t="s">
        <v>75</v>
      </c>
      <c r="AQ50" s="342" t="s">
        <v>75</v>
      </c>
      <c r="AR50" s="342" t="s">
        <v>75</v>
      </c>
      <c r="AS50" s="342" t="s">
        <v>75</v>
      </c>
      <c r="AT50" s="342" t="s">
        <v>75</v>
      </c>
      <c r="AU50" s="342" t="s">
        <v>75</v>
      </c>
      <c r="AV50" s="404" t="s">
        <v>150</v>
      </c>
      <c r="BN50" s="342"/>
      <c r="BO50" s="342"/>
      <c r="BP50" s="342"/>
      <c r="BQ50" s="342"/>
      <c r="BR50" s="342"/>
      <c r="BS50" s="342"/>
      <c r="BT50" s="342"/>
      <c r="BU50" s="342"/>
      <c r="BV50" s="342"/>
      <c r="BW50" s="342"/>
      <c r="BX50" s="342"/>
      <c r="BY50" s="342"/>
      <c r="BZ50" s="342"/>
      <c r="CA50" s="342"/>
      <c r="CB50" s="342"/>
      <c r="CC50" s="342"/>
      <c r="CD50" s="342"/>
      <c r="CE50" s="342"/>
      <c r="CF50" s="342"/>
      <c r="CG50" s="342"/>
      <c r="CH50" s="342"/>
      <c r="CI50" s="342"/>
      <c r="CJ50" s="342"/>
      <c r="CK50" s="342"/>
      <c r="CL50" s="342"/>
      <c r="CM50" s="342"/>
      <c r="CN50" s="342"/>
      <c r="CO50" s="342"/>
      <c r="CP50" s="342"/>
      <c r="CQ50" s="342"/>
      <c r="CR50" s="342"/>
      <c r="CS50" s="342"/>
      <c r="CT50" s="342"/>
      <c r="CU50" s="342"/>
      <c r="CV50" s="342"/>
      <c r="CW50" s="342"/>
      <c r="CX50" s="342"/>
      <c r="CY50" s="342"/>
      <c r="CZ50" s="342"/>
      <c r="DA50" s="342"/>
      <c r="DB50" s="342"/>
      <c r="DC50" s="342"/>
      <c r="DD50" s="342"/>
      <c r="DE50" s="342"/>
      <c r="DF50" s="342"/>
      <c r="DG50" s="342"/>
      <c r="DH50" s="342"/>
      <c r="DI50" s="342"/>
      <c r="DJ50" s="342"/>
      <c r="DK50" s="342"/>
      <c r="DL50" s="342"/>
      <c r="DM50" s="342"/>
      <c r="DN50" s="342"/>
      <c r="DO50" s="342"/>
      <c r="DP50" s="342"/>
      <c r="DQ50" s="342"/>
      <c r="DR50" s="342"/>
      <c r="DS50" s="342"/>
      <c r="DT50" s="342"/>
      <c r="DU50" s="342"/>
      <c r="DV50" s="342"/>
      <c r="DW50" s="342"/>
      <c r="DX50" s="342"/>
      <c r="DY50" s="342"/>
      <c r="DZ50" s="342"/>
      <c r="EA50" s="342"/>
      <c r="EB50" s="342"/>
      <c r="EC50" s="342"/>
      <c r="ED50" s="342"/>
      <c r="EE50" s="342"/>
      <c r="EF50" s="342"/>
      <c r="EG50" s="342"/>
      <c r="EH50" s="342"/>
      <c r="EI50" s="342"/>
      <c r="EJ50" s="342"/>
      <c r="EK50" s="342"/>
      <c r="EL50" s="342"/>
      <c r="EM50" s="342"/>
      <c r="EN50" s="342"/>
      <c r="EO50" s="342"/>
      <c r="EP50" s="342"/>
      <c r="EQ50" s="342"/>
      <c r="ER50" s="342"/>
      <c r="ES50" s="342"/>
      <c r="ET50" s="342"/>
      <c r="EU50" s="342"/>
      <c r="EV50" s="342"/>
      <c r="EW50" s="342"/>
      <c r="EX50" s="342"/>
      <c r="EY50" s="342"/>
      <c r="EZ50" s="342"/>
      <c r="FA50" s="342"/>
      <c r="FB50" s="342"/>
      <c r="FC50" s="342"/>
      <c r="FD50" s="342"/>
      <c r="FE50" s="342"/>
      <c r="FF50" s="342"/>
      <c r="FG50" s="342"/>
      <c r="FH50" s="342"/>
      <c r="FI50" s="342"/>
      <c r="FJ50" s="342"/>
      <c r="FK50" s="342"/>
      <c r="FL50" s="342"/>
      <c r="FM50" s="342"/>
      <c r="FN50" s="342"/>
      <c r="FO50" s="342"/>
      <c r="FP50" s="342"/>
      <c r="FQ50" s="342"/>
      <c r="FR50" s="342"/>
      <c r="FS50" s="342"/>
      <c r="FT50" s="342"/>
      <c r="FU50" s="342"/>
      <c r="FV50" s="342"/>
      <c r="FW50" s="342"/>
      <c r="FX50" s="342"/>
      <c r="FY50" s="342"/>
      <c r="FZ50" s="342"/>
      <c r="GA50" s="342"/>
      <c r="GB50" s="342"/>
      <c r="GC50" s="342"/>
      <c r="GD50" s="342"/>
      <c r="GE50" s="342"/>
      <c r="GF50" s="342"/>
      <c r="GG50" s="342"/>
      <c r="GH50" s="342"/>
      <c r="GI50" s="342"/>
      <c r="GJ50" s="342"/>
      <c r="GK50" s="342"/>
      <c r="GL50" s="342"/>
      <c r="GM50" s="342"/>
      <c r="GN50" s="342"/>
      <c r="GO50" s="342"/>
      <c r="GP50" s="342"/>
      <c r="GQ50" s="342"/>
      <c r="GR50" s="342"/>
      <c r="GS50" s="342"/>
      <c r="GT50" s="342"/>
      <c r="GU50" s="342"/>
      <c r="GV50" s="342"/>
      <c r="GW50" s="342"/>
      <c r="GX50" s="342"/>
      <c r="GY50" s="342"/>
      <c r="GZ50" s="342"/>
      <c r="HA50" s="342"/>
      <c r="HB50" s="342"/>
      <c r="HC50" s="342"/>
      <c r="HD50" s="342"/>
      <c r="HE50" s="342"/>
      <c r="HF50" s="342"/>
      <c r="HG50" s="342"/>
      <c r="HH50" s="342"/>
      <c r="HI50" s="342"/>
      <c r="HJ50" s="342"/>
      <c r="HK50" s="342"/>
    </row>
    <row r="51" spans="1:219" s="388" customFormat="1" ht="18.75" customHeight="1">
      <c r="A51" s="260">
        <v>577</v>
      </c>
      <c r="B51" s="388" t="s">
        <v>145</v>
      </c>
      <c r="C51" s="377" t="s">
        <v>1299</v>
      </c>
      <c r="D51" s="317">
        <v>39052</v>
      </c>
      <c r="E51" s="317">
        <v>39387</v>
      </c>
      <c r="F51" s="304" t="s">
        <v>280</v>
      </c>
      <c r="G51" s="252" t="s">
        <v>1461</v>
      </c>
      <c r="H51" s="342" t="s">
        <v>2052</v>
      </c>
      <c r="I51" s="254" t="s">
        <v>2331</v>
      </c>
      <c r="J51" s="318">
        <v>2000</v>
      </c>
      <c r="K51" s="318">
        <v>0</v>
      </c>
      <c r="L51" s="318">
        <v>94255</v>
      </c>
      <c r="M51" s="318">
        <v>94255</v>
      </c>
      <c r="N51" s="256">
        <v>47.127499999999998</v>
      </c>
      <c r="O51" s="411" t="s">
        <v>66</v>
      </c>
      <c r="P51" s="318" t="s">
        <v>75</v>
      </c>
      <c r="Q51" s="318" t="s">
        <v>75</v>
      </c>
      <c r="R51" s="318" t="s">
        <v>75</v>
      </c>
      <c r="S51" s="318" t="s">
        <v>233</v>
      </c>
      <c r="T51" s="327" t="s">
        <v>75</v>
      </c>
      <c r="U51" s="318" t="s">
        <v>75</v>
      </c>
      <c r="V51" s="318" t="s">
        <v>66</v>
      </c>
      <c r="W51" s="318" t="s">
        <v>66</v>
      </c>
      <c r="X51" s="318"/>
      <c r="Y51" s="330" t="s">
        <v>206</v>
      </c>
      <c r="Z51" s="318">
        <v>2000</v>
      </c>
      <c r="AA51" s="318" t="s">
        <v>134</v>
      </c>
      <c r="AB51" s="318" t="s">
        <v>134</v>
      </c>
      <c r="AC51" s="318" t="s">
        <v>75</v>
      </c>
      <c r="AD51" s="318" t="s">
        <v>75</v>
      </c>
      <c r="AE51" s="318" t="s">
        <v>75</v>
      </c>
      <c r="AF51" s="318" t="s">
        <v>75</v>
      </c>
      <c r="AG51" s="318" t="s">
        <v>75</v>
      </c>
      <c r="AH51" s="318" t="s">
        <v>134</v>
      </c>
      <c r="AI51" s="318" t="s">
        <v>75</v>
      </c>
      <c r="AJ51" s="259">
        <v>2000</v>
      </c>
      <c r="AK51" s="318">
        <v>0</v>
      </c>
      <c r="AL51" s="318">
        <v>11542</v>
      </c>
      <c r="AM51" s="318">
        <f t="shared" ref="AM51" si="5">AL51/AJ51</f>
        <v>5.7709999999999999</v>
      </c>
      <c r="AN51" s="342"/>
      <c r="AO51" s="342" t="s">
        <v>75</v>
      </c>
      <c r="AP51" s="342" t="s">
        <v>75</v>
      </c>
      <c r="AQ51" s="342" t="s">
        <v>75</v>
      </c>
      <c r="AR51" s="342" t="s">
        <v>75</v>
      </c>
      <c r="AS51" s="342" t="s">
        <v>75</v>
      </c>
      <c r="AT51" s="342" t="s">
        <v>75</v>
      </c>
      <c r="AU51" s="342" t="s">
        <v>75</v>
      </c>
      <c r="AV51" s="415" t="s">
        <v>2051</v>
      </c>
      <c r="AW51" s="342"/>
      <c r="AX51" s="342"/>
      <c r="AY51" s="342"/>
      <c r="AZ51" s="342"/>
      <c r="BA51" s="342"/>
      <c r="BB51" s="342"/>
      <c r="BC51" s="342"/>
      <c r="BD51" s="342"/>
      <c r="BE51" s="342"/>
      <c r="BF51" s="342"/>
      <c r="BG51" s="342"/>
      <c r="BH51" s="342"/>
      <c r="BI51" s="342"/>
      <c r="BJ51" s="342"/>
      <c r="BK51" s="342"/>
      <c r="BL51" s="342"/>
      <c r="BM51" s="342"/>
      <c r="BN51" s="342"/>
      <c r="BO51" s="342"/>
      <c r="BP51" s="342"/>
      <c r="BQ51" s="342"/>
      <c r="BR51" s="342"/>
      <c r="BS51" s="342"/>
      <c r="BT51" s="342"/>
      <c r="BU51" s="342"/>
      <c r="BV51" s="342"/>
      <c r="BW51" s="342"/>
      <c r="BX51" s="342"/>
      <c r="BY51" s="342"/>
      <c r="BZ51" s="342"/>
      <c r="CA51" s="342"/>
      <c r="CB51" s="342"/>
      <c r="CC51" s="342"/>
      <c r="CD51" s="342"/>
      <c r="CE51" s="342"/>
      <c r="CF51" s="342"/>
      <c r="CG51" s="342"/>
      <c r="CH51" s="342"/>
      <c r="CI51" s="342"/>
      <c r="CJ51" s="342"/>
      <c r="CK51" s="342"/>
      <c r="CL51" s="342"/>
      <c r="CM51" s="342"/>
      <c r="CN51" s="342"/>
      <c r="CO51" s="342"/>
      <c r="CP51" s="342"/>
      <c r="CQ51" s="342"/>
      <c r="CR51" s="342"/>
      <c r="CS51" s="342"/>
      <c r="CT51" s="342"/>
      <c r="CU51" s="342"/>
      <c r="CV51" s="342"/>
      <c r="CW51" s="342"/>
      <c r="CX51" s="342"/>
      <c r="CY51" s="342"/>
      <c r="CZ51" s="342"/>
      <c r="DA51" s="342"/>
      <c r="DB51" s="342"/>
      <c r="DC51" s="342"/>
      <c r="DD51" s="342"/>
      <c r="DE51" s="342"/>
      <c r="DF51" s="342"/>
      <c r="DG51" s="342"/>
      <c r="DH51" s="342"/>
      <c r="DI51" s="342"/>
      <c r="DJ51" s="342"/>
      <c r="DK51" s="342"/>
      <c r="DL51" s="342"/>
      <c r="DM51" s="342"/>
      <c r="DN51" s="342"/>
      <c r="DO51" s="342"/>
      <c r="DP51" s="342"/>
      <c r="DQ51" s="342"/>
      <c r="DR51" s="342"/>
      <c r="DS51" s="342"/>
      <c r="DT51" s="342"/>
      <c r="DU51" s="342"/>
      <c r="DV51" s="342"/>
      <c r="DW51" s="342"/>
      <c r="DX51" s="342"/>
      <c r="DY51" s="342"/>
      <c r="DZ51" s="342"/>
      <c r="EA51" s="342"/>
      <c r="EB51" s="342"/>
      <c r="EC51" s="342"/>
      <c r="ED51" s="342"/>
      <c r="EE51" s="342"/>
      <c r="EF51" s="342"/>
      <c r="EG51" s="342"/>
      <c r="EH51" s="342"/>
      <c r="EI51" s="342"/>
      <c r="EJ51" s="342"/>
      <c r="EK51" s="342"/>
      <c r="EL51" s="342"/>
      <c r="EM51" s="342"/>
      <c r="EN51" s="342"/>
      <c r="EO51" s="342"/>
      <c r="EP51" s="342"/>
      <c r="EQ51" s="342"/>
      <c r="ER51" s="342"/>
      <c r="ES51" s="342"/>
      <c r="ET51" s="342"/>
      <c r="EU51" s="342"/>
      <c r="EV51" s="342"/>
      <c r="EW51" s="342"/>
      <c r="EX51" s="342"/>
      <c r="EY51" s="342"/>
      <c r="EZ51" s="342"/>
      <c r="FA51" s="342"/>
      <c r="FB51" s="342"/>
      <c r="FC51" s="342"/>
      <c r="FD51" s="342"/>
      <c r="FE51" s="342"/>
      <c r="FF51" s="342"/>
      <c r="FG51" s="342"/>
      <c r="FH51" s="342"/>
      <c r="FI51" s="342"/>
      <c r="FJ51" s="342"/>
      <c r="FK51" s="342"/>
      <c r="FL51" s="342"/>
      <c r="FM51" s="342"/>
      <c r="FN51" s="342"/>
      <c r="FO51" s="342"/>
      <c r="FP51" s="342"/>
      <c r="FQ51" s="342"/>
      <c r="FR51" s="342"/>
      <c r="FS51" s="342"/>
      <c r="FT51" s="342"/>
      <c r="FU51" s="342"/>
      <c r="FV51" s="342"/>
      <c r="FW51" s="342"/>
      <c r="FX51" s="342"/>
      <c r="FY51" s="342"/>
      <c r="FZ51" s="342"/>
      <c r="GA51" s="342"/>
      <c r="GB51" s="342"/>
      <c r="GC51" s="342"/>
      <c r="GD51" s="342"/>
      <c r="GE51" s="342"/>
      <c r="GF51" s="342"/>
      <c r="GG51" s="342"/>
      <c r="GH51" s="342"/>
      <c r="GI51" s="342"/>
      <c r="GJ51" s="342"/>
      <c r="GK51" s="342"/>
      <c r="GL51" s="342"/>
      <c r="GM51" s="342"/>
      <c r="GN51" s="342"/>
      <c r="GO51" s="342"/>
      <c r="GP51" s="342"/>
      <c r="GQ51" s="342"/>
      <c r="GR51" s="342"/>
      <c r="GS51" s="342"/>
      <c r="GT51" s="342"/>
      <c r="GU51" s="342"/>
      <c r="GV51" s="342"/>
      <c r="GW51" s="342"/>
      <c r="GX51" s="342"/>
      <c r="GY51" s="342"/>
      <c r="GZ51" s="342"/>
      <c r="HA51" s="342"/>
      <c r="HB51" s="342"/>
      <c r="HC51" s="342"/>
      <c r="HD51" s="342"/>
      <c r="HE51" s="342"/>
      <c r="HF51" s="342"/>
      <c r="HG51" s="342"/>
      <c r="HH51" s="342"/>
      <c r="HI51" s="342"/>
      <c r="HJ51" s="342"/>
      <c r="HK51" s="342"/>
    </row>
    <row r="52" spans="1:219" s="388" customFormat="1" ht="18.75" customHeight="1">
      <c r="A52" s="260">
        <v>578</v>
      </c>
      <c r="B52" s="266" t="s">
        <v>2011</v>
      </c>
      <c r="C52" s="266" t="s">
        <v>1286</v>
      </c>
      <c r="D52" s="317">
        <v>38718</v>
      </c>
      <c r="E52" s="317">
        <v>39417</v>
      </c>
      <c r="F52" s="266" t="s">
        <v>2159</v>
      </c>
      <c r="G52" s="384" t="s">
        <v>1450</v>
      </c>
      <c r="H52" s="266" t="s">
        <v>2012</v>
      </c>
      <c r="I52" s="254" t="s">
        <v>2331</v>
      </c>
      <c r="J52" s="318"/>
      <c r="K52" s="318">
        <v>98732</v>
      </c>
      <c r="L52" s="318">
        <v>98732</v>
      </c>
      <c r="M52" s="318">
        <v>98732</v>
      </c>
      <c r="N52" s="256"/>
      <c r="O52" s="318">
        <v>100</v>
      </c>
      <c r="P52" s="318"/>
      <c r="Q52" s="318"/>
      <c r="R52" s="318"/>
      <c r="S52" s="318" t="s">
        <v>233</v>
      </c>
      <c r="T52" s="318"/>
      <c r="U52" s="318"/>
      <c r="V52" s="318"/>
      <c r="W52" s="318"/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/>
      <c r="AJ52" s="259">
        <v>0</v>
      </c>
      <c r="AK52" s="318"/>
      <c r="AL52" s="318"/>
      <c r="AM52" s="318"/>
      <c r="AN52" s="319"/>
      <c r="AO52" s="319"/>
      <c r="AP52" s="319"/>
      <c r="AQ52" s="319"/>
      <c r="AR52" s="319"/>
      <c r="AS52" s="319"/>
      <c r="AT52" s="319"/>
      <c r="AU52" s="319"/>
      <c r="AV52" s="322" t="s">
        <v>2013</v>
      </c>
      <c r="AW52" s="266"/>
      <c r="AX52" s="266"/>
      <c r="AY52" s="266"/>
      <c r="AZ52" s="266"/>
      <c r="BA52" s="266"/>
      <c r="BB52" s="266"/>
      <c r="BC52" s="266"/>
      <c r="BD52" s="266"/>
      <c r="BE52" s="266"/>
      <c r="BF52" s="266"/>
      <c r="BG52" s="266"/>
      <c r="BH52" s="266"/>
      <c r="BI52" s="266"/>
      <c r="BJ52" s="266"/>
      <c r="BK52" s="266"/>
      <c r="BL52" s="266"/>
      <c r="BM52" s="266"/>
      <c r="BN52" s="266"/>
      <c r="BO52" s="342"/>
      <c r="BP52" s="342"/>
      <c r="BQ52" s="342"/>
      <c r="BR52" s="342"/>
      <c r="BS52" s="342"/>
      <c r="BT52" s="342"/>
      <c r="BU52" s="342"/>
      <c r="BV52" s="342"/>
      <c r="BW52" s="342"/>
      <c r="BX52" s="342"/>
      <c r="BY52" s="342"/>
      <c r="BZ52" s="342"/>
      <c r="CA52" s="342"/>
      <c r="CB52" s="342"/>
      <c r="CC52" s="342"/>
      <c r="CD52" s="342"/>
      <c r="CE52" s="342"/>
      <c r="CF52" s="342"/>
      <c r="CG52" s="342"/>
      <c r="CH52" s="342"/>
      <c r="CI52" s="342"/>
      <c r="CJ52" s="342"/>
      <c r="CK52" s="342"/>
      <c r="CL52" s="342"/>
      <c r="CM52" s="342"/>
      <c r="CN52" s="342"/>
      <c r="CO52" s="342"/>
      <c r="CP52" s="342"/>
      <c r="CQ52" s="342"/>
      <c r="CR52" s="342"/>
      <c r="CS52" s="342"/>
      <c r="CT52" s="342"/>
      <c r="CU52" s="342"/>
      <c r="CV52" s="342"/>
      <c r="CW52" s="342"/>
      <c r="CX52" s="342"/>
      <c r="CY52" s="342"/>
      <c r="CZ52" s="342"/>
      <c r="DA52" s="342"/>
      <c r="DB52" s="342"/>
      <c r="DC52" s="342"/>
      <c r="DD52" s="342"/>
      <c r="DE52" s="342"/>
      <c r="DF52" s="342"/>
      <c r="DG52" s="342"/>
      <c r="DH52" s="342"/>
      <c r="DI52" s="342"/>
      <c r="DJ52" s="342"/>
      <c r="DK52" s="342"/>
      <c r="DL52" s="342"/>
      <c r="DM52" s="342"/>
      <c r="DN52" s="342"/>
      <c r="DO52" s="342"/>
      <c r="DP52" s="342"/>
      <c r="DQ52" s="342"/>
      <c r="DR52" s="342"/>
      <c r="DS52" s="342"/>
      <c r="DT52" s="342"/>
      <c r="DU52" s="342"/>
      <c r="DV52" s="342"/>
      <c r="DW52" s="342"/>
      <c r="DX52" s="342"/>
      <c r="DY52" s="342"/>
      <c r="DZ52" s="342"/>
      <c r="EA52" s="342"/>
      <c r="EB52" s="342"/>
      <c r="EC52" s="342"/>
      <c r="ED52" s="342"/>
      <c r="EE52" s="342"/>
      <c r="EF52" s="342"/>
      <c r="EG52" s="342"/>
      <c r="EH52" s="342"/>
      <c r="EI52" s="342"/>
      <c r="EJ52" s="342"/>
      <c r="EK52" s="342"/>
      <c r="EL52" s="342"/>
      <c r="EM52" s="342"/>
      <c r="EN52" s="342"/>
      <c r="EO52" s="342"/>
      <c r="EP52" s="342"/>
      <c r="EQ52" s="342"/>
      <c r="ER52" s="342"/>
      <c r="ES52" s="342"/>
      <c r="ET52" s="342"/>
      <c r="EU52" s="342"/>
      <c r="EV52" s="342"/>
      <c r="EW52" s="342"/>
      <c r="EX52" s="342"/>
      <c r="EY52" s="342"/>
      <c r="EZ52" s="342"/>
      <c r="FA52" s="342"/>
      <c r="FB52" s="342"/>
      <c r="FC52" s="342"/>
      <c r="FD52" s="342"/>
      <c r="FE52" s="342"/>
      <c r="FF52" s="342"/>
      <c r="FG52" s="342"/>
      <c r="FH52" s="342"/>
      <c r="FI52" s="342"/>
      <c r="FJ52" s="342"/>
      <c r="FK52" s="342"/>
      <c r="FL52" s="342"/>
      <c r="FM52" s="342"/>
      <c r="FN52" s="342"/>
      <c r="FO52" s="342"/>
      <c r="FP52" s="342"/>
      <c r="FQ52" s="342"/>
      <c r="FR52" s="342"/>
      <c r="FS52" s="342"/>
      <c r="FT52" s="342"/>
      <c r="FU52" s="342"/>
      <c r="FV52" s="342"/>
      <c r="FW52" s="342"/>
      <c r="FX52" s="342"/>
      <c r="FY52" s="342"/>
      <c r="FZ52" s="342"/>
      <c r="GA52" s="342"/>
      <c r="GB52" s="342"/>
      <c r="GC52" s="342"/>
      <c r="GD52" s="342"/>
      <c r="GE52" s="342"/>
      <c r="GF52" s="342"/>
      <c r="GG52" s="342"/>
      <c r="GH52" s="342"/>
      <c r="GI52" s="342"/>
      <c r="GJ52" s="342"/>
      <c r="GK52" s="342"/>
      <c r="GL52" s="342"/>
      <c r="GM52" s="342"/>
      <c r="GN52" s="342"/>
      <c r="GO52" s="342"/>
      <c r="GP52" s="342"/>
      <c r="GQ52" s="342"/>
      <c r="GR52" s="342"/>
      <c r="GS52" s="342"/>
      <c r="GT52" s="342"/>
      <c r="GU52" s="342"/>
      <c r="GV52" s="342"/>
      <c r="GW52" s="342"/>
      <c r="GX52" s="342"/>
      <c r="GY52" s="342"/>
      <c r="GZ52" s="342"/>
      <c r="HA52" s="342"/>
      <c r="HB52" s="342"/>
      <c r="HC52" s="342"/>
      <c r="HD52" s="342"/>
      <c r="HE52" s="342"/>
      <c r="HF52" s="342"/>
      <c r="HG52" s="342"/>
      <c r="HH52" s="342"/>
      <c r="HI52" s="342"/>
      <c r="HJ52" s="342"/>
      <c r="HK52" s="342"/>
    </row>
    <row r="53" spans="1:219" s="388" customFormat="1" ht="18.75" customHeight="1">
      <c r="A53" s="260">
        <v>579</v>
      </c>
      <c r="B53" s="377" t="s">
        <v>124</v>
      </c>
      <c r="C53" s="405" t="s">
        <v>1278</v>
      </c>
      <c r="D53" s="325">
        <v>38838</v>
      </c>
      <c r="E53" s="325">
        <v>39142</v>
      </c>
      <c r="F53" s="377" t="s">
        <v>227</v>
      </c>
      <c r="G53" s="252" t="s">
        <v>1449</v>
      </c>
      <c r="H53" s="304" t="s">
        <v>225</v>
      </c>
      <c r="I53" s="278" t="s">
        <v>2438</v>
      </c>
      <c r="J53" s="318">
        <v>1000000</v>
      </c>
      <c r="K53" s="327">
        <v>6589593</v>
      </c>
      <c r="L53" s="327">
        <v>4532513</v>
      </c>
      <c r="M53" s="318">
        <v>4532513</v>
      </c>
      <c r="N53" s="256">
        <v>4.5325129999999998</v>
      </c>
      <c r="O53" s="318">
        <v>69</v>
      </c>
      <c r="P53" s="327" t="s">
        <v>75</v>
      </c>
      <c r="Q53" s="327" t="s">
        <v>75</v>
      </c>
      <c r="R53" s="318" t="s">
        <v>75</v>
      </c>
      <c r="S53" s="318" t="s">
        <v>233</v>
      </c>
      <c r="T53" s="327" t="s">
        <v>75</v>
      </c>
      <c r="U53" s="318" t="s">
        <v>75</v>
      </c>
      <c r="V53" s="318" t="s">
        <v>66</v>
      </c>
      <c r="W53" s="318" t="s">
        <v>66</v>
      </c>
      <c r="X53" s="318"/>
      <c r="Y53" s="330">
        <v>15000</v>
      </c>
      <c r="Z53" s="318">
        <v>2794</v>
      </c>
      <c r="AA53" s="318" t="s">
        <v>134</v>
      </c>
      <c r="AB53" s="318" t="s">
        <v>134</v>
      </c>
      <c r="AC53" s="318" t="s">
        <v>75</v>
      </c>
      <c r="AD53" s="318" t="s">
        <v>75</v>
      </c>
      <c r="AE53" s="318" t="s">
        <v>75</v>
      </c>
      <c r="AF53" s="318" t="s">
        <v>75</v>
      </c>
      <c r="AG53" s="318" t="s">
        <v>75</v>
      </c>
      <c r="AH53" s="318" t="s">
        <v>134</v>
      </c>
      <c r="AI53" s="327" t="s">
        <v>75</v>
      </c>
      <c r="AJ53" s="259">
        <v>2794</v>
      </c>
      <c r="AK53" s="330" t="s">
        <v>66</v>
      </c>
      <c r="AL53" s="318" t="s">
        <v>66</v>
      </c>
      <c r="AM53" s="318"/>
      <c r="AO53" s="342" t="s">
        <v>75</v>
      </c>
      <c r="AP53" s="342" t="s">
        <v>75</v>
      </c>
      <c r="AQ53" s="342" t="s">
        <v>75</v>
      </c>
      <c r="AR53" s="342" t="s">
        <v>75</v>
      </c>
      <c r="AS53" s="342" t="s">
        <v>75</v>
      </c>
      <c r="AT53" s="342" t="s">
        <v>75</v>
      </c>
      <c r="AU53" s="342" t="s">
        <v>75</v>
      </c>
      <c r="AV53" s="404" t="s">
        <v>224</v>
      </c>
      <c r="BN53" s="342"/>
      <c r="BO53" s="342"/>
      <c r="BP53" s="342"/>
      <c r="BQ53" s="342"/>
      <c r="BR53" s="342"/>
      <c r="BS53" s="342"/>
      <c r="BT53" s="342"/>
      <c r="BU53" s="342"/>
      <c r="BV53" s="342"/>
      <c r="BW53" s="342"/>
      <c r="BX53" s="342"/>
      <c r="BY53" s="342"/>
      <c r="BZ53" s="342"/>
      <c r="CA53" s="342"/>
      <c r="CB53" s="342"/>
      <c r="CC53" s="342"/>
      <c r="CD53" s="342"/>
      <c r="CE53" s="342"/>
      <c r="CF53" s="342"/>
      <c r="CG53" s="342"/>
      <c r="CH53" s="342"/>
      <c r="CI53" s="342"/>
      <c r="CJ53" s="342"/>
      <c r="CK53" s="342"/>
      <c r="CL53" s="342"/>
      <c r="CM53" s="342"/>
      <c r="CN53" s="342"/>
      <c r="CO53" s="342"/>
      <c r="CP53" s="342"/>
      <c r="CQ53" s="342"/>
      <c r="CR53" s="342"/>
      <c r="CS53" s="342"/>
      <c r="CT53" s="342"/>
      <c r="CU53" s="342"/>
      <c r="CV53" s="342"/>
      <c r="CW53" s="342"/>
      <c r="CX53" s="342"/>
      <c r="CY53" s="342"/>
      <c r="CZ53" s="342"/>
      <c r="DA53" s="342"/>
      <c r="DB53" s="342"/>
      <c r="DC53" s="342"/>
      <c r="DD53" s="342"/>
      <c r="DE53" s="342"/>
      <c r="DF53" s="342"/>
      <c r="DG53" s="342"/>
      <c r="DH53" s="342"/>
      <c r="DI53" s="342"/>
      <c r="DJ53" s="342"/>
      <c r="DK53" s="342"/>
      <c r="DL53" s="342"/>
      <c r="DM53" s="342"/>
      <c r="DN53" s="342"/>
      <c r="DO53" s="342"/>
      <c r="DP53" s="342"/>
      <c r="DQ53" s="342"/>
      <c r="DR53" s="342"/>
      <c r="DS53" s="342"/>
      <c r="DT53" s="342"/>
      <c r="DU53" s="342"/>
      <c r="DV53" s="342"/>
      <c r="DW53" s="342"/>
      <c r="DX53" s="342"/>
      <c r="DY53" s="342"/>
      <c r="DZ53" s="342"/>
      <c r="EA53" s="342"/>
      <c r="EB53" s="342"/>
      <c r="EC53" s="342"/>
      <c r="ED53" s="342"/>
      <c r="EE53" s="342"/>
      <c r="EF53" s="342"/>
      <c r="EG53" s="342"/>
      <c r="EH53" s="342"/>
      <c r="EI53" s="342"/>
      <c r="EJ53" s="342"/>
      <c r="EK53" s="342"/>
      <c r="EL53" s="342"/>
      <c r="EM53" s="342"/>
      <c r="EN53" s="342"/>
      <c r="EO53" s="342"/>
      <c r="EP53" s="342"/>
      <c r="EQ53" s="342"/>
      <c r="ER53" s="342"/>
      <c r="ES53" s="342"/>
      <c r="ET53" s="342"/>
      <c r="EU53" s="342"/>
      <c r="EV53" s="342"/>
      <c r="EW53" s="342"/>
      <c r="EX53" s="342"/>
      <c r="EY53" s="342"/>
      <c r="EZ53" s="342"/>
      <c r="FA53" s="342"/>
      <c r="FB53" s="342"/>
      <c r="FC53" s="342"/>
      <c r="FD53" s="342"/>
      <c r="FE53" s="342"/>
      <c r="FF53" s="342"/>
      <c r="FG53" s="342"/>
      <c r="FH53" s="342"/>
      <c r="FI53" s="342"/>
      <c r="FJ53" s="342"/>
      <c r="FK53" s="342"/>
      <c r="FL53" s="342"/>
      <c r="FM53" s="342"/>
      <c r="FN53" s="342"/>
      <c r="FO53" s="342"/>
      <c r="FP53" s="342"/>
      <c r="FQ53" s="342"/>
      <c r="FR53" s="342"/>
      <c r="FS53" s="342"/>
      <c r="FT53" s="342"/>
      <c r="FU53" s="342"/>
      <c r="FV53" s="342"/>
      <c r="FW53" s="342"/>
      <c r="FX53" s="342"/>
      <c r="FY53" s="342"/>
      <c r="FZ53" s="342"/>
      <c r="GA53" s="342"/>
      <c r="GB53" s="342"/>
      <c r="GC53" s="342"/>
      <c r="GD53" s="342"/>
      <c r="GE53" s="342"/>
      <c r="GF53" s="342"/>
      <c r="GG53" s="342"/>
      <c r="GH53" s="342"/>
      <c r="GI53" s="342"/>
      <c r="GJ53" s="342"/>
      <c r="GK53" s="342"/>
      <c r="GL53" s="342"/>
      <c r="GM53" s="342"/>
      <c r="GN53" s="342"/>
      <c r="GO53" s="342"/>
      <c r="GP53" s="342"/>
      <c r="GQ53" s="342"/>
      <c r="GR53" s="342"/>
      <c r="GS53" s="342"/>
      <c r="GT53" s="342"/>
      <c r="GU53" s="342"/>
      <c r="GV53" s="342"/>
      <c r="GW53" s="342"/>
      <c r="GX53" s="342"/>
      <c r="GY53" s="342"/>
      <c r="GZ53" s="342"/>
      <c r="HA53" s="342"/>
      <c r="HB53" s="342"/>
      <c r="HC53" s="342"/>
      <c r="HD53" s="342"/>
      <c r="HE53" s="342"/>
      <c r="HF53" s="342"/>
      <c r="HG53" s="342"/>
      <c r="HH53" s="342"/>
      <c r="HI53" s="342"/>
      <c r="HJ53" s="342"/>
      <c r="HK53" s="342"/>
    </row>
    <row r="54" spans="1:219" s="362" customFormat="1" ht="15.75" customHeight="1">
      <c r="A54" s="260">
        <v>580</v>
      </c>
      <c r="B54" s="278" t="s">
        <v>550</v>
      </c>
      <c r="C54" s="261" t="s">
        <v>1286</v>
      </c>
      <c r="D54" s="485">
        <v>38777</v>
      </c>
      <c r="E54" s="262">
        <v>39203</v>
      </c>
      <c r="F54" s="278" t="s">
        <v>5</v>
      </c>
      <c r="G54" s="252" t="s">
        <v>1451</v>
      </c>
      <c r="H54" s="278" t="s">
        <v>551</v>
      </c>
      <c r="I54" s="254" t="s">
        <v>2331</v>
      </c>
      <c r="J54" s="263">
        <v>180000</v>
      </c>
      <c r="K54" s="263">
        <v>53299</v>
      </c>
      <c r="L54" s="263">
        <v>53299</v>
      </c>
      <c r="M54" s="263">
        <v>53299</v>
      </c>
      <c r="N54" s="256">
        <v>0.29610555555555557</v>
      </c>
      <c r="O54" s="263">
        <v>106.5</v>
      </c>
      <c r="P54" s="263">
        <v>5980</v>
      </c>
      <c r="Q54" s="263" t="s">
        <v>75</v>
      </c>
      <c r="R54" s="263">
        <v>5980</v>
      </c>
      <c r="S54" s="263" t="s">
        <v>233</v>
      </c>
      <c r="T54" s="263">
        <v>12</v>
      </c>
      <c r="U54" s="263">
        <v>3270</v>
      </c>
      <c r="V54" s="263">
        <v>15630</v>
      </c>
      <c r="W54" s="263">
        <v>15630</v>
      </c>
      <c r="X54" s="349">
        <v>2.6137123745819397</v>
      </c>
      <c r="Y54" s="263">
        <v>3270</v>
      </c>
      <c r="Z54" s="263" t="s">
        <v>75</v>
      </c>
      <c r="AA54" s="263">
        <v>3270</v>
      </c>
      <c r="AB54" s="263">
        <v>12</v>
      </c>
      <c r="AC54" s="263" t="s">
        <v>75</v>
      </c>
      <c r="AD54" s="263" t="s">
        <v>75</v>
      </c>
      <c r="AE54" s="263">
        <v>931</v>
      </c>
      <c r="AF54" s="263" t="s">
        <v>75</v>
      </c>
      <c r="AG54" s="263" t="s">
        <v>75</v>
      </c>
      <c r="AH54" s="263" t="s">
        <v>75</v>
      </c>
      <c r="AI54" s="263" t="s">
        <v>75</v>
      </c>
      <c r="AJ54" s="259">
        <v>3270</v>
      </c>
      <c r="AK54" s="263">
        <v>62</v>
      </c>
      <c r="AL54" s="263">
        <v>62</v>
      </c>
      <c r="AM54" s="318">
        <f t="shared" ref="AM54:AM55" si="6">AL54/AJ54</f>
        <v>1.8960244648318043E-2</v>
      </c>
      <c r="AN54" s="261"/>
      <c r="AO54" s="261"/>
      <c r="AP54" s="261"/>
      <c r="AQ54" s="261"/>
      <c r="AR54" s="261"/>
      <c r="AS54" s="261"/>
      <c r="AT54" s="261" t="s">
        <v>2</v>
      </c>
      <c r="AU54" s="261" t="s">
        <v>2</v>
      </c>
      <c r="AV54" s="276" t="s">
        <v>552</v>
      </c>
      <c r="AW54" s="261"/>
      <c r="AX54" s="261"/>
      <c r="AY54" s="261"/>
      <c r="AZ54" s="261"/>
      <c r="BA54" s="261"/>
      <c r="BB54" s="261"/>
      <c r="BC54" s="261"/>
      <c r="BD54" s="261"/>
      <c r="BE54" s="261"/>
      <c r="BF54" s="261"/>
      <c r="BG54" s="261"/>
      <c r="BH54" s="261"/>
      <c r="BI54" s="261"/>
      <c r="BJ54" s="261"/>
      <c r="BK54" s="261"/>
      <c r="BL54" s="261"/>
      <c r="BM54" s="261"/>
      <c r="BN54" s="261"/>
      <c r="BO54" s="261"/>
      <c r="BP54" s="261"/>
      <c r="BQ54" s="261"/>
      <c r="BR54" s="261"/>
      <c r="BS54" s="261"/>
      <c r="BT54" s="261"/>
      <c r="BU54" s="261"/>
      <c r="BV54" s="261"/>
      <c r="BW54" s="261"/>
      <c r="BX54" s="261"/>
      <c r="BY54" s="261"/>
      <c r="BZ54" s="261"/>
      <c r="CA54" s="261"/>
      <c r="CB54" s="261"/>
      <c r="CC54" s="261"/>
      <c r="CD54" s="261"/>
      <c r="CE54" s="261"/>
      <c r="CF54" s="261"/>
      <c r="CG54" s="261"/>
      <c r="CH54" s="261"/>
      <c r="CI54" s="261"/>
      <c r="CJ54" s="261"/>
      <c r="CK54" s="261"/>
      <c r="CL54" s="261"/>
      <c r="CM54" s="261"/>
      <c r="CN54" s="261"/>
      <c r="CO54" s="261"/>
      <c r="CP54" s="261"/>
      <c r="CQ54" s="261"/>
      <c r="CR54" s="261"/>
      <c r="CS54" s="261"/>
      <c r="CT54" s="261"/>
      <c r="CU54" s="261"/>
      <c r="CV54" s="261"/>
      <c r="CW54" s="261"/>
      <c r="CX54" s="261"/>
      <c r="CY54" s="261"/>
      <c r="CZ54" s="261"/>
      <c r="DA54" s="261"/>
      <c r="DB54" s="261"/>
      <c r="DC54" s="261"/>
      <c r="DD54" s="261"/>
      <c r="DE54" s="261"/>
      <c r="DF54" s="261"/>
      <c r="DG54" s="261"/>
      <c r="DH54" s="261"/>
      <c r="DI54" s="261"/>
      <c r="DJ54" s="261"/>
      <c r="DK54" s="261"/>
      <c r="DL54" s="261"/>
      <c r="DM54" s="261"/>
      <c r="DN54" s="261"/>
      <c r="DO54" s="261"/>
      <c r="DP54" s="261"/>
      <c r="DQ54" s="261"/>
      <c r="DR54" s="261"/>
      <c r="DS54" s="261"/>
      <c r="DT54" s="261"/>
      <c r="DU54" s="261"/>
      <c r="DV54" s="261"/>
      <c r="DW54" s="261"/>
      <c r="DX54" s="261"/>
      <c r="DY54" s="261"/>
      <c r="DZ54" s="261"/>
      <c r="EA54" s="261"/>
      <c r="EB54" s="261"/>
      <c r="EC54" s="261"/>
      <c r="ED54" s="261"/>
      <c r="EE54" s="261"/>
      <c r="EF54" s="261"/>
      <c r="EG54" s="261"/>
      <c r="EH54" s="261"/>
      <c r="EI54" s="261"/>
      <c r="EJ54" s="261"/>
      <c r="EK54" s="261"/>
      <c r="EL54" s="261"/>
      <c r="EM54" s="261"/>
      <c r="EN54" s="261"/>
      <c r="EO54" s="261"/>
      <c r="EP54" s="261"/>
      <c r="EQ54" s="261"/>
      <c r="ER54" s="261"/>
      <c r="ES54" s="261"/>
      <c r="ET54" s="261"/>
      <c r="EU54" s="261"/>
      <c r="EV54" s="261"/>
      <c r="EW54" s="261"/>
      <c r="EX54" s="261"/>
      <c r="EY54" s="261"/>
      <c r="EZ54" s="261"/>
      <c r="FA54" s="261"/>
      <c r="FB54" s="261"/>
      <c r="FC54" s="261"/>
      <c r="FD54" s="261"/>
      <c r="FE54" s="261"/>
      <c r="FF54" s="261"/>
      <c r="FG54" s="261"/>
      <c r="FH54" s="261"/>
      <c r="FI54" s="261"/>
      <c r="FJ54" s="261"/>
      <c r="FK54" s="261"/>
      <c r="FL54" s="261"/>
      <c r="FM54" s="261"/>
      <c r="FN54" s="261"/>
      <c r="FO54" s="261"/>
      <c r="FP54" s="261"/>
      <c r="FQ54" s="261"/>
      <c r="FR54" s="261"/>
      <c r="FS54" s="261"/>
      <c r="FT54" s="261"/>
      <c r="FU54" s="261"/>
      <c r="FV54" s="261"/>
      <c r="FW54" s="261"/>
      <c r="FX54" s="261"/>
      <c r="FY54" s="261"/>
      <c r="FZ54" s="261"/>
      <c r="GA54" s="261"/>
      <c r="GB54" s="261"/>
      <c r="GC54" s="261"/>
      <c r="GD54" s="261"/>
      <c r="GE54" s="261"/>
      <c r="GF54" s="261"/>
      <c r="GG54" s="261"/>
      <c r="GH54" s="261"/>
      <c r="GI54" s="261"/>
      <c r="GJ54" s="261"/>
      <c r="GK54" s="261"/>
      <c r="GL54" s="261"/>
      <c r="GM54" s="261"/>
      <c r="GN54" s="261"/>
      <c r="GO54" s="261"/>
      <c r="GP54" s="261"/>
      <c r="GQ54" s="261"/>
      <c r="GR54" s="261"/>
      <c r="GS54" s="261"/>
      <c r="GT54" s="261"/>
      <c r="GU54" s="261"/>
      <c r="GV54" s="261"/>
      <c r="GW54" s="261"/>
      <c r="GX54" s="261"/>
      <c r="GY54" s="261"/>
      <c r="GZ54" s="261"/>
      <c r="HA54" s="261"/>
      <c r="HB54" s="261"/>
      <c r="HC54" s="261"/>
      <c r="HD54" s="261"/>
      <c r="HE54" s="261"/>
      <c r="HF54" s="261"/>
      <c r="HG54" s="261"/>
      <c r="HH54" s="261"/>
      <c r="HI54" s="261"/>
      <c r="HJ54" s="261"/>
      <c r="HK54" s="261"/>
    </row>
    <row r="55" spans="1:219" s="261" customFormat="1" ht="17.25" customHeight="1">
      <c r="A55" s="260">
        <v>581</v>
      </c>
      <c r="B55" s="278" t="s">
        <v>8</v>
      </c>
      <c r="C55" s="261" t="s">
        <v>1261</v>
      </c>
      <c r="D55" s="262">
        <v>38991</v>
      </c>
      <c r="E55" s="262">
        <v>39783</v>
      </c>
      <c r="F55" s="304" t="s">
        <v>587</v>
      </c>
      <c r="G55" s="273" t="s">
        <v>1450</v>
      </c>
      <c r="H55" s="278" t="s">
        <v>586</v>
      </c>
      <c r="I55" s="278" t="s">
        <v>2438</v>
      </c>
      <c r="J55" s="263">
        <v>126000</v>
      </c>
      <c r="K55" s="263">
        <v>9878867</v>
      </c>
      <c r="L55" s="263">
        <v>8500039</v>
      </c>
      <c r="M55" s="263">
        <v>8500039</v>
      </c>
      <c r="N55" s="256">
        <v>67.460626984126989</v>
      </c>
      <c r="O55" s="263">
        <v>86</v>
      </c>
      <c r="P55" s="263" t="s">
        <v>2294</v>
      </c>
      <c r="Q55" s="263">
        <v>6500</v>
      </c>
      <c r="R55" s="263">
        <v>6500</v>
      </c>
      <c r="S55" s="263" t="s">
        <v>95</v>
      </c>
      <c r="T55" s="263" t="s">
        <v>75</v>
      </c>
      <c r="U55" s="263">
        <v>75000</v>
      </c>
      <c r="V55" s="263">
        <v>82532</v>
      </c>
      <c r="W55" s="263">
        <v>82532</v>
      </c>
      <c r="X55" s="349">
        <v>12.697230769230769</v>
      </c>
      <c r="Y55" s="263">
        <v>160000</v>
      </c>
      <c r="Z55" s="263" t="s">
        <v>339</v>
      </c>
      <c r="AA55" s="263">
        <v>75000</v>
      </c>
      <c r="AB55" s="263" t="s">
        <v>75</v>
      </c>
      <c r="AC55" s="263" t="s">
        <v>75</v>
      </c>
      <c r="AD55" s="263" t="s">
        <v>75</v>
      </c>
      <c r="AE55" s="263">
        <v>20000</v>
      </c>
      <c r="AF55" s="263" t="s">
        <v>75</v>
      </c>
      <c r="AG55" s="263" t="s">
        <v>75</v>
      </c>
      <c r="AH55" s="263" t="s">
        <v>75</v>
      </c>
      <c r="AI55" s="263" t="s">
        <v>75</v>
      </c>
      <c r="AJ55" s="254">
        <v>75000</v>
      </c>
      <c r="AK55" s="263">
        <v>82301</v>
      </c>
      <c r="AL55" s="263">
        <v>82301</v>
      </c>
      <c r="AM55" s="318">
        <f t="shared" si="6"/>
        <v>1.0973466666666667</v>
      </c>
      <c r="AN55" s="264"/>
      <c r="AO55" s="264" t="s">
        <v>75</v>
      </c>
      <c r="AP55" s="264" t="s">
        <v>75</v>
      </c>
      <c r="AQ55" s="264" t="s">
        <v>75</v>
      </c>
      <c r="AR55" s="264" t="s">
        <v>75</v>
      </c>
      <c r="AS55" s="264" t="s">
        <v>75</v>
      </c>
      <c r="AT55" s="264" t="s">
        <v>75</v>
      </c>
      <c r="AU55" s="264" t="s">
        <v>75</v>
      </c>
      <c r="AV55" s="293" t="s">
        <v>585</v>
      </c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58"/>
      <c r="BK55" s="358"/>
      <c r="BL55" s="358"/>
      <c r="BM55" s="358"/>
      <c r="BN55" s="358"/>
    </row>
    <row r="56" spans="1:219" s="261" customFormat="1" ht="18" customHeight="1">
      <c r="A56" s="260">
        <v>582</v>
      </c>
      <c r="B56" s="304" t="s">
        <v>8</v>
      </c>
      <c r="C56" s="304" t="s">
        <v>1261</v>
      </c>
      <c r="D56" s="317">
        <v>38749</v>
      </c>
      <c r="E56" s="317">
        <v>39539</v>
      </c>
      <c r="F56" s="304" t="s">
        <v>812</v>
      </c>
      <c r="G56" s="273" t="s">
        <v>1451</v>
      </c>
      <c r="H56" s="304" t="s">
        <v>811</v>
      </c>
      <c r="I56" s="278" t="s">
        <v>2438</v>
      </c>
      <c r="J56" s="318">
        <v>8000</v>
      </c>
      <c r="K56" s="318">
        <v>2800437</v>
      </c>
      <c r="L56" s="318">
        <v>2523513</v>
      </c>
      <c r="M56" s="318">
        <v>2523513</v>
      </c>
      <c r="N56" s="256">
        <v>315.43912499999999</v>
      </c>
      <c r="O56" s="318">
        <v>90</v>
      </c>
      <c r="P56" s="318">
        <v>955</v>
      </c>
      <c r="Q56" s="318">
        <v>955</v>
      </c>
      <c r="R56" s="318">
        <v>955</v>
      </c>
      <c r="S56" s="318" t="s">
        <v>849</v>
      </c>
      <c r="T56" s="318" t="s">
        <v>75</v>
      </c>
      <c r="U56" s="318" t="s">
        <v>75</v>
      </c>
      <c r="V56" s="318" t="s">
        <v>75</v>
      </c>
      <c r="W56" s="318" t="s">
        <v>75</v>
      </c>
      <c r="X56" s="349"/>
      <c r="Y56" s="330" t="s">
        <v>134</v>
      </c>
      <c r="Z56" s="318">
        <v>915</v>
      </c>
      <c r="AA56" s="318" t="s">
        <v>75</v>
      </c>
      <c r="AB56" s="318">
        <v>114</v>
      </c>
      <c r="AC56" s="318" t="s">
        <v>75</v>
      </c>
      <c r="AD56" s="318" t="s">
        <v>75</v>
      </c>
      <c r="AE56" s="318">
        <v>3000</v>
      </c>
      <c r="AF56" s="318" t="s">
        <v>75</v>
      </c>
      <c r="AG56" s="318" t="s">
        <v>75</v>
      </c>
      <c r="AH56" s="318" t="s">
        <v>75</v>
      </c>
      <c r="AI56" s="318" t="s">
        <v>75</v>
      </c>
      <c r="AJ56" s="254">
        <v>915</v>
      </c>
      <c r="AK56" s="318" t="s">
        <v>75</v>
      </c>
      <c r="AL56" s="318" t="s">
        <v>75</v>
      </c>
      <c r="AM56" s="318"/>
      <c r="AN56" s="319"/>
      <c r="AO56" s="319" t="s">
        <v>75</v>
      </c>
      <c r="AP56" s="319" t="s">
        <v>75</v>
      </c>
      <c r="AQ56" s="319" t="s">
        <v>75</v>
      </c>
      <c r="AR56" s="319" t="s">
        <v>75</v>
      </c>
      <c r="AS56" s="319" t="s">
        <v>75</v>
      </c>
      <c r="AT56" s="319" t="s">
        <v>75</v>
      </c>
      <c r="AU56" s="319" t="s">
        <v>75</v>
      </c>
      <c r="AV56" s="356" t="s">
        <v>810</v>
      </c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57"/>
      <c r="BH56" s="357"/>
      <c r="BI56" s="357"/>
      <c r="BJ56" s="357"/>
      <c r="BK56" s="357"/>
      <c r="BL56" s="357"/>
      <c r="BM56" s="357"/>
      <c r="BN56" s="357"/>
    </row>
    <row r="57" spans="1:219" s="362" customFormat="1" ht="12" customHeight="1">
      <c r="A57" s="260">
        <v>583</v>
      </c>
      <c r="B57" s="377" t="s">
        <v>170</v>
      </c>
      <c r="C57" s="377" t="s">
        <v>1299</v>
      </c>
      <c r="D57" s="325">
        <v>39022</v>
      </c>
      <c r="E57" s="325">
        <v>39114</v>
      </c>
      <c r="F57" s="377" t="s">
        <v>172</v>
      </c>
      <c r="G57" s="252" t="s">
        <v>1451</v>
      </c>
      <c r="H57" s="304" t="s">
        <v>175</v>
      </c>
      <c r="I57" s="254" t="s">
        <v>2331</v>
      </c>
      <c r="J57" s="327">
        <v>60000</v>
      </c>
      <c r="K57" s="327">
        <v>0</v>
      </c>
      <c r="L57" s="327">
        <v>145912</v>
      </c>
      <c r="M57" s="318">
        <v>145912</v>
      </c>
      <c r="N57" s="256">
        <v>2.4318666666666666</v>
      </c>
      <c r="O57" s="318">
        <v>100</v>
      </c>
      <c r="P57" s="327">
        <v>60000</v>
      </c>
      <c r="Q57" s="327">
        <v>5000</v>
      </c>
      <c r="R57" s="318">
        <v>60000</v>
      </c>
      <c r="S57" s="318" t="s">
        <v>2</v>
      </c>
      <c r="T57" s="327">
        <v>60</v>
      </c>
      <c r="U57" s="318">
        <v>3500</v>
      </c>
      <c r="V57" s="318" t="s">
        <v>66</v>
      </c>
      <c r="W57" s="318" t="s">
        <v>66</v>
      </c>
      <c r="X57" s="349"/>
      <c r="Y57" s="318"/>
      <c r="Z57" s="318"/>
      <c r="AA57" s="318"/>
      <c r="AB57" s="327"/>
      <c r="AC57" s="318">
        <v>10</v>
      </c>
      <c r="AD57" s="318"/>
      <c r="AE57" s="327">
        <v>1100</v>
      </c>
      <c r="AF57" s="327" t="s">
        <v>75</v>
      </c>
      <c r="AG57" s="327" t="s">
        <v>75</v>
      </c>
      <c r="AH57" s="318"/>
      <c r="AI57" s="327"/>
      <c r="AJ57" s="259">
        <v>0</v>
      </c>
      <c r="AK57" s="318" t="s">
        <v>66</v>
      </c>
      <c r="AL57" s="318" t="s">
        <v>66</v>
      </c>
      <c r="AM57" s="318"/>
      <c r="AN57" s="388"/>
      <c r="AO57" s="342" t="s">
        <v>75</v>
      </c>
      <c r="AP57" s="342" t="s">
        <v>75</v>
      </c>
      <c r="AQ57" s="342" t="s">
        <v>75</v>
      </c>
      <c r="AR57" s="342" t="s">
        <v>75</v>
      </c>
      <c r="AS57" s="342" t="s">
        <v>75</v>
      </c>
      <c r="AT57" s="342" t="s">
        <v>75</v>
      </c>
      <c r="AU57" s="342" t="s">
        <v>75</v>
      </c>
      <c r="AV57" s="404" t="s">
        <v>176</v>
      </c>
      <c r="AW57" s="388"/>
      <c r="AX57" s="388"/>
      <c r="AY57" s="388"/>
      <c r="AZ57" s="388"/>
      <c r="BA57" s="388"/>
      <c r="BB57" s="388"/>
      <c r="BC57" s="388"/>
      <c r="BD57" s="388"/>
      <c r="BE57" s="388"/>
      <c r="BF57" s="388"/>
      <c r="BG57" s="388"/>
      <c r="BH57" s="388"/>
      <c r="BI57" s="388"/>
      <c r="BJ57" s="388"/>
      <c r="BK57" s="388"/>
      <c r="BL57" s="388"/>
      <c r="BM57" s="388"/>
      <c r="BN57" s="342"/>
      <c r="BO57" s="261"/>
      <c r="BP57" s="261"/>
      <c r="BQ57" s="261"/>
      <c r="BR57" s="261"/>
      <c r="BS57" s="261"/>
      <c r="BT57" s="261"/>
      <c r="BU57" s="261"/>
      <c r="BV57" s="261"/>
      <c r="BW57" s="261"/>
      <c r="BX57" s="261"/>
      <c r="BY57" s="261"/>
      <c r="BZ57" s="261"/>
      <c r="CA57" s="261"/>
      <c r="CB57" s="261"/>
      <c r="CC57" s="261"/>
      <c r="CD57" s="261"/>
      <c r="CE57" s="261"/>
      <c r="CF57" s="261"/>
      <c r="CG57" s="261"/>
      <c r="CH57" s="261"/>
      <c r="CI57" s="261"/>
      <c r="CJ57" s="261"/>
      <c r="CK57" s="261"/>
      <c r="CL57" s="261"/>
      <c r="CM57" s="261"/>
      <c r="CN57" s="261"/>
      <c r="CO57" s="261"/>
      <c r="CP57" s="261"/>
      <c r="CQ57" s="261"/>
      <c r="CR57" s="261"/>
      <c r="CS57" s="261"/>
      <c r="CT57" s="261"/>
      <c r="CU57" s="261"/>
      <c r="CV57" s="261"/>
      <c r="CW57" s="261"/>
      <c r="CX57" s="261"/>
      <c r="CY57" s="261"/>
      <c r="CZ57" s="261"/>
      <c r="DA57" s="261"/>
      <c r="DB57" s="261"/>
      <c r="DC57" s="261"/>
      <c r="DD57" s="261"/>
      <c r="DE57" s="261"/>
      <c r="DF57" s="261"/>
      <c r="DG57" s="261"/>
      <c r="DH57" s="261"/>
      <c r="DI57" s="261"/>
      <c r="DJ57" s="261"/>
      <c r="DK57" s="261"/>
      <c r="DL57" s="261"/>
      <c r="DM57" s="261"/>
      <c r="DN57" s="261"/>
      <c r="DO57" s="261"/>
      <c r="DP57" s="261"/>
      <c r="DQ57" s="261"/>
      <c r="DR57" s="261"/>
      <c r="DS57" s="261"/>
      <c r="DT57" s="261"/>
      <c r="DU57" s="261"/>
      <c r="DV57" s="261"/>
      <c r="DW57" s="261"/>
      <c r="DX57" s="261"/>
      <c r="DY57" s="261"/>
      <c r="DZ57" s="261"/>
      <c r="EA57" s="261"/>
      <c r="EB57" s="261"/>
      <c r="EC57" s="261"/>
      <c r="ED57" s="261"/>
      <c r="EE57" s="261"/>
      <c r="EF57" s="261"/>
      <c r="EG57" s="261"/>
      <c r="EH57" s="261"/>
      <c r="EI57" s="261"/>
      <c r="EJ57" s="261"/>
      <c r="EK57" s="261"/>
      <c r="EL57" s="261"/>
      <c r="EM57" s="261"/>
      <c r="EN57" s="261"/>
      <c r="EO57" s="261"/>
      <c r="EP57" s="261"/>
      <c r="EQ57" s="261"/>
      <c r="ER57" s="261"/>
      <c r="ES57" s="261"/>
      <c r="ET57" s="261"/>
      <c r="EU57" s="261"/>
      <c r="EV57" s="261"/>
      <c r="EW57" s="261"/>
      <c r="EX57" s="261"/>
      <c r="EY57" s="261"/>
      <c r="EZ57" s="261"/>
      <c r="FA57" s="261"/>
      <c r="FB57" s="261"/>
      <c r="FC57" s="261"/>
      <c r="FD57" s="261"/>
      <c r="FE57" s="261"/>
      <c r="FF57" s="261"/>
      <c r="FG57" s="261"/>
      <c r="FH57" s="261"/>
      <c r="FI57" s="261"/>
      <c r="FJ57" s="261"/>
      <c r="FK57" s="261"/>
      <c r="FL57" s="261"/>
      <c r="FM57" s="261"/>
      <c r="FN57" s="261"/>
      <c r="FO57" s="261"/>
      <c r="FP57" s="261"/>
      <c r="FQ57" s="261"/>
      <c r="FR57" s="261"/>
      <c r="FS57" s="261"/>
      <c r="FT57" s="261"/>
      <c r="FU57" s="261"/>
      <c r="FV57" s="261"/>
      <c r="FW57" s="261"/>
      <c r="FX57" s="261"/>
      <c r="FY57" s="261"/>
      <c r="FZ57" s="261"/>
      <c r="GA57" s="261"/>
      <c r="GB57" s="261"/>
      <c r="GC57" s="261"/>
      <c r="GD57" s="261"/>
      <c r="GE57" s="261"/>
      <c r="GF57" s="261"/>
      <c r="GG57" s="261"/>
      <c r="GH57" s="261"/>
      <c r="GI57" s="261"/>
      <c r="GJ57" s="261"/>
      <c r="GK57" s="261"/>
      <c r="GL57" s="261"/>
      <c r="GM57" s="261"/>
      <c r="GN57" s="261"/>
      <c r="GO57" s="261"/>
      <c r="GP57" s="261"/>
      <c r="GQ57" s="261"/>
      <c r="GR57" s="261"/>
      <c r="GS57" s="261"/>
      <c r="GT57" s="261"/>
      <c r="GU57" s="261"/>
      <c r="GV57" s="261"/>
      <c r="GW57" s="261"/>
      <c r="GX57" s="261"/>
      <c r="GY57" s="261"/>
      <c r="GZ57" s="261"/>
      <c r="HA57" s="261"/>
      <c r="HB57" s="261"/>
      <c r="HC57" s="261"/>
      <c r="HD57" s="261"/>
      <c r="HE57" s="261"/>
      <c r="HF57" s="261"/>
      <c r="HG57" s="261"/>
      <c r="HH57" s="261"/>
      <c r="HI57" s="261"/>
      <c r="HJ57" s="261"/>
      <c r="HK57" s="261"/>
    </row>
    <row r="58" spans="1:219" s="362" customFormat="1" ht="15.75" customHeight="1">
      <c r="A58" s="260">
        <v>584</v>
      </c>
      <c r="B58" s="377" t="s">
        <v>189</v>
      </c>
      <c r="C58" s="388" t="s">
        <v>1260</v>
      </c>
      <c r="D58" s="325">
        <v>38808</v>
      </c>
      <c r="E58" s="325">
        <v>39173</v>
      </c>
      <c r="F58" s="377" t="s">
        <v>5</v>
      </c>
      <c r="G58" s="252" t="s">
        <v>1451</v>
      </c>
      <c r="H58" s="304" t="s">
        <v>191</v>
      </c>
      <c r="I58" s="278" t="s">
        <v>2438</v>
      </c>
      <c r="J58" s="318">
        <v>13000</v>
      </c>
      <c r="K58" s="327">
        <v>631853</v>
      </c>
      <c r="L58" s="327">
        <v>631896</v>
      </c>
      <c r="M58" s="318">
        <v>619003</v>
      </c>
      <c r="N58" s="256">
        <v>47.615615384615381</v>
      </c>
      <c r="O58" s="318">
        <v>100</v>
      </c>
      <c r="P58" s="327" t="s">
        <v>134</v>
      </c>
      <c r="Q58" s="327">
        <v>1040</v>
      </c>
      <c r="R58" s="318">
        <v>1040</v>
      </c>
      <c r="S58" s="318" t="s">
        <v>2</v>
      </c>
      <c r="T58" s="327"/>
      <c r="U58" s="318" t="s">
        <v>2</v>
      </c>
      <c r="V58" s="318">
        <v>7733</v>
      </c>
      <c r="W58" s="318">
        <v>7733</v>
      </c>
      <c r="X58" s="349">
        <v>7.4355769230769226</v>
      </c>
      <c r="Y58" s="318"/>
      <c r="Z58" s="318"/>
      <c r="AA58" s="318"/>
      <c r="AB58" s="327"/>
      <c r="AC58" s="318"/>
      <c r="AD58" s="318"/>
      <c r="AE58" s="327"/>
      <c r="AF58" s="327" t="s">
        <v>75</v>
      </c>
      <c r="AG58" s="327" t="s">
        <v>75</v>
      </c>
      <c r="AH58" s="318"/>
      <c r="AI58" s="327"/>
      <c r="AJ58" s="259">
        <v>0</v>
      </c>
      <c r="AK58" s="318" t="s">
        <v>66</v>
      </c>
      <c r="AL58" s="318" t="s">
        <v>66</v>
      </c>
      <c r="AM58" s="318"/>
      <c r="AN58" s="388"/>
      <c r="AO58" s="342" t="s">
        <v>75</v>
      </c>
      <c r="AP58" s="342" t="s">
        <v>75</v>
      </c>
      <c r="AQ58" s="342" t="s">
        <v>75</v>
      </c>
      <c r="AR58" s="342" t="s">
        <v>75</v>
      </c>
      <c r="AS58" s="342" t="s">
        <v>75</v>
      </c>
      <c r="AT58" s="342" t="s">
        <v>2</v>
      </c>
      <c r="AU58" s="342"/>
      <c r="AV58" s="377" t="s">
        <v>190</v>
      </c>
      <c r="AW58" s="388"/>
      <c r="AX58" s="388"/>
      <c r="AY58" s="388"/>
      <c r="AZ58" s="388"/>
      <c r="BA58" s="388"/>
      <c r="BB58" s="388"/>
      <c r="BC58" s="388"/>
      <c r="BD58" s="388"/>
      <c r="BE58" s="388"/>
      <c r="BF58" s="388"/>
      <c r="BG58" s="388"/>
      <c r="BH58" s="388"/>
      <c r="BI58" s="388"/>
      <c r="BJ58" s="388"/>
      <c r="BK58" s="388"/>
      <c r="BL58" s="388"/>
      <c r="BM58" s="388"/>
      <c r="BN58" s="342"/>
      <c r="BO58" s="261"/>
      <c r="BP58" s="261"/>
      <c r="BQ58" s="261"/>
      <c r="BR58" s="261"/>
      <c r="BS58" s="261"/>
      <c r="BT58" s="261"/>
      <c r="BU58" s="261"/>
      <c r="BV58" s="261"/>
      <c r="BW58" s="261"/>
      <c r="BX58" s="261"/>
      <c r="BY58" s="261"/>
      <c r="BZ58" s="261"/>
      <c r="CA58" s="261"/>
      <c r="CB58" s="261"/>
      <c r="CC58" s="261"/>
      <c r="CD58" s="261"/>
      <c r="CE58" s="261"/>
      <c r="CF58" s="261"/>
      <c r="CG58" s="261"/>
      <c r="CH58" s="261"/>
      <c r="CI58" s="261"/>
      <c r="CJ58" s="261"/>
      <c r="CK58" s="261"/>
      <c r="CL58" s="261"/>
      <c r="CM58" s="261"/>
      <c r="CN58" s="261"/>
      <c r="CO58" s="261"/>
      <c r="CP58" s="261"/>
      <c r="CQ58" s="261"/>
      <c r="CR58" s="261"/>
      <c r="CS58" s="261"/>
      <c r="CT58" s="261"/>
      <c r="CU58" s="261"/>
      <c r="CV58" s="261"/>
      <c r="CW58" s="261"/>
      <c r="CX58" s="261"/>
      <c r="CY58" s="261"/>
      <c r="CZ58" s="261"/>
      <c r="DA58" s="261"/>
      <c r="DB58" s="261"/>
      <c r="DC58" s="261"/>
      <c r="DD58" s="261"/>
      <c r="DE58" s="261"/>
      <c r="DF58" s="261"/>
      <c r="DG58" s="261"/>
      <c r="DH58" s="261"/>
      <c r="DI58" s="261"/>
      <c r="DJ58" s="261"/>
      <c r="DK58" s="261"/>
      <c r="DL58" s="261"/>
      <c r="DM58" s="261"/>
      <c r="DN58" s="261"/>
      <c r="DO58" s="261"/>
      <c r="DP58" s="261"/>
      <c r="DQ58" s="261"/>
      <c r="DR58" s="261"/>
      <c r="DS58" s="261"/>
      <c r="DT58" s="261"/>
      <c r="DU58" s="261"/>
      <c r="DV58" s="261"/>
      <c r="DW58" s="261"/>
      <c r="DX58" s="261"/>
      <c r="DY58" s="261"/>
      <c r="DZ58" s="261"/>
      <c r="EA58" s="261"/>
      <c r="EB58" s="261"/>
      <c r="EC58" s="261"/>
      <c r="ED58" s="261"/>
      <c r="EE58" s="261"/>
      <c r="EF58" s="261"/>
      <c r="EG58" s="261"/>
      <c r="EH58" s="261"/>
      <c r="EI58" s="261"/>
      <c r="EJ58" s="261"/>
      <c r="EK58" s="261"/>
      <c r="EL58" s="261"/>
      <c r="EM58" s="261"/>
      <c r="EN58" s="261"/>
      <c r="EO58" s="261"/>
      <c r="EP58" s="261"/>
      <c r="EQ58" s="261"/>
      <c r="ER58" s="261"/>
      <c r="ES58" s="261"/>
      <c r="ET58" s="261"/>
      <c r="EU58" s="261"/>
      <c r="EV58" s="261"/>
      <c r="EW58" s="261"/>
      <c r="EX58" s="261"/>
      <c r="EY58" s="261"/>
      <c r="EZ58" s="261"/>
      <c r="FA58" s="261"/>
      <c r="FB58" s="261"/>
      <c r="FC58" s="261"/>
      <c r="FD58" s="261"/>
      <c r="FE58" s="261"/>
      <c r="FF58" s="261"/>
      <c r="FG58" s="261"/>
      <c r="FH58" s="261"/>
      <c r="FI58" s="261"/>
      <c r="FJ58" s="261"/>
      <c r="FK58" s="261"/>
      <c r="FL58" s="261"/>
      <c r="FM58" s="261"/>
      <c r="FN58" s="261"/>
      <c r="FO58" s="261"/>
      <c r="FP58" s="261"/>
      <c r="FQ58" s="261"/>
      <c r="FR58" s="261"/>
      <c r="FS58" s="261"/>
      <c r="FT58" s="261"/>
      <c r="FU58" s="261"/>
      <c r="FV58" s="261"/>
      <c r="FW58" s="261"/>
      <c r="FX58" s="261"/>
      <c r="FY58" s="261"/>
      <c r="FZ58" s="261"/>
      <c r="GA58" s="261"/>
      <c r="GB58" s="261"/>
      <c r="GC58" s="261"/>
      <c r="GD58" s="261"/>
      <c r="GE58" s="261"/>
      <c r="GF58" s="261"/>
      <c r="GG58" s="261"/>
      <c r="GH58" s="261"/>
      <c r="GI58" s="261"/>
      <c r="GJ58" s="261"/>
      <c r="GK58" s="261"/>
      <c r="GL58" s="261"/>
      <c r="GM58" s="261"/>
      <c r="GN58" s="261"/>
      <c r="GO58" s="261"/>
      <c r="GP58" s="261"/>
      <c r="GQ58" s="261"/>
      <c r="GR58" s="261"/>
      <c r="GS58" s="261"/>
      <c r="GT58" s="261"/>
      <c r="GU58" s="261"/>
      <c r="GV58" s="261"/>
      <c r="GW58" s="261"/>
      <c r="GX58" s="261"/>
      <c r="GY58" s="261"/>
      <c r="GZ58" s="261"/>
      <c r="HA58" s="261"/>
      <c r="HB58" s="261"/>
      <c r="HC58" s="261"/>
      <c r="HD58" s="261"/>
      <c r="HE58" s="261"/>
      <c r="HF58" s="261"/>
      <c r="HG58" s="261"/>
      <c r="HH58" s="261"/>
      <c r="HI58" s="261"/>
      <c r="HJ58" s="261"/>
      <c r="HK58" s="261"/>
    </row>
    <row r="59" spans="1:219" s="362" customFormat="1" ht="14.25" customHeight="1">
      <c r="A59" s="260">
        <v>585</v>
      </c>
      <c r="B59" s="401" t="s">
        <v>871</v>
      </c>
      <c r="C59" s="362" t="s">
        <v>1260</v>
      </c>
      <c r="D59" s="485">
        <v>38808</v>
      </c>
      <c r="E59" s="485">
        <v>38930</v>
      </c>
      <c r="F59" s="401" t="s">
        <v>315</v>
      </c>
      <c r="G59" s="252" t="s">
        <v>1454</v>
      </c>
      <c r="H59" s="278" t="s">
        <v>406</v>
      </c>
      <c r="I59" s="254" t="s">
        <v>2331</v>
      </c>
      <c r="J59" s="263">
        <v>4126</v>
      </c>
      <c r="K59" s="402">
        <v>149984</v>
      </c>
      <c r="L59" s="402">
        <v>150000</v>
      </c>
      <c r="M59" s="402">
        <v>150000</v>
      </c>
      <c r="N59" s="256">
        <v>36.354823073194375</v>
      </c>
      <c r="O59" s="402">
        <v>100</v>
      </c>
      <c r="P59" s="402" t="s">
        <v>75</v>
      </c>
      <c r="Q59" s="402" t="s">
        <v>75</v>
      </c>
      <c r="R59" s="402" t="s">
        <v>75</v>
      </c>
      <c r="S59" s="402" t="s">
        <v>233</v>
      </c>
      <c r="T59" s="402" t="s">
        <v>75</v>
      </c>
      <c r="U59" s="402" t="s">
        <v>75</v>
      </c>
      <c r="V59" s="263" t="s">
        <v>66</v>
      </c>
      <c r="W59" s="402" t="s">
        <v>66</v>
      </c>
      <c r="X59" s="263"/>
      <c r="Y59" s="402" t="s">
        <v>75</v>
      </c>
      <c r="Z59" s="402" t="s">
        <v>75</v>
      </c>
      <c r="AA59" s="402" t="s">
        <v>75</v>
      </c>
      <c r="AB59" s="402" t="s">
        <v>75</v>
      </c>
      <c r="AC59" s="402" t="s">
        <v>75</v>
      </c>
      <c r="AD59" s="402" t="s">
        <v>75</v>
      </c>
      <c r="AE59" s="402" t="s">
        <v>75</v>
      </c>
      <c r="AF59" s="402" t="s">
        <v>75</v>
      </c>
      <c r="AG59" s="402" t="s">
        <v>75</v>
      </c>
      <c r="AH59" s="402" t="s">
        <v>75</v>
      </c>
      <c r="AI59" s="402" t="s">
        <v>75</v>
      </c>
      <c r="AJ59" s="259">
        <v>0</v>
      </c>
      <c r="AK59" s="263">
        <v>900</v>
      </c>
      <c r="AL59" s="402">
        <v>834</v>
      </c>
      <c r="AM59" s="318"/>
      <c r="AO59" s="362" t="s">
        <v>75</v>
      </c>
      <c r="AP59" s="362" t="s">
        <v>75</v>
      </c>
      <c r="AQ59" s="362" t="s">
        <v>75</v>
      </c>
      <c r="AR59" s="362" t="s">
        <v>75</v>
      </c>
      <c r="AS59" s="362" t="s">
        <v>75</v>
      </c>
      <c r="AT59" s="362" t="s">
        <v>75</v>
      </c>
      <c r="AU59" s="362" t="s">
        <v>75</v>
      </c>
      <c r="AV59" s="362" t="s">
        <v>316</v>
      </c>
      <c r="BN59" s="261"/>
      <c r="BO59" s="261"/>
      <c r="BP59" s="261"/>
      <c r="BQ59" s="261"/>
      <c r="BR59" s="261"/>
      <c r="BS59" s="261"/>
      <c r="BT59" s="261"/>
      <c r="BU59" s="261"/>
      <c r="BV59" s="261"/>
      <c r="BW59" s="261"/>
      <c r="BX59" s="261"/>
      <c r="BY59" s="261"/>
      <c r="BZ59" s="261"/>
      <c r="CA59" s="261"/>
      <c r="CB59" s="261"/>
      <c r="CC59" s="261"/>
      <c r="CD59" s="261"/>
      <c r="CE59" s="261"/>
      <c r="CF59" s="261"/>
      <c r="CG59" s="261"/>
      <c r="CH59" s="261"/>
      <c r="CI59" s="261"/>
      <c r="CJ59" s="261"/>
      <c r="CK59" s="261"/>
      <c r="CL59" s="261"/>
      <c r="CM59" s="261"/>
      <c r="CN59" s="261"/>
      <c r="CO59" s="261"/>
      <c r="CP59" s="261"/>
      <c r="CQ59" s="261"/>
      <c r="CR59" s="261"/>
      <c r="CS59" s="261"/>
      <c r="CT59" s="261"/>
      <c r="CU59" s="261"/>
      <c r="CV59" s="261"/>
      <c r="CW59" s="261"/>
      <c r="CX59" s="261"/>
      <c r="CY59" s="261"/>
      <c r="CZ59" s="261"/>
      <c r="DA59" s="261"/>
      <c r="DB59" s="261"/>
      <c r="DC59" s="261"/>
      <c r="DD59" s="261"/>
      <c r="DE59" s="261"/>
      <c r="DF59" s="261"/>
      <c r="DG59" s="261"/>
      <c r="DH59" s="261"/>
      <c r="DI59" s="261"/>
      <c r="DJ59" s="261"/>
      <c r="DK59" s="261"/>
      <c r="DL59" s="261"/>
      <c r="DM59" s="261"/>
      <c r="DN59" s="261"/>
      <c r="DO59" s="261"/>
      <c r="DP59" s="261"/>
      <c r="DQ59" s="261"/>
      <c r="DR59" s="261"/>
      <c r="DS59" s="261"/>
      <c r="DT59" s="261"/>
      <c r="DU59" s="261"/>
      <c r="DV59" s="261"/>
      <c r="DW59" s="261"/>
      <c r="DX59" s="261"/>
      <c r="DY59" s="261"/>
      <c r="DZ59" s="261"/>
      <c r="EA59" s="261"/>
      <c r="EB59" s="261"/>
      <c r="EC59" s="261"/>
      <c r="ED59" s="261"/>
      <c r="EE59" s="261"/>
      <c r="EF59" s="261"/>
      <c r="EG59" s="261"/>
      <c r="EH59" s="261"/>
      <c r="EI59" s="261"/>
      <c r="EJ59" s="261"/>
      <c r="EK59" s="261"/>
      <c r="EL59" s="261"/>
      <c r="EM59" s="261"/>
      <c r="EN59" s="261"/>
      <c r="EO59" s="261"/>
      <c r="EP59" s="261"/>
      <c r="EQ59" s="261"/>
      <c r="ER59" s="261"/>
      <c r="ES59" s="261"/>
      <c r="ET59" s="261"/>
      <c r="EU59" s="261"/>
      <c r="EV59" s="261"/>
      <c r="EW59" s="261"/>
      <c r="EX59" s="261"/>
      <c r="EY59" s="261"/>
      <c r="EZ59" s="261"/>
      <c r="FA59" s="261"/>
      <c r="FB59" s="261"/>
      <c r="FC59" s="261"/>
      <c r="FD59" s="261"/>
      <c r="FE59" s="261"/>
      <c r="FF59" s="261"/>
      <c r="FG59" s="261"/>
      <c r="FH59" s="261"/>
      <c r="FI59" s="261"/>
      <c r="FJ59" s="261"/>
      <c r="FK59" s="261"/>
      <c r="FL59" s="261"/>
      <c r="FM59" s="261"/>
      <c r="FN59" s="261"/>
      <c r="FO59" s="261"/>
      <c r="FP59" s="261"/>
      <c r="FQ59" s="261"/>
      <c r="FR59" s="261"/>
      <c r="FS59" s="261"/>
      <c r="FT59" s="261"/>
      <c r="FU59" s="261"/>
      <c r="FV59" s="261"/>
      <c r="FW59" s="261"/>
      <c r="FX59" s="261"/>
      <c r="FY59" s="261"/>
      <c r="FZ59" s="261"/>
      <c r="GA59" s="261"/>
      <c r="GB59" s="261"/>
      <c r="GC59" s="261"/>
      <c r="GD59" s="261"/>
      <c r="GE59" s="261"/>
      <c r="GF59" s="261"/>
      <c r="GG59" s="261"/>
      <c r="GH59" s="261"/>
      <c r="GI59" s="261"/>
      <c r="GJ59" s="261"/>
      <c r="GK59" s="261"/>
      <c r="GL59" s="261"/>
      <c r="GM59" s="261"/>
      <c r="GN59" s="261"/>
      <c r="GO59" s="261"/>
      <c r="GP59" s="261"/>
      <c r="GQ59" s="261"/>
      <c r="GR59" s="261"/>
      <c r="GS59" s="261"/>
      <c r="GT59" s="261"/>
      <c r="GU59" s="261"/>
      <c r="GV59" s="261"/>
      <c r="GW59" s="261"/>
      <c r="GX59" s="261"/>
      <c r="GY59" s="261"/>
      <c r="GZ59" s="261"/>
      <c r="HA59" s="261"/>
      <c r="HB59" s="261"/>
      <c r="HC59" s="261"/>
      <c r="HD59" s="261"/>
      <c r="HE59" s="261"/>
      <c r="HF59" s="261"/>
      <c r="HG59" s="261"/>
      <c r="HH59" s="261"/>
      <c r="HI59" s="261"/>
      <c r="HJ59" s="261"/>
      <c r="HK59" s="261"/>
    </row>
    <row r="60" spans="1:219" s="261" customFormat="1" ht="16.5" customHeight="1">
      <c r="A60" s="260">
        <v>586</v>
      </c>
      <c r="B60" s="304" t="s">
        <v>153</v>
      </c>
      <c r="C60" s="304" t="s">
        <v>1299</v>
      </c>
      <c r="D60" s="317">
        <v>38991</v>
      </c>
      <c r="E60" s="317">
        <v>39326</v>
      </c>
      <c r="F60" s="304" t="s">
        <v>512</v>
      </c>
      <c r="G60" s="273" t="s">
        <v>1452</v>
      </c>
      <c r="H60" s="304" t="s">
        <v>820</v>
      </c>
      <c r="I60" s="278" t="s">
        <v>2438</v>
      </c>
      <c r="J60" s="318">
        <v>30000</v>
      </c>
      <c r="K60" s="318">
        <v>1545713</v>
      </c>
      <c r="L60" s="318">
        <v>157404</v>
      </c>
      <c r="M60" s="318">
        <v>157404</v>
      </c>
      <c r="N60" s="256">
        <v>5.2468000000000004</v>
      </c>
      <c r="O60" s="318">
        <v>10</v>
      </c>
      <c r="P60" s="318">
        <v>10000</v>
      </c>
      <c r="Q60" s="318">
        <v>10000</v>
      </c>
      <c r="R60" s="318">
        <v>10000</v>
      </c>
      <c r="S60" s="318" t="s">
        <v>849</v>
      </c>
      <c r="T60" s="318" t="s">
        <v>75</v>
      </c>
      <c r="U60" s="318">
        <v>10000</v>
      </c>
      <c r="V60" s="318">
        <v>275357</v>
      </c>
      <c r="W60" s="318">
        <v>27535.7</v>
      </c>
      <c r="X60" s="349">
        <v>2.7535699999999999</v>
      </c>
      <c r="Y60" s="318">
        <v>10000</v>
      </c>
      <c r="Z60" s="318" t="s">
        <v>75</v>
      </c>
      <c r="AA60" s="318">
        <v>10000</v>
      </c>
      <c r="AB60" s="318">
        <v>25</v>
      </c>
      <c r="AC60" s="318" t="s">
        <v>75</v>
      </c>
      <c r="AD60" s="318" t="s">
        <v>75</v>
      </c>
      <c r="AE60" s="318" t="s">
        <v>75</v>
      </c>
      <c r="AF60" s="318" t="s">
        <v>75</v>
      </c>
      <c r="AG60" s="318" t="s">
        <v>75</v>
      </c>
      <c r="AH60" s="318" t="s">
        <v>75</v>
      </c>
      <c r="AI60" s="318" t="s">
        <v>75</v>
      </c>
      <c r="AJ60" s="254">
        <v>10000</v>
      </c>
      <c r="AK60" s="318">
        <v>2340</v>
      </c>
      <c r="AL60" s="318">
        <v>234</v>
      </c>
      <c r="AM60" s="318">
        <f t="shared" ref="AM60" si="7">AL60/AJ60</f>
        <v>2.3400000000000001E-2</v>
      </c>
      <c r="AN60" s="319"/>
      <c r="AO60" s="319" t="s">
        <v>75</v>
      </c>
      <c r="AP60" s="319" t="s">
        <v>75</v>
      </c>
      <c r="AQ60" s="319" t="s">
        <v>75</v>
      </c>
      <c r="AR60" s="319" t="s">
        <v>75</v>
      </c>
      <c r="AS60" s="319" t="s">
        <v>75</v>
      </c>
      <c r="AT60" s="319" t="s">
        <v>75</v>
      </c>
      <c r="AU60" s="319" t="s">
        <v>75</v>
      </c>
      <c r="AV60" s="356" t="s">
        <v>819</v>
      </c>
      <c r="AW60" s="357"/>
      <c r="AX60" s="357"/>
      <c r="AY60" s="357"/>
      <c r="AZ60" s="357"/>
      <c r="BA60" s="357"/>
      <c r="BB60" s="357"/>
      <c r="BC60" s="357"/>
      <c r="BD60" s="357"/>
      <c r="BE60" s="357"/>
      <c r="BF60" s="357"/>
      <c r="BG60" s="357"/>
      <c r="BH60" s="357"/>
      <c r="BI60" s="357"/>
      <c r="BJ60" s="357"/>
      <c r="BK60" s="357"/>
      <c r="BL60" s="357"/>
      <c r="BM60" s="357"/>
      <c r="BN60" s="357"/>
    </row>
    <row r="61" spans="1:219" s="362" customFormat="1" ht="15" customHeight="1">
      <c r="A61" s="260">
        <v>587</v>
      </c>
      <c r="B61" s="377" t="s">
        <v>153</v>
      </c>
      <c r="C61" s="377" t="s">
        <v>1299</v>
      </c>
      <c r="D61" s="325">
        <v>38777</v>
      </c>
      <c r="E61" s="325">
        <v>38961</v>
      </c>
      <c r="F61" s="377" t="s">
        <v>79</v>
      </c>
      <c r="G61" s="252" t="s">
        <v>1453</v>
      </c>
      <c r="H61" s="304" t="s">
        <v>152</v>
      </c>
      <c r="I61" s="278" t="s">
        <v>2438</v>
      </c>
      <c r="J61" s="318">
        <v>114075</v>
      </c>
      <c r="K61" s="327">
        <v>902799</v>
      </c>
      <c r="L61" s="327">
        <v>601024</v>
      </c>
      <c r="M61" s="318">
        <v>601024</v>
      </c>
      <c r="N61" s="256">
        <v>5.2686741179048875</v>
      </c>
      <c r="O61" s="327">
        <v>66.599999999999994</v>
      </c>
      <c r="P61" s="327">
        <v>38100</v>
      </c>
      <c r="Q61" s="327">
        <v>9000</v>
      </c>
      <c r="R61" s="318">
        <v>38100</v>
      </c>
      <c r="S61" s="318" t="s">
        <v>2</v>
      </c>
      <c r="T61" s="327">
        <v>80</v>
      </c>
      <c r="U61" s="318"/>
      <c r="V61" s="318">
        <v>182028</v>
      </c>
      <c r="W61" s="318">
        <v>121958</v>
      </c>
      <c r="X61" s="349">
        <v>3.2009973753280838</v>
      </c>
      <c r="Y61" s="318"/>
      <c r="Z61" s="318"/>
      <c r="AA61" s="318"/>
      <c r="AB61" s="327"/>
      <c r="AC61" s="318"/>
      <c r="AD61" s="318"/>
      <c r="AE61" s="327"/>
      <c r="AF61" s="327" t="s">
        <v>75</v>
      </c>
      <c r="AG61" s="327" t="s">
        <v>75</v>
      </c>
      <c r="AH61" s="318"/>
      <c r="AI61" s="327"/>
      <c r="AJ61" s="259">
        <v>0</v>
      </c>
      <c r="AK61" s="318">
        <v>9420</v>
      </c>
      <c r="AL61" s="318">
        <v>6311.4</v>
      </c>
      <c r="AM61" s="318"/>
      <c r="AN61" s="388"/>
      <c r="AO61" s="342" t="s">
        <v>75</v>
      </c>
      <c r="AP61" s="342" t="s">
        <v>75</v>
      </c>
      <c r="AQ61" s="342" t="s">
        <v>75</v>
      </c>
      <c r="AR61" s="342" t="s">
        <v>75</v>
      </c>
      <c r="AS61" s="342" t="s">
        <v>75</v>
      </c>
      <c r="AT61" s="342" t="s">
        <v>75</v>
      </c>
      <c r="AU61" s="342" t="s">
        <v>75</v>
      </c>
      <c r="AV61" s="404" t="s">
        <v>154</v>
      </c>
      <c r="AW61" s="388"/>
      <c r="AX61" s="388"/>
      <c r="AY61" s="388"/>
      <c r="AZ61" s="388"/>
      <c r="BA61" s="388"/>
      <c r="BB61" s="388"/>
      <c r="BC61" s="388"/>
      <c r="BD61" s="388"/>
      <c r="BE61" s="388"/>
      <c r="BF61" s="388"/>
      <c r="BG61" s="388"/>
      <c r="BH61" s="388"/>
      <c r="BI61" s="388"/>
      <c r="BJ61" s="388"/>
      <c r="BK61" s="388"/>
      <c r="BL61" s="388"/>
      <c r="BM61" s="388"/>
      <c r="BN61" s="342"/>
      <c r="BO61" s="261"/>
      <c r="BP61" s="261"/>
      <c r="BQ61" s="261"/>
      <c r="BR61" s="261"/>
      <c r="BS61" s="261"/>
      <c r="BT61" s="261"/>
      <c r="BU61" s="261"/>
      <c r="BV61" s="261"/>
      <c r="BW61" s="261"/>
      <c r="BX61" s="261"/>
      <c r="BY61" s="261"/>
      <c r="BZ61" s="261"/>
      <c r="CA61" s="261"/>
      <c r="CB61" s="261"/>
      <c r="CC61" s="261"/>
      <c r="CD61" s="261"/>
      <c r="CE61" s="261"/>
      <c r="CF61" s="261"/>
      <c r="CG61" s="261"/>
      <c r="CH61" s="261"/>
      <c r="CI61" s="261"/>
      <c r="CJ61" s="261"/>
      <c r="CK61" s="261"/>
      <c r="CL61" s="261"/>
      <c r="CM61" s="261"/>
      <c r="CN61" s="261"/>
      <c r="CO61" s="261"/>
      <c r="CP61" s="261"/>
      <c r="CQ61" s="261"/>
      <c r="CR61" s="261"/>
      <c r="CS61" s="261"/>
      <c r="CT61" s="261"/>
      <c r="CU61" s="261"/>
      <c r="CV61" s="261"/>
      <c r="CW61" s="261"/>
      <c r="CX61" s="261"/>
      <c r="CY61" s="261"/>
      <c r="CZ61" s="261"/>
      <c r="DA61" s="261"/>
      <c r="DB61" s="261"/>
      <c r="DC61" s="261"/>
      <c r="DD61" s="261"/>
      <c r="DE61" s="261"/>
      <c r="DF61" s="261"/>
      <c r="DG61" s="261"/>
      <c r="DH61" s="261"/>
      <c r="DI61" s="261"/>
      <c r="DJ61" s="261"/>
      <c r="DK61" s="261"/>
      <c r="DL61" s="261"/>
      <c r="DM61" s="261"/>
      <c r="DN61" s="261"/>
      <c r="DO61" s="261"/>
      <c r="DP61" s="261"/>
      <c r="DQ61" s="261"/>
      <c r="DR61" s="261"/>
      <c r="DS61" s="261"/>
      <c r="DT61" s="261"/>
      <c r="DU61" s="261"/>
      <c r="DV61" s="261"/>
      <c r="DW61" s="261"/>
      <c r="DX61" s="261"/>
      <c r="DY61" s="261"/>
      <c r="DZ61" s="261"/>
      <c r="EA61" s="261"/>
      <c r="EB61" s="261"/>
      <c r="EC61" s="261"/>
      <c r="ED61" s="261"/>
      <c r="EE61" s="261"/>
      <c r="EF61" s="261"/>
      <c r="EG61" s="261"/>
      <c r="EH61" s="261"/>
      <c r="EI61" s="261"/>
      <c r="EJ61" s="261"/>
      <c r="EK61" s="261"/>
      <c r="EL61" s="261"/>
      <c r="EM61" s="261"/>
      <c r="EN61" s="261"/>
      <c r="EO61" s="261"/>
      <c r="EP61" s="261"/>
      <c r="EQ61" s="261"/>
      <c r="ER61" s="261"/>
      <c r="ES61" s="261"/>
      <c r="ET61" s="261"/>
      <c r="EU61" s="261"/>
      <c r="EV61" s="261"/>
      <c r="EW61" s="261"/>
      <c r="EX61" s="261"/>
      <c r="EY61" s="261"/>
      <c r="EZ61" s="261"/>
      <c r="FA61" s="261"/>
      <c r="FB61" s="261"/>
      <c r="FC61" s="261"/>
      <c r="FD61" s="261"/>
      <c r="FE61" s="261"/>
      <c r="FF61" s="261"/>
      <c r="FG61" s="261"/>
      <c r="FH61" s="261"/>
      <c r="FI61" s="261"/>
      <c r="FJ61" s="261"/>
      <c r="FK61" s="261"/>
      <c r="FL61" s="261"/>
      <c r="FM61" s="261"/>
      <c r="FN61" s="261"/>
      <c r="FO61" s="261"/>
      <c r="FP61" s="261"/>
      <c r="FQ61" s="261"/>
      <c r="FR61" s="261"/>
      <c r="FS61" s="261"/>
      <c r="FT61" s="261"/>
      <c r="FU61" s="261"/>
      <c r="FV61" s="261"/>
      <c r="FW61" s="261"/>
      <c r="FX61" s="261"/>
      <c r="FY61" s="261"/>
      <c r="FZ61" s="261"/>
      <c r="GA61" s="261"/>
      <c r="GB61" s="261"/>
      <c r="GC61" s="261"/>
      <c r="GD61" s="261"/>
      <c r="GE61" s="261"/>
      <c r="GF61" s="261"/>
      <c r="GG61" s="261"/>
      <c r="GH61" s="261"/>
      <c r="GI61" s="261"/>
      <c r="GJ61" s="261"/>
      <c r="GK61" s="261"/>
      <c r="GL61" s="261"/>
      <c r="GM61" s="261"/>
      <c r="GN61" s="261"/>
      <c r="GO61" s="261"/>
      <c r="GP61" s="261"/>
      <c r="GQ61" s="261"/>
      <c r="GR61" s="261"/>
      <c r="GS61" s="261"/>
      <c r="GT61" s="261"/>
      <c r="GU61" s="261"/>
      <c r="GV61" s="261"/>
      <c r="GW61" s="261"/>
      <c r="GX61" s="261"/>
      <c r="GY61" s="261"/>
      <c r="GZ61" s="261"/>
      <c r="HA61" s="261"/>
      <c r="HB61" s="261"/>
      <c r="HC61" s="261"/>
      <c r="HD61" s="261"/>
      <c r="HE61" s="261"/>
      <c r="HF61" s="261"/>
      <c r="HG61" s="261"/>
      <c r="HH61" s="261"/>
      <c r="HI61" s="261"/>
      <c r="HJ61" s="261"/>
      <c r="HK61" s="261"/>
    </row>
    <row r="62" spans="1:219" s="261" customFormat="1" ht="24" customHeight="1">
      <c r="A62" s="260">
        <v>588</v>
      </c>
      <c r="B62" s="401" t="s">
        <v>377</v>
      </c>
      <c r="C62" s="362" t="s">
        <v>1260</v>
      </c>
      <c r="D62" s="485">
        <v>38808</v>
      </c>
      <c r="E62" s="485">
        <v>38899</v>
      </c>
      <c r="F62" s="401" t="s">
        <v>376</v>
      </c>
      <c r="G62" s="252" t="s">
        <v>1451</v>
      </c>
      <c r="H62" s="278" t="s">
        <v>379</v>
      </c>
      <c r="I62" s="254" t="s">
        <v>2331</v>
      </c>
      <c r="J62" s="263">
        <v>20000</v>
      </c>
      <c r="K62" s="402">
        <v>0</v>
      </c>
      <c r="L62" s="402">
        <v>128150</v>
      </c>
      <c r="M62" s="402">
        <v>128150</v>
      </c>
      <c r="N62" s="256">
        <v>6.4074999999999998</v>
      </c>
      <c r="O62" s="402" t="s">
        <v>66</v>
      </c>
      <c r="P62" s="402" t="s">
        <v>75</v>
      </c>
      <c r="Q62" s="402" t="s">
        <v>75</v>
      </c>
      <c r="R62" s="402" t="s">
        <v>75</v>
      </c>
      <c r="S62" s="402" t="s">
        <v>233</v>
      </c>
      <c r="T62" s="402" t="s">
        <v>75</v>
      </c>
      <c r="U62" s="402" t="s">
        <v>75</v>
      </c>
      <c r="V62" s="263" t="s">
        <v>66</v>
      </c>
      <c r="W62" s="402" t="s">
        <v>66</v>
      </c>
      <c r="X62" s="263"/>
      <c r="Y62" s="402" t="s">
        <v>75</v>
      </c>
      <c r="Z62" s="402" t="s">
        <v>75</v>
      </c>
      <c r="AA62" s="402" t="s">
        <v>75</v>
      </c>
      <c r="AB62" s="402" t="s">
        <v>75</v>
      </c>
      <c r="AC62" s="402" t="s">
        <v>75</v>
      </c>
      <c r="AD62" s="402" t="s">
        <v>75</v>
      </c>
      <c r="AE62" s="402" t="s">
        <v>75</v>
      </c>
      <c r="AF62" s="402" t="s">
        <v>75</v>
      </c>
      <c r="AG62" s="402" t="s">
        <v>75</v>
      </c>
      <c r="AH62" s="402" t="s">
        <v>75</v>
      </c>
      <c r="AI62" s="402" t="s">
        <v>75</v>
      </c>
      <c r="AJ62" s="259">
        <v>0</v>
      </c>
      <c r="AK62" s="263" t="s">
        <v>66</v>
      </c>
      <c r="AL62" s="402" t="s">
        <v>66</v>
      </c>
      <c r="AM62" s="402"/>
      <c r="AN62" s="362"/>
      <c r="AO62" s="362" t="s">
        <v>75</v>
      </c>
      <c r="AP62" s="362" t="s">
        <v>75</v>
      </c>
      <c r="AQ62" s="362" t="s">
        <v>75</v>
      </c>
      <c r="AR62" s="362" t="s">
        <v>75</v>
      </c>
      <c r="AS62" s="362" t="s">
        <v>75</v>
      </c>
      <c r="AT62" s="362" t="s">
        <v>75</v>
      </c>
      <c r="AU62" s="362" t="s">
        <v>75</v>
      </c>
      <c r="AV62" s="362" t="s">
        <v>378</v>
      </c>
      <c r="AW62" s="362"/>
      <c r="AX62" s="362"/>
      <c r="AY62" s="362"/>
      <c r="AZ62" s="362"/>
      <c r="BA62" s="362"/>
      <c r="BB62" s="362"/>
      <c r="BC62" s="362"/>
      <c r="BD62" s="362"/>
      <c r="BE62" s="362"/>
      <c r="BF62" s="362"/>
      <c r="BG62" s="362"/>
      <c r="BH62" s="362"/>
      <c r="BI62" s="362"/>
      <c r="BJ62" s="362"/>
      <c r="BK62" s="362"/>
      <c r="BL62" s="362"/>
      <c r="BM62" s="362"/>
    </row>
    <row r="63" spans="1:219" s="261" customFormat="1" ht="15" customHeight="1">
      <c r="A63" s="260">
        <v>589</v>
      </c>
      <c r="B63" s="401" t="s">
        <v>385</v>
      </c>
      <c r="C63" s="362" t="s">
        <v>1260</v>
      </c>
      <c r="D63" s="485">
        <v>38749</v>
      </c>
      <c r="E63" s="485">
        <v>38808</v>
      </c>
      <c r="F63" s="401" t="s">
        <v>5</v>
      </c>
      <c r="G63" s="252" t="s">
        <v>1451</v>
      </c>
      <c r="H63" s="278" t="s">
        <v>389</v>
      </c>
      <c r="I63" s="254" t="s">
        <v>2331</v>
      </c>
      <c r="J63" s="263">
        <v>1624</v>
      </c>
      <c r="K63" s="402">
        <v>131250</v>
      </c>
      <c r="L63" s="402">
        <v>121463</v>
      </c>
      <c r="M63" s="402">
        <v>121463</v>
      </c>
      <c r="N63" s="256">
        <v>74.792487684729068</v>
      </c>
      <c r="O63" s="402">
        <v>92.5</v>
      </c>
      <c r="P63" s="402" t="s">
        <v>134</v>
      </c>
      <c r="Q63" s="409" t="s">
        <v>134</v>
      </c>
      <c r="R63" s="402"/>
      <c r="S63" s="402" t="s">
        <v>233</v>
      </c>
      <c r="T63" s="402" t="s">
        <v>75</v>
      </c>
      <c r="U63" s="402" t="s">
        <v>75</v>
      </c>
      <c r="V63" s="263">
        <v>18000</v>
      </c>
      <c r="W63" s="402">
        <v>13908</v>
      </c>
      <c r="X63" s="263"/>
      <c r="Y63" s="402" t="s">
        <v>75</v>
      </c>
      <c r="Z63" s="402" t="s">
        <v>75</v>
      </c>
      <c r="AA63" s="402" t="s">
        <v>75</v>
      </c>
      <c r="AB63" s="402" t="s">
        <v>75</v>
      </c>
      <c r="AC63" s="402" t="s">
        <v>75</v>
      </c>
      <c r="AD63" s="402" t="s">
        <v>75</v>
      </c>
      <c r="AE63" s="402" t="s">
        <v>75</v>
      </c>
      <c r="AF63" s="402" t="s">
        <v>75</v>
      </c>
      <c r="AG63" s="402" t="s">
        <v>75</v>
      </c>
      <c r="AH63" s="402" t="s">
        <v>75</v>
      </c>
      <c r="AI63" s="402" t="s">
        <v>75</v>
      </c>
      <c r="AJ63" s="259">
        <v>0</v>
      </c>
      <c r="AK63" s="263" t="s">
        <v>66</v>
      </c>
      <c r="AL63" s="402" t="s">
        <v>66</v>
      </c>
      <c r="AM63" s="402"/>
      <c r="AN63" s="362"/>
      <c r="AO63" s="362" t="s">
        <v>75</v>
      </c>
      <c r="AP63" s="362" t="s">
        <v>75</v>
      </c>
      <c r="AQ63" s="362" t="s">
        <v>75</v>
      </c>
      <c r="AR63" s="362" t="s">
        <v>75</v>
      </c>
      <c r="AS63" s="362" t="s">
        <v>75</v>
      </c>
      <c r="AT63" s="362" t="s">
        <v>75</v>
      </c>
      <c r="AU63" s="362" t="s">
        <v>75</v>
      </c>
      <c r="AV63" s="403" t="s">
        <v>390</v>
      </c>
      <c r="AW63" s="362"/>
      <c r="AX63" s="362"/>
      <c r="AY63" s="362"/>
      <c r="AZ63" s="362"/>
      <c r="BA63" s="362"/>
      <c r="BB63" s="362"/>
      <c r="BC63" s="362"/>
      <c r="BD63" s="362"/>
      <c r="BE63" s="362"/>
      <c r="BF63" s="362"/>
      <c r="BG63" s="362"/>
      <c r="BH63" s="362"/>
      <c r="BI63" s="362"/>
      <c r="BJ63" s="362"/>
      <c r="BK63" s="362"/>
      <c r="BL63" s="362"/>
      <c r="BM63" s="362"/>
    </row>
    <row r="64" spans="1:219" s="261" customFormat="1" ht="14.25" customHeight="1">
      <c r="A64" s="260">
        <v>590</v>
      </c>
      <c r="B64" s="377" t="s">
        <v>211</v>
      </c>
      <c r="C64" s="377" t="s">
        <v>1299</v>
      </c>
      <c r="D64" s="325">
        <v>38777</v>
      </c>
      <c r="E64" s="325">
        <v>38869</v>
      </c>
      <c r="F64" s="377" t="s">
        <v>220</v>
      </c>
      <c r="G64" s="252" t="s">
        <v>1449</v>
      </c>
      <c r="H64" s="304" t="s">
        <v>219</v>
      </c>
      <c r="I64" s="254" t="s">
        <v>2331</v>
      </c>
      <c r="J64" s="318" t="s">
        <v>134</v>
      </c>
      <c r="K64" s="327">
        <v>35518</v>
      </c>
      <c r="L64" s="327">
        <v>34820</v>
      </c>
      <c r="M64" s="318">
        <v>34820</v>
      </c>
      <c r="N64" s="256"/>
      <c r="O64" s="318">
        <v>98</v>
      </c>
      <c r="P64" s="327" t="s">
        <v>75</v>
      </c>
      <c r="Q64" s="327" t="s">
        <v>75</v>
      </c>
      <c r="R64" s="318" t="s">
        <v>75</v>
      </c>
      <c r="S64" s="318" t="s">
        <v>233</v>
      </c>
      <c r="T64" s="327" t="s">
        <v>75</v>
      </c>
      <c r="U64" s="318" t="s">
        <v>75</v>
      </c>
      <c r="V64" s="318" t="s">
        <v>66</v>
      </c>
      <c r="W64" s="318" t="s">
        <v>66</v>
      </c>
      <c r="X64" s="318"/>
      <c r="Y64" s="330" t="s">
        <v>206</v>
      </c>
      <c r="Z64" s="318" t="s">
        <v>75</v>
      </c>
      <c r="AA64" s="318" t="s">
        <v>134</v>
      </c>
      <c r="AB64" s="318" t="s">
        <v>134</v>
      </c>
      <c r="AC64" s="318" t="s">
        <v>75</v>
      </c>
      <c r="AD64" s="318" t="s">
        <v>134</v>
      </c>
      <c r="AE64" s="327">
        <v>2100</v>
      </c>
      <c r="AF64" s="327" t="s">
        <v>75</v>
      </c>
      <c r="AG64" s="327" t="s">
        <v>75</v>
      </c>
      <c r="AH64" s="318" t="s">
        <v>75</v>
      </c>
      <c r="AI64" s="327" t="s">
        <v>75</v>
      </c>
      <c r="AJ64" s="259">
        <v>0</v>
      </c>
      <c r="AK64" s="318">
        <v>6585</v>
      </c>
      <c r="AL64" s="318">
        <v>6453.3</v>
      </c>
      <c r="AM64" s="318"/>
      <c r="AN64" s="388"/>
      <c r="AO64" s="342" t="s">
        <v>75</v>
      </c>
      <c r="AP64" s="342" t="s">
        <v>75</v>
      </c>
      <c r="AQ64" s="342" t="s">
        <v>75</v>
      </c>
      <c r="AR64" s="342" t="s">
        <v>75</v>
      </c>
      <c r="AS64" s="342" t="s">
        <v>75</v>
      </c>
      <c r="AT64" s="342" t="s">
        <v>75</v>
      </c>
      <c r="AU64" s="342" t="s">
        <v>75</v>
      </c>
      <c r="AV64" s="404" t="s">
        <v>221</v>
      </c>
      <c r="AW64" s="388"/>
      <c r="AX64" s="388"/>
      <c r="AY64" s="388"/>
      <c r="AZ64" s="388"/>
      <c r="BA64" s="388"/>
      <c r="BB64" s="388"/>
      <c r="BC64" s="388"/>
      <c r="BD64" s="388"/>
      <c r="BE64" s="388"/>
      <c r="BF64" s="388"/>
      <c r="BG64" s="388"/>
      <c r="BH64" s="388"/>
      <c r="BI64" s="388"/>
      <c r="BJ64" s="388"/>
      <c r="BK64" s="388"/>
      <c r="BL64" s="388"/>
      <c r="BM64" s="388"/>
      <c r="BN64" s="342"/>
    </row>
    <row r="65" spans="1:66" s="358" customFormat="1" ht="18.75" customHeight="1">
      <c r="A65" s="260">
        <v>591</v>
      </c>
      <c r="B65" s="304" t="s">
        <v>2367</v>
      </c>
      <c r="C65" s="304" t="s">
        <v>1299</v>
      </c>
      <c r="D65" s="317">
        <v>38991</v>
      </c>
      <c r="E65" s="317">
        <v>39448</v>
      </c>
      <c r="F65" s="304" t="s">
        <v>168</v>
      </c>
      <c r="G65" s="252" t="s">
        <v>1449</v>
      </c>
      <c r="H65" s="304" t="s">
        <v>778</v>
      </c>
      <c r="I65" s="254" t="s">
        <v>2331</v>
      </c>
      <c r="J65" s="263">
        <v>313765</v>
      </c>
      <c r="K65" s="318">
        <v>148442</v>
      </c>
      <c r="L65" s="318">
        <v>124833</v>
      </c>
      <c r="M65" s="318">
        <v>124833</v>
      </c>
      <c r="N65" s="256">
        <v>0.39785508262553182</v>
      </c>
      <c r="O65" s="318">
        <v>84</v>
      </c>
      <c r="P65" s="318" t="s">
        <v>75</v>
      </c>
      <c r="Q65" s="318" t="s">
        <v>75</v>
      </c>
      <c r="R65" s="318" t="s">
        <v>75</v>
      </c>
      <c r="S65" s="318" t="s">
        <v>94</v>
      </c>
      <c r="T65" s="318">
        <v>355</v>
      </c>
      <c r="U65" s="318" t="s">
        <v>339</v>
      </c>
      <c r="V65" s="318">
        <v>14750</v>
      </c>
      <c r="W65" s="318">
        <v>12390</v>
      </c>
      <c r="X65" s="318"/>
      <c r="Y65" s="330" t="s">
        <v>339</v>
      </c>
      <c r="Z65" s="318" t="s">
        <v>75</v>
      </c>
      <c r="AA65" s="263">
        <v>313765</v>
      </c>
      <c r="AB65" s="318">
        <v>355</v>
      </c>
      <c r="AC65" s="318" t="s">
        <v>75</v>
      </c>
      <c r="AD65" s="318" t="s">
        <v>75</v>
      </c>
      <c r="AE65" s="318" t="s">
        <v>75</v>
      </c>
      <c r="AF65" s="318" t="s">
        <v>75</v>
      </c>
      <c r="AG65" s="318" t="s">
        <v>75</v>
      </c>
      <c r="AH65" s="318">
        <v>554</v>
      </c>
      <c r="AI65" s="318" t="s">
        <v>75</v>
      </c>
      <c r="AJ65" s="259">
        <v>314319</v>
      </c>
      <c r="AK65" s="318">
        <v>66399</v>
      </c>
      <c r="AL65" s="318">
        <v>20174</v>
      </c>
      <c r="AM65" s="318">
        <f t="shared" ref="AM65:AM67" si="8">AL65/AJ65</f>
        <v>6.4183202415380558E-2</v>
      </c>
      <c r="AN65" s="319"/>
      <c r="AO65" s="319" t="s">
        <v>75</v>
      </c>
      <c r="AP65" s="319" t="s">
        <v>75</v>
      </c>
      <c r="AQ65" s="319" t="s">
        <v>75</v>
      </c>
      <c r="AR65" s="319" t="s">
        <v>75</v>
      </c>
      <c r="AS65" s="319" t="s">
        <v>75</v>
      </c>
      <c r="AT65" s="319" t="s">
        <v>75</v>
      </c>
      <c r="AU65" s="319" t="s">
        <v>75</v>
      </c>
      <c r="AV65" s="356" t="s">
        <v>777</v>
      </c>
      <c r="AW65" s="357"/>
      <c r="AX65" s="357"/>
      <c r="AY65" s="357"/>
      <c r="AZ65" s="357"/>
      <c r="BA65" s="357"/>
      <c r="BB65" s="357"/>
      <c r="BC65" s="357"/>
      <c r="BD65" s="357"/>
      <c r="BE65" s="357"/>
      <c r="BF65" s="357"/>
      <c r="BG65" s="357"/>
      <c r="BH65" s="357"/>
      <c r="BI65" s="357"/>
      <c r="BJ65" s="357"/>
      <c r="BK65" s="357"/>
      <c r="BL65" s="357"/>
      <c r="BM65" s="357"/>
      <c r="BN65" s="357"/>
    </row>
    <row r="66" spans="1:66" s="342" customFormat="1" ht="18.75" customHeight="1">
      <c r="A66" s="260">
        <v>592</v>
      </c>
      <c r="B66" s="304" t="s">
        <v>26</v>
      </c>
      <c r="C66" s="304" t="s">
        <v>1299</v>
      </c>
      <c r="D66" s="317">
        <v>38718</v>
      </c>
      <c r="E66" s="317">
        <v>39661</v>
      </c>
      <c r="F66" s="304" t="s">
        <v>168</v>
      </c>
      <c r="G66" s="252" t="s">
        <v>1449</v>
      </c>
      <c r="H66" s="304" t="s">
        <v>803</v>
      </c>
      <c r="I66" s="278" t="s">
        <v>2438</v>
      </c>
      <c r="J66" s="318">
        <v>90000</v>
      </c>
      <c r="K66" s="318">
        <v>1015000</v>
      </c>
      <c r="L66" s="318">
        <v>313509</v>
      </c>
      <c r="M66" s="318">
        <v>313509</v>
      </c>
      <c r="N66" s="256">
        <v>3.4834333333333332</v>
      </c>
      <c r="O66" s="318">
        <v>31</v>
      </c>
      <c r="P66" s="318">
        <v>30000</v>
      </c>
      <c r="Q66" s="330">
        <v>54847</v>
      </c>
      <c r="R66" s="330">
        <v>54847</v>
      </c>
      <c r="S66" s="318" t="s">
        <v>94</v>
      </c>
      <c r="T66" s="318">
        <v>15</v>
      </c>
      <c r="U66" s="318">
        <v>54847</v>
      </c>
      <c r="V66" s="318">
        <v>484000</v>
      </c>
      <c r="W66" s="318">
        <v>2313</v>
      </c>
      <c r="X66" s="349">
        <v>4.2171859901179644E-2</v>
      </c>
      <c r="Y66" s="318">
        <v>40000</v>
      </c>
      <c r="Z66" s="318" t="s">
        <v>75</v>
      </c>
      <c r="AA66" s="318">
        <v>40000</v>
      </c>
      <c r="AB66" s="318">
        <v>225</v>
      </c>
      <c r="AC66" s="318" t="s">
        <v>75</v>
      </c>
      <c r="AD66" s="318" t="s">
        <v>75</v>
      </c>
      <c r="AE66" s="318" t="s">
        <v>75</v>
      </c>
      <c r="AF66" s="318" t="s">
        <v>75</v>
      </c>
      <c r="AG66" s="318" t="s">
        <v>75</v>
      </c>
      <c r="AH66" s="318" t="s">
        <v>75</v>
      </c>
      <c r="AI66" s="318" t="s">
        <v>75</v>
      </c>
      <c r="AJ66" s="259">
        <v>40000</v>
      </c>
      <c r="AK66" s="318">
        <v>45000</v>
      </c>
      <c r="AL66" s="318">
        <v>357</v>
      </c>
      <c r="AM66" s="318">
        <f t="shared" si="8"/>
        <v>8.9250000000000006E-3</v>
      </c>
      <c r="AN66" s="319"/>
      <c r="AO66" s="319" t="s">
        <v>75</v>
      </c>
      <c r="AP66" s="319" t="s">
        <v>75</v>
      </c>
      <c r="AQ66" s="319" t="s">
        <v>75</v>
      </c>
      <c r="AR66" s="319" t="s">
        <v>75</v>
      </c>
      <c r="AS66" s="319" t="s">
        <v>75</v>
      </c>
      <c r="AT66" s="319" t="s">
        <v>75</v>
      </c>
      <c r="AU66" s="319" t="s">
        <v>75</v>
      </c>
      <c r="AV66" s="356" t="s">
        <v>802</v>
      </c>
      <c r="AW66" s="357"/>
      <c r="AX66" s="357"/>
      <c r="AY66" s="357"/>
      <c r="AZ66" s="357"/>
      <c r="BA66" s="357"/>
      <c r="BB66" s="357"/>
      <c r="BC66" s="357"/>
      <c r="BD66" s="357"/>
      <c r="BE66" s="357"/>
      <c r="BF66" s="357"/>
      <c r="BG66" s="357"/>
      <c r="BH66" s="357"/>
      <c r="BI66" s="357"/>
      <c r="BJ66" s="357"/>
      <c r="BK66" s="357"/>
      <c r="BL66" s="357"/>
      <c r="BM66" s="357"/>
      <c r="BN66" s="357"/>
    </row>
    <row r="67" spans="1:66" s="266" customFormat="1" ht="18.75" customHeight="1">
      <c r="A67" s="260">
        <v>593</v>
      </c>
      <c r="B67" s="304" t="s">
        <v>26</v>
      </c>
      <c r="C67" s="304" t="s">
        <v>1299</v>
      </c>
      <c r="D67" s="317">
        <v>38930</v>
      </c>
      <c r="E67" s="317">
        <v>39173</v>
      </c>
      <c r="F67" s="304" t="s">
        <v>5</v>
      </c>
      <c r="G67" s="252" t="s">
        <v>1451</v>
      </c>
      <c r="H67" s="304" t="s">
        <v>746</v>
      </c>
      <c r="I67" s="278" t="s">
        <v>2438</v>
      </c>
      <c r="J67" s="318">
        <v>15000</v>
      </c>
      <c r="K67" s="318">
        <v>1512497</v>
      </c>
      <c r="L67" s="318">
        <v>1170264</v>
      </c>
      <c r="M67" s="318">
        <v>1170264</v>
      </c>
      <c r="N67" s="256">
        <v>78.017600000000002</v>
      </c>
      <c r="O67" s="318">
        <v>77</v>
      </c>
      <c r="P67" s="318" t="s">
        <v>339</v>
      </c>
      <c r="Q67" s="318">
        <v>2600</v>
      </c>
      <c r="R67" s="318">
        <v>2600</v>
      </c>
      <c r="S67" s="318" t="s">
        <v>2</v>
      </c>
      <c r="T67" s="318">
        <v>183</v>
      </c>
      <c r="U67" s="318">
        <v>17500</v>
      </c>
      <c r="V67" s="318">
        <v>323438</v>
      </c>
      <c r="W67" s="318">
        <v>159147</v>
      </c>
      <c r="X67" s="349">
        <v>61.210384615384612</v>
      </c>
      <c r="Y67" s="318">
        <v>17500</v>
      </c>
      <c r="Z67" s="318" t="s">
        <v>75</v>
      </c>
      <c r="AA67" s="318">
        <v>17500</v>
      </c>
      <c r="AB67" s="318">
        <v>98</v>
      </c>
      <c r="AC67" s="318" t="s">
        <v>75</v>
      </c>
      <c r="AD67" s="318" t="s">
        <v>75</v>
      </c>
      <c r="AE67" s="318">
        <v>22913</v>
      </c>
      <c r="AF67" s="318" t="s">
        <v>75</v>
      </c>
      <c r="AG67" s="318" t="s">
        <v>75</v>
      </c>
      <c r="AH67" s="318" t="s">
        <v>75</v>
      </c>
      <c r="AI67" s="318" t="s">
        <v>75</v>
      </c>
      <c r="AJ67" s="259">
        <v>17500</v>
      </c>
      <c r="AK67" s="318">
        <v>74293</v>
      </c>
      <c r="AL67" s="318">
        <v>9546</v>
      </c>
      <c r="AM67" s="318">
        <f t="shared" si="8"/>
        <v>0.54548571428571424</v>
      </c>
      <c r="AN67" s="319"/>
      <c r="AO67" s="319" t="s">
        <v>75</v>
      </c>
      <c r="AP67" s="319" t="s">
        <v>75</v>
      </c>
      <c r="AQ67" s="319" t="s">
        <v>75</v>
      </c>
      <c r="AR67" s="319" t="s">
        <v>75</v>
      </c>
      <c r="AS67" s="319" t="s">
        <v>75</v>
      </c>
      <c r="AT67" s="319" t="s">
        <v>75</v>
      </c>
      <c r="AU67" s="319" t="s">
        <v>75</v>
      </c>
      <c r="AV67" s="356" t="s">
        <v>745</v>
      </c>
      <c r="AW67" s="357"/>
      <c r="AX67" s="357"/>
      <c r="AY67" s="357"/>
      <c r="AZ67" s="357"/>
      <c r="BA67" s="357"/>
      <c r="BB67" s="357"/>
      <c r="BC67" s="357"/>
      <c r="BD67" s="357"/>
      <c r="BE67" s="357"/>
      <c r="BF67" s="357"/>
      <c r="BG67" s="357"/>
      <c r="BH67" s="357"/>
      <c r="BI67" s="357"/>
      <c r="BJ67" s="357"/>
      <c r="BK67" s="357"/>
      <c r="BL67" s="357"/>
      <c r="BM67" s="357"/>
      <c r="BN67" s="357"/>
    </row>
    <row r="68" spans="1:66" s="266" customFormat="1" ht="13.5" customHeight="1">
      <c r="A68" s="260">
        <v>594</v>
      </c>
      <c r="B68" s="304" t="s">
        <v>273</v>
      </c>
      <c r="C68" s="342" t="s">
        <v>1286</v>
      </c>
      <c r="D68" s="317">
        <v>38838</v>
      </c>
      <c r="E68" s="317">
        <v>39022</v>
      </c>
      <c r="F68" s="304" t="s">
        <v>5</v>
      </c>
      <c r="G68" s="273" t="s">
        <v>1451</v>
      </c>
      <c r="H68" s="304" t="s">
        <v>275</v>
      </c>
      <c r="I68" s="278" t="s">
        <v>2438</v>
      </c>
      <c r="J68" s="318">
        <v>20000</v>
      </c>
      <c r="K68" s="318">
        <v>854305</v>
      </c>
      <c r="L68" s="318">
        <v>904349</v>
      </c>
      <c r="M68" s="318">
        <v>904349</v>
      </c>
      <c r="N68" s="256">
        <v>45.217449999999999</v>
      </c>
      <c r="O68" s="318">
        <v>105.85</v>
      </c>
      <c r="P68" s="318"/>
      <c r="Q68" s="318"/>
      <c r="R68" s="318"/>
      <c r="S68" s="318" t="s">
        <v>267</v>
      </c>
      <c r="T68" s="318">
        <v>20</v>
      </c>
      <c r="U68" s="318">
        <v>2270</v>
      </c>
      <c r="V68" s="318">
        <v>30000</v>
      </c>
      <c r="W68" s="318">
        <v>6652</v>
      </c>
      <c r="X68" s="318"/>
      <c r="Y68" s="330" t="s">
        <v>206</v>
      </c>
      <c r="Z68" s="318" t="s">
        <v>75</v>
      </c>
      <c r="AA68" s="318" t="s">
        <v>134</v>
      </c>
      <c r="AB68" s="318" t="s">
        <v>134</v>
      </c>
      <c r="AC68" s="318" t="s">
        <v>134</v>
      </c>
      <c r="AD68" s="318" t="s">
        <v>75</v>
      </c>
      <c r="AE68" s="318" t="s">
        <v>75</v>
      </c>
      <c r="AF68" s="318" t="s">
        <v>75</v>
      </c>
      <c r="AG68" s="318" t="s">
        <v>75</v>
      </c>
      <c r="AH68" s="318" t="s">
        <v>75</v>
      </c>
      <c r="AI68" s="318" t="s">
        <v>75</v>
      </c>
      <c r="AJ68" s="254">
        <v>0</v>
      </c>
      <c r="AK68" s="318">
        <v>0</v>
      </c>
      <c r="AL68" s="318">
        <v>479</v>
      </c>
      <c r="AM68" s="318"/>
      <c r="AN68" s="342"/>
      <c r="AO68" s="342" t="s">
        <v>75</v>
      </c>
      <c r="AP68" s="342" t="s">
        <v>75</v>
      </c>
      <c r="AQ68" s="342" t="s">
        <v>75</v>
      </c>
      <c r="AR68" s="342" t="s">
        <v>75</v>
      </c>
      <c r="AS68" s="342" t="s">
        <v>75</v>
      </c>
      <c r="AT68" s="342" t="s">
        <v>2</v>
      </c>
      <c r="AU68" s="342" t="s">
        <v>2</v>
      </c>
      <c r="AV68" s="415" t="s">
        <v>274</v>
      </c>
      <c r="AW68" s="342"/>
      <c r="AX68" s="342"/>
      <c r="AY68" s="342"/>
      <c r="AZ68" s="342"/>
      <c r="BA68" s="342"/>
      <c r="BB68" s="342"/>
      <c r="BC68" s="342"/>
      <c r="BD68" s="342"/>
      <c r="BE68" s="342"/>
      <c r="BF68" s="342"/>
      <c r="BG68" s="342"/>
      <c r="BH68" s="342"/>
      <c r="BI68" s="342"/>
      <c r="BJ68" s="342"/>
      <c r="BK68" s="342"/>
      <c r="BL68" s="342"/>
      <c r="BM68" s="342"/>
      <c r="BN68" s="342"/>
    </row>
    <row r="69" spans="1:66" s="266" customFormat="1" ht="18.75" customHeight="1">
      <c r="A69" s="260">
        <v>595</v>
      </c>
      <c r="B69" s="377" t="s">
        <v>196</v>
      </c>
      <c r="C69" s="388" t="s">
        <v>1260</v>
      </c>
      <c r="D69" s="317">
        <v>38899</v>
      </c>
      <c r="E69" s="325">
        <v>38991</v>
      </c>
      <c r="F69" s="304" t="s">
        <v>24</v>
      </c>
      <c r="G69" s="252" t="s">
        <v>1454</v>
      </c>
      <c r="H69" s="304" t="s">
        <v>288</v>
      </c>
      <c r="I69" s="254" t="s">
        <v>2331</v>
      </c>
      <c r="J69" s="318">
        <v>21057</v>
      </c>
      <c r="K69" s="327">
        <v>100000</v>
      </c>
      <c r="L69" s="327">
        <v>79167</v>
      </c>
      <c r="M69" s="318">
        <v>79167</v>
      </c>
      <c r="N69" s="256">
        <v>3.7596523721327824</v>
      </c>
      <c r="O69" s="318">
        <v>79</v>
      </c>
      <c r="P69" s="318" t="s">
        <v>134</v>
      </c>
      <c r="Q69" s="330" t="s">
        <v>134</v>
      </c>
      <c r="R69" s="318" t="s">
        <v>134</v>
      </c>
      <c r="S69" s="318" t="s">
        <v>290</v>
      </c>
      <c r="T69" s="318" t="s">
        <v>75</v>
      </c>
      <c r="U69" s="318">
        <v>1000</v>
      </c>
      <c r="V69" s="318" t="s">
        <v>66</v>
      </c>
      <c r="W69" s="318" t="s">
        <v>66</v>
      </c>
      <c r="X69" s="318"/>
      <c r="Y69" s="318"/>
      <c r="Z69" s="318" t="s">
        <v>75</v>
      </c>
      <c r="AA69" s="318">
        <v>1000</v>
      </c>
      <c r="AB69" s="318" t="s">
        <v>206</v>
      </c>
      <c r="AC69" s="318" t="s">
        <v>75</v>
      </c>
      <c r="AD69" s="318" t="s">
        <v>75</v>
      </c>
      <c r="AE69" s="318" t="s">
        <v>75</v>
      </c>
      <c r="AF69" s="318" t="s">
        <v>75</v>
      </c>
      <c r="AG69" s="318" t="s">
        <v>75</v>
      </c>
      <c r="AH69" s="318" t="s">
        <v>75</v>
      </c>
      <c r="AI69" s="318" t="s">
        <v>75</v>
      </c>
      <c r="AJ69" s="259">
        <v>1000</v>
      </c>
      <c r="AK69" s="318" t="s">
        <v>66</v>
      </c>
      <c r="AL69" s="318" t="s">
        <v>66</v>
      </c>
      <c r="AM69" s="318"/>
      <c r="AN69" s="388"/>
      <c r="AO69" s="342" t="s">
        <v>75</v>
      </c>
      <c r="AP69" s="342" t="s">
        <v>75</v>
      </c>
      <c r="AQ69" s="342" t="s">
        <v>75</v>
      </c>
      <c r="AR69" s="342" t="s">
        <v>75</v>
      </c>
      <c r="AS69" s="342" t="s">
        <v>75</v>
      </c>
      <c r="AT69" s="342" t="s">
        <v>75</v>
      </c>
      <c r="AU69" s="342" t="s">
        <v>75</v>
      </c>
      <c r="AV69" s="404" t="s">
        <v>289</v>
      </c>
      <c r="AW69" s="388"/>
      <c r="AX69" s="388"/>
      <c r="AY69" s="388"/>
      <c r="AZ69" s="388"/>
      <c r="BA69" s="388"/>
      <c r="BB69" s="388"/>
      <c r="BC69" s="388"/>
      <c r="BD69" s="388"/>
      <c r="BE69" s="388"/>
      <c r="BF69" s="388"/>
      <c r="BG69" s="388"/>
      <c r="BH69" s="388"/>
      <c r="BI69" s="388"/>
      <c r="BJ69" s="388"/>
      <c r="BK69" s="388"/>
      <c r="BL69" s="388"/>
      <c r="BM69" s="388"/>
      <c r="BN69" s="342"/>
    </row>
    <row r="70" spans="1:66" s="266" customFormat="1" ht="13.5" customHeight="1">
      <c r="A70" s="260">
        <v>596</v>
      </c>
      <c r="B70" s="278" t="s">
        <v>171</v>
      </c>
      <c r="C70" s="261" t="s">
        <v>1299</v>
      </c>
      <c r="D70" s="262">
        <v>38791</v>
      </c>
      <c r="E70" s="262">
        <v>38911</v>
      </c>
      <c r="F70" s="304" t="s">
        <v>79</v>
      </c>
      <c r="G70" s="252" t="s">
        <v>1453</v>
      </c>
      <c r="H70" s="278" t="s">
        <v>687</v>
      </c>
      <c r="I70" s="278" t="s">
        <v>2438</v>
      </c>
      <c r="J70" s="263">
        <v>74000</v>
      </c>
      <c r="K70" s="263">
        <v>1862590</v>
      </c>
      <c r="L70" s="263">
        <v>525182</v>
      </c>
      <c r="M70" s="263">
        <v>525182</v>
      </c>
      <c r="N70" s="256">
        <v>7.0970540540540537</v>
      </c>
      <c r="O70" s="263">
        <v>28</v>
      </c>
      <c r="P70" s="263" t="s">
        <v>75</v>
      </c>
      <c r="Q70" s="263" t="s">
        <v>75</v>
      </c>
      <c r="R70" s="263">
        <v>74000</v>
      </c>
      <c r="S70" s="263" t="s">
        <v>95</v>
      </c>
      <c r="T70" s="263" t="s">
        <v>75</v>
      </c>
      <c r="U70" s="263"/>
      <c r="V70" s="263" t="s">
        <v>75</v>
      </c>
      <c r="W70" s="263" t="s">
        <v>75</v>
      </c>
      <c r="X70" s="349"/>
      <c r="Y70" s="263" t="s">
        <v>75</v>
      </c>
      <c r="Z70" s="263" t="s">
        <v>75</v>
      </c>
      <c r="AA70" s="263" t="s">
        <v>75</v>
      </c>
      <c r="AB70" s="263" t="s">
        <v>75</v>
      </c>
      <c r="AC70" s="263" t="s">
        <v>75</v>
      </c>
      <c r="AD70" s="263" t="s">
        <v>75</v>
      </c>
      <c r="AE70" s="263" t="s">
        <v>75</v>
      </c>
      <c r="AF70" s="263" t="s">
        <v>75</v>
      </c>
      <c r="AG70" s="263" t="s">
        <v>75</v>
      </c>
      <c r="AH70" s="263" t="s">
        <v>75</v>
      </c>
      <c r="AI70" s="263" t="s">
        <v>75</v>
      </c>
      <c r="AJ70" s="259">
        <v>0</v>
      </c>
      <c r="AK70" s="263" t="s">
        <v>75</v>
      </c>
      <c r="AL70" s="263" t="s">
        <v>75</v>
      </c>
      <c r="AM70" s="263"/>
      <c r="AN70" s="264"/>
      <c r="AO70" s="264" t="s">
        <v>75</v>
      </c>
      <c r="AP70" s="264" t="s">
        <v>75</v>
      </c>
      <c r="AQ70" s="264" t="s">
        <v>75</v>
      </c>
      <c r="AR70" s="264" t="s">
        <v>75</v>
      </c>
      <c r="AS70" s="264" t="s">
        <v>75</v>
      </c>
      <c r="AT70" s="264" t="s">
        <v>75</v>
      </c>
      <c r="AU70" s="264" t="s">
        <v>75</v>
      </c>
      <c r="AV70" s="344" t="s">
        <v>686</v>
      </c>
      <c r="AW70" s="358"/>
      <c r="AX70" s="358"/>
      <c r="AY70" s="358"/>
      <c r="AZ70" s="358"/>
      <c r="BA70" s="358"/>
      <c r="BB70" s="358"/>
      <c r="BC70" s="358"/>
      <c r="BD70" s="358"/>
      <c r="BE70" s="358"/>
      <c r="BF70" s="358"/>
      <c r="BG70" s="358"/>
      <c r="BH70" s="358"/>
      <c r="BI70" s="358"/>
      <c r="BJ70" s="358"/>
      <c r="BK70" s="358"/>
      <c r="BL70" s="358"/>
      <c r="BM70" s="358"/>
      <c r="BN70" s="358"/>
    </row>
    <row r="71" spans="1:66" s="405" customFormat="1" ht="18" customHeight="1">
      <c r="A71" s="260">
        <v>597</v>
      </c>
      <c r="B71" s="377" t="s">
        <v>171</v>
      </c>
      <c r="C71" s="377" t="s">
        <v>1299</v>
      </c>
      <c r="D71" s="325">
        <v>39022</v>
      </c>
      <c r="E71" s="325">
        <v>39114</v>
      </c>
      <c r="F71" s="377" t="s">
        <v>173</v>
      </c>
      <c r="G71" s="252" t="s">
        <v>1451</v>
      </c>
      <c r="H71" s="304" t="s">
        <v>177</v>
      </c>
      <c r="I71" s="254" t="s">
        <v>2331</v>
      </c>
      <c r="J71" s="318">
        <v>2500</v>
      </c>
      <c r="K71" s="327">
        <v>30470</v>
      </c>
      <c r="L71" s="327">
        <v>30469</v>
      </c>
      <c r="M71" s="318">
        <v>30469</v>
      </c>
      <c r="N71" s="256">
        <v>12.1876</v>
      </c>
      <c r="O71" s="318">
        <v>100</v>
      </c>
      <c r="P71" s="327"/>
      <c r="Q71" s="327"/>
      <c r="R71" s="318"/>
      <c r="S71" s="318" t="s">
        <v>233</v>
      </c>
      <c r="T71" s="327"/>
      <c r="U71" s="318"/>
      <c r="V71" s="318"/>
      <c r="W71" s="318"/>
      <c r="X71" s="318"/>
      <c r="Y71" s="318"/>
      <c r="Z71" s="318"/>
      <c r="AA71" s="318"/>
      <c r="AB71" s="327">
        <v>25</v>
      </c>
      <c r="AC71" s="318"/>
      <c r="AD71" s="318"/>
      <c r="AE71" s="327">
        <v>1000</v>
      </c>
      <c r="AF71" s="327" t="s">
        <v>75</v>
      </c>
      <c r="AG71" s="327" t="s">
        <v>75</v>
      </c>
      <c r="AH71" s="318"/>
      <c r="AI71" s="327"/>
      <c r="AJ71" s="259">
        <v>0</v>
      </c>
      <c r="AK71" s="318"/>
      <c r="AL71" s="318"/>
      <c r="AM71" s="318"/>
      <c r="AN71" s="388"/>
      <c r="AO71" s="342" t="s">
        <v>75</v>
      </c>
      <c r="AP71" s="342" t="s">
        <v>75</v>
      </c>
      <c r="AQ71" s="342" t="s">
        <v>75</v>
      </c>
      <c r="AR71" s="342" t="s">
        <v>75</v>
      </c>
      <c r="AS71" s="342" t="s">
        <v>75</v>
      </c>
      <c r="AT71" s="342" t="s">
        <v>75</v>
      </c>
      <c r="AU71" s="342" t="s">
        <v>75</v>
      </c>
      <c r="AV71" s="404" t="s">
        <v>178</v>
      </c>
      <c r="AW71" s="388"/>
      <c r="AX71" s="388"/>
      <c r="AY71" s="388"/>
      <c r="AZ71" s="388"/>
      <c r="BA71" s="388"/>
      <c r="BB71" s="388"/>
      <c r="BC71" s="388"/>
      <c r="BD71" s="388"/>
      <c r="BE71" s="388"/>
      <c r="BF71" s="388"/>
      <c r="BG71" s="388"/>
      <c r="BH71" s="388"/>
      <c r="BI71" s="388"/>
      <c r="BJ71" s="388"/>
      <c r="BK71" s="388"/>
      <c r="BL71" s="388"/>
      <c r="BM71" s="388"/>
      <c r="BN71" s="342"/>
    </row>
    <row r="72" spans="1:66" s="405" customFormat="1" ht="16.5" customHeight="1">
      <c r="A72" s="260">
        <v>598</v>
      </c>
      <c r="B72" s="377" t="s">
        <v>171</v>
      </c>
      <c r="C72" s="377" t="s">
        <v>1299</v>
      </c>
      <c r="D72" s="325">
        <v>38838</v>
      </c>
      <c r="E72" s="325">
        <v>39022</v>
      </c>
      <c r="F72" s="377" t="s">
        <v>5</v>
      </c>
      <c r="G72" s="252" t="s">
        <v>1451</v>
      </c>
      <c r="H72" s="304" t="s">
        <v>232</v>
      </c>
      <c r="I72" s="254" t="s">
        <v>2331</v>
      </c>
      <c r="J72" s="318">
        <v>3000</v>
      </c>
      <c r="K72" s="327">
        <v>73000</v>
      </c>
      <c r="L72" s="327">
        <v>72771</v>
      </c>
      <c r="M72" s="318">
        <v>72771</v>
      </c>
      <c r="N72" s="256">
        <v>24.257000000000001</v>
      </c>
      <c r="O72" s="318">
        <v>100</v>
      </c>
      <c r="P72" s="327">
        <v>3000</v>
      </c>
      <c r="Q72" s="411" t="s">
        <v>134</v>
      </c>
      <c r="R72" s="318">
        <v>3000</v>
      </c>
      <c r="S72" s="318" t="s">
        <v>233</v>
      </c>
      <c r="T72" s="411" t="s">
        <v>134</v>
      </c>
      <c r="U72" s="318" t="s">
        <v>134</v>
      </c>
      <c r="V72" s="318" t="s">
        <v>66</v>
      </c>
      <c r="W72" s="318" t="s">
        <v>66</v>
      </c>
      <c r="X72" s="349"/>
      <c r="Y72" s="330" t="s">
        <v>206</v>
      </c>
      <c r="Z72" s="318" t="s">
        <v>75</v>
      </c>
      <c r="AA72" s="318" t="s">
        <v>75</v>
      </c>
      <c r="AB72" s="318" t="s">
        <v>75</v>
      </c>
      <c r="AC72" s="318" t="s">
        <v>75</v>
      </c>
      <c r="AD72" s="318" t="s">
        <v>75</v>
      </c>
      <c r="AE72" s="327">
        <v>1200</v>
      </c>
      <c r="AF72" s="318" t="s">
        <v>75</v>
      </c>
      <c r="AG72" s="318" t="s">
        <v>75</v>
      </c>
      <c r="AH72" s="318" t="s">
        <v>75</v>
      </c>
      <c r="AI72" s="327" t="s">
        <v>75</v>
      </c>
      <c r="AJ72" s="259">
        <v>0</v>
      </c>
      <c r="AK72" s="330" t="s">
        <v>66</v>
      </c>
      <c r="AL72" s="318" t="s">
        <v>66</v>
      </c>
      <c r="AM72" s="318"/>
      <c r="AN72" s="388"/>
      <c r="AO72" s="342" t="s">
        <v>75</v>
      </c>
      <c r="AP72" s="342" t="s">
        <v>75</v>
      </c>
      <c r="AQ72" s="342" t="s">
        <v>75</v>
      </c>
      <c r="AR72" s="342" t="s">
        <v>75</v>
      </c>
      <c r="AS72" s="342" t="s">
        <v>75</v>
      </c>
      <c r="AT72" s="342" t="s">
        <v>75</v>
      </c>
      <c r="AU72" s="342" t="s">
        <v>75</v>
      </c>
      <c r="AV72" s="404" t="s">
        <v>234</v>
      </c>
      <c r="AW72" s="388"/>
      <c r="AX72" s="388"/>
      <c r="AY72" s="388"/>
      <c r="AZ72" s="388"/>
      <c r="BA72" s="388"/>
      <c r="BB72" s="388"/>
      <c r="BC72" s="388"/>
      <c r="BD72" s="388"/>
      <c r="BE72" s="388"/>
      <c r="BF72" s="388"/>
      <c r="BG72" s="388"/>
      <c r="BH72" s="388"/>
      <c r="BI72" s="388"/>
      <c r="BJ72" s="388"/>
      <c r="BK72" s="388"/>
      <c r="BL72" s="388"/>
      <c r="BM72" s="388"/>
      <c r="BN72" s="342"/>
    </row>
    <row r="73" spans="1:66" s="405" customFormat="1" ht="15.75" customHeight="1">
      <c r="A73" s="260">
        <v>599</v>
      </c>
      <c r="B73" s="377" t="s">
        <v>171</v>
      </c>
      <c r="C73" s="377" t="s">
        <v>1299</v>
      </c>
      <c r="D73" s="325">
        <v>38869</v>
      </c>
      <c r="E73" s="325">
        <v>38991</v>
      </c>
      <c r="F73" s="377" t="s">
        <v>237</v>
      </c>
      <c r="G73" s="252" t="s">
        <v>1449</v>
      </c>
      <c r="H73" s="304" t="s">
        <v>235</v>
      </c>
      <c r="I73" s="254" t="s">
        <v>2331</v>
      </c>
      <c r="J73" s="318">
        <v>2330</v>
      </c>
      <c r="K73" s="327">
        <v>42500</v>
      </c>
      <c r="L73" s="327">
        <v>25760</v>
      </c>
      <c r="M73" s="318">
        <v>25760</v>
      </c>
      <c r="N73" s="256">
        <v>11.055793991416309</v>
      </c>
      <c r="O73" s="318">
        <v>60.6</v>
      </c>
      <c r="P73" s="327" t="s">
        <v>75</v>
      </c>
      <c r="Q73" s="327" t="s">
        <v>75</v>
      </c>
      <c r="R73" s="318" t="s">
        <v>75</v>
      </c>
      <c r="S73" s="318" t="s">
        <v>233</v>
      </c>
      <c r="T73" s="327" t="s">
        <v>75</v>
      </c>
      <c r="U73" s="318" t="s">
        <v>75</v>
      </c>
      <c r="V73" s="318" t="s">
        <v>66</v>
      </c>
      <c r="W73" s="318" t="s">
        <v>66</v>
      </c>
      <c r="X73" s="318"/>
      <c r="Y73" s="318"/>
      <c r="Z73" s="318" t="s">
        <v>75</v>
      </c>
      <c r="AA73" s="318">
        <v>2330</v>
      </c>
      <c r="AB73" s="318" t="s">
        <v>134</v>
      </c>
      <c r="AC73" s="318" t="s">
        <v>75</v>
      </c>
      <c r="AD73" s="318" t="s">
        <v>75</v>
      </c>
      <c r="AE73" s="327">
        <v>3000</v>
      </c>
      <c r="AF73" s="318" t="s">
        <v>75</v>
      </c>
      <c r="AG73" s="318" t="s">
        <v>75</v>
      </c>
      <c r="AH73" s="318" t="s">
        <v>75</v>
      </c>
      <c r="AI73" s="327" t="s">
        <v>75</v>
      </c>
      <c r="AJ73" s="259">
        <v>2330</v>
      </c>
      <c r="AK73" s="330" t="s">
        <v>66</v>
      </c>
      <c r="AL73" s="318" t="s">
        <v>66</v>
      </c>
      <c r="AM73" s="318"/>
      <c r="AN73" s="388"/>
      <c r="AO73" s="342" t="s">
        <v>75</v>
      </c>
      <c r="AP73" s="342" t="s">
        <v>75</v>
      </c>
      <c r="AQ73" s="342" t="s">
        <v>75</v>
      </c>
      <c r="AR73" s="342" t="s">
        <v>75</v>
      </c>
      <c r="AS73" s="342" t="s">
        <v>75</v>
      </c>
      <c r="AT73" s="342" t="s">
        <v>75</v>
      </c>
      <c r="AU73" s="342" t="s">
        <v>75</v>
      </c>
      <c r="AV73" s="404" t="s">
        <v>236</v>
      </c>
      <c r="AW73" s="388"/>
      <c r="AX73" s="388"/>
      <c r="AY73" s="388"/>
      <c r="AZ73" s="388"/>
      <c r="BA73" s="388"/>
      <c r="BB73" s="388"/>
      <c r="BC73" s="388"/>
      <c r="BD73" s="388"/>
      <c r="BE73" s="388"/>
      <c r="BF73" s="388"/>
      <c r="BG73" s="388"/>
      <c r="BH73" s="388"/>
      <c r="BI73" s="388"/>
      <c r="BJ73" s="388"/>
      <c r="BK73" s="388"/>
      <c r="BL73" s="388"/>
      <c r="BM73" s="388"/>
      <c r="BN73" s="342"/>
    </row>
    <row r="74" spans="1:66" s="405" customFormat="1" ht="16.5" customHeight="1">
      <c r="A74" s="260">
        <v>601</v>
      </c>
      <c r="B74" s="377" t="s">
        <v>201</v>
      </c>
      <c r="C74" s="388" t="s">
        <v>1261</v>
      </c>
      <c r="D74" s="325">
        <v>38749</v>
      </c>
      <c r="E74" s="325">
        <v>39114</v>
      </c>
      <c r="F74" s="377" t="s">
        <v>203</v>
      </c>
      <c r="G74" s="252" t="s">
        <v>1458</v>
      </c>
      <c r="H74" s="304" t="s">
        <v>200</v>
      </c>
      <c r="I74" s="278" t="s">
        <v>2438</v>
      </c>
      <c r="J74" s="318">
        <v>8400</v>
      </c>
      <c r="K74" s="327">
        <v>709842</v>
      </c>
      <c r="L74" s="327">
        <v>631674</v>
      </c>
      <c r="M74" s="318">
        <v>631674</v>
      </c>
      <c r="N74" s="256">
        <v>75.199285714285708</v>
      </c>
      <c r="O74" s="318">
        <v>88.9</v>
      </c>
      <c r="P74" s="327">
        <v>3000</v>
      </c>
      <c r="Q74" s="327" t="s">
        <v>75</v>
      </c>
      <c r="R74" s="318">
        <v>3000</v>
      </c>
      <c r="S74" s="318" t="s">
        <v>233</v>
      </c>
      <c r="T74" s="327" t="s">
        <v>75</v>
      </c>
      <c r="U74" s="318" t="s">
        <v>75</v>
      </c>
      <c r="V74" s="318" t="s">
        <v>66</v>
      </c>
      <c r="W74" s="318" t="s">
        <v>66</v>
      </c>
      <c r="X74" s="349"/>
      <c r="Y74" s="330" t="s">
        <v>206</v>
      </c>
      <c r="Z74" s="318" t="s">
        <v>75</v>
      </c>
      <c r="AA74" s="318" t="s">
        <v>134</v>
      </c>
      <c r="AB74" s="318" t="s">
        <v>134</v>
      </c>
      <c r="AC74" s="318" t="s">
        <v>134</v>
      </c>
      <c r="AD74" s="318" t="s">
        <v>134</v>
      </c>
      <c r="AE74" s="327">
        <v>2000</v>
      </c>
      <c r="AF74" s="327" t="s">
        <v>75</v>
      </c>
      <c r="AG74" s="327" t="s">
        <v>75</v>
      </c>
      <c r="AH74" s="318" t="s">
        <v>75</v>
      </c>
      <c r="AI74" s="327" t="s">
        <v>75</v>
      </c>
      <c r="AJ74" s="259">
        <v>0</v>
      </c>
      <c r="AK74" s="318" t="s">
        <v>66</v>
      </c>
      <c r="AL74" s="318" t="s">
        <v>66</v>
      </c>
      <c r="AM74" s="318"/>
      <c r="AN74" s="388"/>
      <c r="AO74" s="342" t="s">
        <v>75</v>
      </c>
      <c r="AP74" s="342" t="s">
        <v>75</v>
      </c>
      <c r="AQ74" s="342" t="s">
        <v>75</v>
      </c>
      <c r="AR74" s="342" t="s">
        <v>75</v>
      </c>
      <c r="AS74" s="342" t="s">
        <v>75</v>
      </c>
      <c r="AT74" s="342" t="s">
        <v>204</v>
      </c>
      <c r="AU74" s="342" t="s">
        <v>204</v>
      </c>
      <c r="AV74" s="377" t="s">
        <v>202</v>
      </c>
      <c r="AW74" s="388"/>
      <c r="AX74" s="388"/>
      <c r="AY74" s="388"/>
      <c r="AZ74" s="388"/>
      <c r="BA74" s="388"/>
      <c r="BB74" s="388"/>
      <c r="BC74" s="388"/>
      <c r="BD74" s="388"/>
      <c r="BE74" s="388"/>
      <c r="BF74" s="388"/>
      <c r="BG74" s="388"/>
      <c r="BH74" s="388"/>
      <c r="BI74" s="388"/>
      <c r="BJ74" s="388"/>
      <c r="BK74" s="388"/>
      <c r="BL74" s="388"/>
      <c r="BM74" s="388"/>
      <c r="BN74" s="342"/>
    </row>
    <row r="75" spans="1:66" s="405" customFormat="1" ht="18.75" customHeight="1">
      <c r="A75" s="260">
        <v>602</v>
      </c>
      <c r="B75" s="377" t="s">
        <v>148</v>
      </c>
      <c r="C75" s="377" t="s">
        <v>1299</v>
      </c>
      <c r="D75" s="325">
        <v>38930</v>
      </c>
      <c r="E75" s="325">
        <v>39022</v>
      </c>
      <c r="F75" s="377" t="s">
        <v>5</v>
      </c>
      <c r="G75" s="252" t="s">
        <v>1451</v>
      </c>
      <c r="H75" s="304" t="s">
        <v>151</v>
      </c>
      <c r="I75" s="254" t="s">
        <v>2331</v>
      </c>
      <c r="J75" s="318">
        <v>2995</v>
      </c>
      <c r="K75" s="327">
        <v>41393</v>
      </c>
      <c r="L75" s="327">
        <v>41393</v>
      </c>
      <c r="M75" s="318">
        <v>41393</v>
      </c>
      <c r="N75" s="256">
        <v>13.820701168614358</v>
      </c>
      <c r="O75" s="327">
        <v>100</v>
      </c>
      <c r="P75" s="327"/>
      <c r="Q75" s="327"/>
      <c r="R75" s="318"/>
      <c r="S75" s="318" t="s">
        <v>233</v>
      </c>
      <c r="T75" s="327">
        <v>25</v>
      </c>
      <c r="U75" s="318">
        <v>5220</v>
      </c>
      <c r="V75" s="318" t="s">
        <v>66</v>
      </c>
      <c r="W75" s="318" t="s">
        <v>66</v>
      </c>
      <c r="X75" s="318"/>
      <c r="Y75" s="318"/>
      <c r="Z75" s="318"/>
      <c r="AA75" s="318"/>
      <c r="AB75" s="327"/>
      <c r="AC75" s="318"/>
      <c r="AD75" s="318"/>
      <c r="AE75" s="327">
        <v>2515</v>
      </c>
      <c r="AF75" s="327" t="s">
        <v>75</v>
      </c>
      <c r="AG75" s="327" t="s">
        <v>75</v>
      </c>
      <c r="AH75" s="318"/>
      <c r="AI75" s="327"/>
      <c r="AJ75" s="259">
        <v>0</v>
      </c>
      <c r="AK75" s="318" t="s">
        <v>66</v>
      </c>
      <c r="AL75" s="318" t="s">
        <v>66</v>
      </c>
      <c r="AM75" s="318"/>
      <c r="AN75" s="388"/>
      <c r="AO75" s="342" t="s">
        <v>75</v>
      </c>
      <c r="AP75" s="342" t="s">
        <v>75</v>
      </c>
      <c r="AQ75" s="342" t="s">
        <v>75</v>
      </c>
      <c r="AR75" s="342" t="s">
        <v>75</v>
      </c>
      <c r="AS75" s="342" t="s">
        <v>75</v>
      </c>
      <c r="AT75" s="342" t="s">
        <v>75</v>
      </c>
      <c r="AU75" s="342" t="s">
        <v>75</v>
      </c>
      <c r="AV75" s="404" t="s">
        <v>149</v>
      </c>
      <c r="AW75" s="388"/>
      <c r="AX75" s="388"/>
      <c r="AY75" s="388"/>
      <c r="AZ75" s="388"/>
      <c r="BA75" s="388"/>
      <c r="BB75" s="388"/>
      <c r="BC75" s="388"/>
      <c r="BD75" s="388"/>
      <c r="BE75" s="388"/>
      <c r="BF75" s="388"/>
      <c r="BG75" s="388"/>
      <c r="BH75" s="388"/>
      <c r="BI75" s="388"/>
      <c r="BJ75" s="388"/>
      <c r="BK75" s="388"/>
      <c r="BL75" s="388"/>
      <c r="BM75" s="388"/>
      <c r="BN75" s="342"/>
    </row>
    <row r="76" spans="1:66" s="405" customFormat="1" ht="18" customHeight="1">
      <c r="A76" s="260">
        <v>603</v>
      </c>
      <c r="B76" s="377" t="s">
        <v>148</v>
      </c>
      <c r="C76" s="377" t="s">
        <v>1299</v>
      </c>
      <c r="D76" s="325">
        <v>38869</v>
      </c>
      <c r="E76" s="317">
        <v>39052</v>
      </c>
      <c r="F76" s="377" t="s">
        <v>243</v>
      </c>
      <c r="G76" s="252" t="s">
        <v>1449</v>
      </c>
      <c r="H76" s="304" t="s">
        <v>241</v>
      </c>
      <c r="I76" s="254" t="s">
        <v>2331</v>
      </c>
      <c r="J76" s="318">
        <v>134655</v>
      </c>
      <c r="K76" s="327">
        <v>35847</v>
      </c>
      <c r="L76" s="327">
        <v>33328</v>
      </c>
      <c r="M76" s="318">
        <v>33328</v>
      </c>
      <c r="N76" s="256">
        <v>0.24750659091752999</v>
      </c>
      <c r="O76" s="318">
        <v>93</v>
      </c>
      <c r="P76" s="327" t="s">
        <v>75</v>
      </c>
      <c r="Q76" s="327" t="s">
        <v>75</v>
      </c>
      <c r="R76" s="318" t="s">
        <v>75</v>
      </c>
      <c r="S76" s="318" t="s">
        <v>233</v>
      </c>
      <c r="T76" s="327">
        <v>100</v>
      </c>
      <c r="U76" s="318">
        <v>26675</v>
      </c>
      <c r="V76" s="318" t="s">
        <v>66</v>
      </c>
      <c r="W76" s="318" t="s">
        <v>66</v>
      </c>
      <c r="X76" s="318"/>
      <c r="Y76" s="330" t="s">
        <v>206</v>
      </c>
      <c r="Z76" s="318" t="s">
        <v>75</v>
      </c>
      <c r="AA76" s="318" t="s">
        <v>206</v>
      </c>
      <c r="AB76" s="318">
        <v>250</v>
      </c>
      <c r="AC76" s="318" t="s">
        <v>206</v>
      </c>
      <c r="AD76" s="318"/>
      <c r="AE76" s="318" t="s">
        <v>75</v>
      </c>
      <c r="AF76" s="318" t="s">
        <v>75</v>
      </c>
      <c r="AG76" s="318" t="s">
        <v>75</v>
      </c>
      <c r="AH76" s="318" t="s">
        <v>75</v>
      </c>
      <c r="AI76" s="318" t="s">
        <v>75</v>
      </c>
      <c r="AJ76" s="259">
        <v>0</v>
      </c>
      <c r="AK76" s="318" t="s">
        <v>66</v>
      </c>
      <c r="AL76" s="318" t="s">
        <v>66</v>
      </c>
      <c r="AM76" s="318"/>
      <c r="AN76" s="388"/>
      <c r="AO76" s="342" t="s">
        <v>75</v>
      </c>
      <c r="AP76" s="342" t="s">
        <v>75</v>
      </c>
      <c r="AQ76" s="342" t="s">
        <v>75</v>
      </c>
      <c r="AR76" s="342" t="s">
        <v>75</v>
      </c>
      <c r="AS76" s="342" t="s">
        <v>75</v>
      </c>
      <c r="AT76" s="342" t="s">
        <v>75</v>
      </c>
      <c r="AU76" s="342" t="s">
        <v>75</v>
      </c>
      <c r="AV76" s="404" t="s">
        <v>242</v>
      </c>
      <c r="AW76" s="388"/>
      <c r="AX76" s="388"/>
      <c r="AY76" s="388"/>
      <c r="AZ76" s="388"/>
      <c r="BA76" s="388"/>
      <c r="BB76" s="388"/>
      <c r="BC76" s="388"/>
      <c r="BD76" s="388"/>
      <c r="BE76" s="388"/>
      <c r="BF76" s="388"/>
      <c r="BG76" s="388"/>
      <c r="BH76" s="388"/>
      <c r="BI76" s="388"/>
      <c r="BJ76" s="388"/>
      <c r="BK76" s="388"/>
      <c r="BL76" s="388"/>
      <c r="BM76" s="388"/>
      <c r="BN76" s="342"/>
    </row>
    <row r="77" spans="1:66" s="405" customFormat="1" ht="15" customHeight="1">
      <c r="A77" s="260">
        <v>604</v>
      </c>
      <c r="B77" s="377" t="s">
        <v>251</v>
      </c>
      <c r="C77" s="388" t="s">
        <v>1260</v>
      </c>
      <c r="D77" s="325">
        <v>38899</v>
      </c>
      <c r="E77" s="317">
        <v>39052</v>
      </c>
      <c r="F77" s="377" t="s">
        <v>5</v>
      </c>
      <c r="G77" s="252" t="s">
        <v>1451</v>
      </c>
      <c r="H77" s="304" t="s">
        <v>250</v>
      </c>
      <c r="I77" s="254" t="s">
        <v>2331</v>
      </c>
      <c r="J77" s="318">
        <v>2776</v>
      </c>
      <c r="K77" s="327">
        <v>98000</v>
      </c>
      <c r="L77" s="327">
        <v>98000</v>
      </c>
      <c r="M77" s="318">
        <v>98000</v>
      </c>
      <c r="N77" s="256">
        <v>35.30259365994236</v>
      </c>
      <c r="O77" s="318">
        <v>100</v>
      </c>
      <c r="P77" s="327">
        <v>2776</v>
      </c>
      <c r="Q77" s="327" t="s">
        <v>75</v>
      </c>
      <c r="R77" s="318">
        <v>2776</v>
      </c>
      <c r="S77" s="318" t="s">
        <v>233</v>
      </c>
      <c r="T77" s="411" t="s">
        <v>134</v>
      </c>
      <c r="U77" s="318" t="s">
        <v>75</v>
      </c>
      <c r="V77" s="318">
        <v>7500</v>
      </c>
      <c r="W77" s="318">
        <v>7328</v>
      </c>
      <c r="X77" s="349">
        <v>2.6397694524495678</v>
      </c>
      <c r="Y77" s="318">
        <v>267</v>
      </c>
      <c r="Z77" s="318" t="s">
        <v>206</v>
      </c>
      <c r="AA77" s="318" t="s">
        <v>206</v>
      </c>
      <c r="AB77" s="318" t="s">
        <v>206</v>
      </c>
      <c r="AC77" s="318" t="s">
        <v>75</v>
      </c>
      <c r="AD77" s="318" t="s">
        <v>75</v>
      </c>
      <c r="AE77" s="318" t="s">
        <v>75</v>
      </c>
      <c r="AF77" s="318" t="s">
        <v>75</v>
      </c>
      <c r="AG77" s="318" t="s">
        <v>75</v>
      </c>
      <c r="AH77" s="318" t="s">
        <v>134</v>
      </c>
      <c r="AI77" s="318" t="s">
        <v>75</v>
      </c>
      <c r="AJ77" s="259">
        <v>0</v>
      </c>
      <c r="AK77" s="318" t="s">
        <v>66</v>
      </c>
      <c r="AL77" s="318" t="s">
        <v>66</v>
      </c>
      <c r="AM77" s="318"/>
      <c r="AN77" s="388"/>
      <c r="AO77" s="342" t="s">
        <v>75</v>
      </c>
      <c r="AP77" s="342" t="s">
        <v>75</v>
      </c>
      <c r="AQ77" s="342" t="s">
        <v>75</v>
      </c>
      <c r="AR77" s="342" t="s">
        <v>75</v>
      </c>
      <c r="AS77" s="342" t="s">
        <v>75</v>
      </c>
      <c r="AT77" s="342" t="s">
        <v>75</v>
      </c>
      <c r="AU77" s="342" t="s">
        <v>75</v>
      </c>
      <c r="AV77" s="404" t="s">
        <v>252</v>
      </c>
      <c r="AW77" s="388"/>
      <c r="AX77" s="388"/>
      <c r="AY77" s="388"/>
      <c r="AZ77" s="388"/>
      <c r="BA77" s="388"/>
      <c r="BB77" s="388"/>
      <c r="BC77" s="388"/>
      <c r="BD77" s="388"/>
      <c r="BE77" s="388"/>
      <c r="BF77" s="388"/>
      <c r="BG77" s="388"/>
      <c r="BH77" s="388"/>
      <c r="BI77" s="388"/>
      <c r="BJ77" s="388"/>
      <c r="BK77" s="388"/>
      <c r="BL77" s="388"/>
      <c r="BM77" s="388"/>
      <c r="BN77" s="342"/>
    </row>
    <row r="78" spans="1:66" s="405" customFormat="1" ht="15" customHeight="1">
      <c r="A78" s="260">
        <v>605</v>
      </c>
      <c r="B78" s="377" t="s">
        <v>213</v>
      </c>
      <c r="C78" s="405" t="s">
        <v>1278</v>
      </c>
      <c r="D78" s="325">
        <v>38749</v>
      </c>
      <c r="E78" s="317">
        <v>39083</v>
      </c>
      <c r="F78" s="377" t="s">
        <v>5</v>
      </c>
      <c r="G78" s="252" t="s">
        <v>1451</v>
      </c>
      <c r="H78" s="304" t="s">
        <v>239</v>
      </c>
      <c r="I78" s="254" t="s">
        <v>2331</v>
      </c>
      <c r="J78" s="318">
        <v>857</v>
      </c>
      <c r="K78" s="327">
        <v>63900</v>
      </c>
      <c r="L78" s="327">
        <v>63897</v>
      </c>
      <c r="M78" s="318">
        <v>64897</v>
      </c>
      <c r="N78" s="256">
        <v>75.725787631271885</v>
      </c>
      <c r="O78" s="318">
        <v>101.5</v>
      </c>
      <c r="P78" s="327">
        <v>200</v>
      </c>
      <c r="Q78" s="327">
        <v>200</v>
      </c>
      <c r="R78" s="318">
        <v>200</v>
      </c>
      <c r="S78" s="318" t="s">
        <v>233</v>
      </c>
      <c r="T78" s="411" t="s">
        <v>134</v>
      </c>
      <c r="U78" s="318" t="s">
        <v>134</v>
      </c>
      <c r="V78" s="318" t="s">
        <v>66</v>
      </c>
      <c r="W78" s="318" t="s">
        <v>66</v>
      </c>
      <c r="X78" s="349"/>
      <c r="Y78" s="330" t="s">
        <v>206</v>
      </c>
      <c r="Z78" s="318" t="s">
        <v>206</v>
      </c>
      <c r="AA78" s="318" t="s">
        <v>206</v>
      </c>
      <c r="AB78" s="318" t="s">
        <v>206</v>
      </c>
      <c r="AC78" s="318" t="s">
        <v>206</v>
      </c>
      <c r="AD78" s="318" t="s">
        <v>75</v>
      </c>
      <c r="AE78" s="318" t="s">
        <v>75</v>
      </c>
      <c r="AF78" s="318" t="s">
        <v>75</v>
      </c>
      <c r="AG78" s="318" t="s">
        <v>75</v>
      </c>
      <c r="AH78" s="318" t="s">
        <v>75</v>
      </c>
      <c r="AI78" s="318" t="s">
        <v>75</v>
      </c>
      <c r="AJ78" s="259">
        <v>0</v>
      </c>
      <c r="AK78" s="318" t="s">
        <v>66</v>
      </c>
      <c r="AL78" s="318" t="s">
        <v>66</v>
      </c>
      <c r="AM78" s="318"/>
      <c r="AN78" s="388"/>
      <c r="AO78" s="342" t="s">
        <v>75</v>
      </c>
      <c r="AP78" s="342" t="s">
        <v>75</v>
      </c>
      <c r="AQ78" s="342" t="s">
        <v>75</v>
      </c>
      <c r="AR78" s="342" t="s">
        <v>75</v>
      </c>
      <c r="AS78" s="342" t="s">
        <v>75</v>
      </c>
      <c r="AT78" s="342" t="s">
        <v>75</v>
      </c>
      <c r="AU78" s="342" t="s">
        <v>75</v>
      </c>
      <c r="AV78" s="404" t="s">
        <v>240</v>
      </c>
      <c r="AW78" s="388"/>
      <c r="AX78" s="388"/>
      <c r="AY78" s="388"/>
      <c r="AZ78" s="388"/>
      <c r="BA78" s="388"/>
      <c r="BB78" s="388"/>
      <c r="BC78" s="388"/>
      <c r="BD78" s="388"/>
      <c r="BE78" s="388"/>
      <c r="BF78" s="388"/>
      <c r="BG78" s="388"/>
      <c r="BH78" s="388"/>
      <c r="BI78" s="388"/>
      <c r="BJ78" s="388"/>
      <c r="BK78" s="388"/>
      <c r="BL78" s="388"/>
      <c r="BM78" s="388"/>
      <c r="BN78" s="342"/>
    </row>
    <row r="79" spans="1:66" s="405" customFormat="1" ht="17.25" customHeight="1">
      <c r="A79" s="260">
        <v>606</v>
      </c>
      <c r="B79" s="304" t="s">
        <v>141</v>
      </c>
      <c r="C79" s="304" t="s">
        <v>1299</v>
      </c>
      <c r="D79" s="317">
        <v>39052</v>
      </c>
      <c r="E79" s="317">
        <v>39114</v>
      </c>
      <c r="F79" s="304" t="s">
        <v>168</v>
      </c>
      <c r="G79" s="273" t="s">
        <v>1449</v>
      </c>
      <c r="H79" s="304" t="s">
        <v>174</v>
      </c>
      <c r="I79" s="254" t="s">
        <v>2331</v>
      </c>
      <c r="J79" s="318">
        <v>30000</v>
      </c>
      <c r="K79" s="318">
        <v>57213</v>
      </c>
      <c r="L79" s="318">
        <v>56569</v>
      </c>
      <c r="M79" s="318">
        <v>56569</v>
      </c>
      <c r="N79" s="256">
        <v>1.8856333333333333</v>
      </c>
      <c r="O79" s="318">
        <v>98.8</v>
      </c>
      <c r="P79" s="318">
        <v>30000</v>
      </c>
      <c r="Q79" s="318">
        <v>30000</v>
      </c>
      <c r="R79" s="318">
        <v>30000</v>
      </c>
      <c r="S79" s="318" t="s">
        <v>233</v>
      </c>
      <c r="T79" s="318" t="s">
        <v>75</v>
      </c>
      <c r="U79" s="318" t="s">
        <v>75</v>
      </c>
      <c r="V79" s="318">
        <v>6000</v>
      </c>
      <c r="W79" s="318">
        <v>6361</v>
      </c>
      <c r="X79" s="349">
        <v>0.21203333333333332</v>
      </c>
      <c r="Y79" s="318">
        <v>13000</v>
      </c>
      <c r="Z79" s="318"/>
      <c r="AA79" s="318"/>
      <c r="AB79" s="318">
        <v>60</v>
      </c>
      <c r="AC79" s="318">
        <v>60</v>
      </c>
      <c r="AD79" s="348"/>
      <c r="AE79" s="318"/>
      <c r="AF79" s="318" t="s">
        <v>75</v>
      </c>
      <c r="AG79" s="318" t="s">
        <v>75</v>
      </c>
      <c r="AH79" s="318"/>
      <c r="AI79" s="318"/>
      <c r="AJ79" s="254">
        <v>0</v>
      </c>
      <c r="AK79" s="318">
        <v>1200</v>
      </c>
      <c r="AL79" s="318">
        <v>12514</v>
      </c>
      <c r="AM79" s="318"/>
      <c r="AN79" s="342"/>
      <c r="AO79" s="342" t="s">
        <v>75</v>
      </c>
      <c r="AP79" s="342" t="s">
        <v>75</v>
      </c>
      <c r="AQ79" s="342" t="s">
        <v>75</v>
      </c>
      <c r="AR79" s="342" t="s">
        <v>75</v>
      </c>
      <c r="AS79" s="342" t="s">
        <v>75</v>
      </c>
      <c r="AT79" s="342" t="s">
        <v>75</v>
      </c>
      <c r="AU79" s="342" t="s">
        <v>75</v>
      </c>
      <c r="AV79" s="407" t="s">
        <v>192</v>
      </c>
      <c r="AW79" s="342"/>
      <c r="AX79" s="342"/>
      <c r="AY79" s="342"/>
      <c r="AZ79" s="342"/>
      <c r="BA79" s="342"/>
      <c r="BB79" s="342"/>
      <c r="BC79" s="342"/>
      <c r="BD79" s="342"/>
      <c r="BE79" s="342"/>
      <c r="BF79" s="342"/>
      <c r="BG79" s="342"/>
      <c r="BH79" s="342"/>
      <c r="BI79" s="342"/>
      <c r="BJ79" s="342"/>
      <c r="BK79" s="342"/>
      <c r="BL79" s="342"/>
      <c r="BM79" s="342"/>
      <c r="BN79" s="342"/>
    </row>
    <row r="80" spans="1:66" s="405" customFormat="1" ht="19.5" customHeight="1">
      <c r="A80" s="260">
        <v>607</v>
      </c>
      <c r="B80" s="377" t="s">
        <v>141</v>
      </c>
      <c r="C80" s="377" t="s">
        <v>1299</v>
      </c>
      <c r="D80" s="325">
        <v>38718</v>
      </c>
      <c r="E80" s="317">
        <v>38838</v>
      </c>
      <c r="F80" s="304" t="s">
        <v>284</v>
      </c>
      <c r="G80" s="252" t="s">
        <v>1449</v>
      </c>
      <c r="H80" s="304" t="s">
        <v>283</v>
      </c>
      <c r="I80" s="254" t="s">
        <v>2331</v>
      </c>
      <c r="J80" s="318">
        <v>8189</v>
      </c>
      <c r="K80" s="327">
        <v>50000</v>
      </c>
      <c r="L80" s="327">
        <v>49972</v>
      </c>
      <c r="M80" s="318">
        <v>49972</v>
      </c>
      <c r="N80" s="256">
        <v>6.1023323971180856</v>
      </c>
      <c r="O80" s="318">
        <v>100</v>
      </c>
      <c r="P80" s="318" t="s">
        <v>134</v>
      </c>
      <c r="Q80" s="330" t="s">
        <v>134</v>
      </c>
      <c r="R80" s="318" t="s">
        <v>134</v>
      </c>
      <c r="S80" s="318" t="s">
        <v>233</v>
      </c>
      <c r="T80" s="330" t="s">
        <v>134</v>
      </c>
      <c r="U80" s="318">
        <v>7389</v>
      </c>
      <c r="V80" s="318">
        <v>9373</v>
      </c>
      <c r="W80" s="318">
        <v>9373</v>
      </c>
      <c r="X80" s="318"/>
      <c r="Y80" s="318"/>
      <c r="Z80" s="318" t="s">
        <v>75</v>
      </c>
      <c r="AA80" s="318">
        <v>7389</v>
      </c>
      <c r="AB80" s="327">
        <v>25</v>
      </c>
      <c r="AC80" s="318" t="s">
        <v>267</v>
      </c>
      <c r="AD80" s="318" t="s">
        <v>267</v>
      </c>
      <c r="AE80" s="318" t="s">
        <v>75</v>
      </c>
      <c r="AF80" s="318" t="s">
        <v>75</v>
      </c>
      <c r="AG80" s="318" t="s">
        <v>75</v>
      </c>
      <c r="AH80" s="318" t="s">
        <v>134</v>
      </c>
      <c r="AI80" s="318" t="s">
        <v>75</v>
      </c>
      <c r="AJ80" s="259">
        <v>7389</v>
      </c>
      <c r="AK80" s="318">
        <v>8604</v>
      </c>
      <c r="AL80" s="318">
        <v>8604</v>
      </c>
      <c r="AM80" s="318">
        <f t="shared" ref="AM80:AM83" si="9">AL80/AJ80</f>
        <v>1.164433617539586</v>
      </c>
      <c r="AN80" s="388"/>
      <c r="AO80" s="342" t="s">
        <v>75</v>
      </c>
      <c r="AP80" s="342" t="s">
        <v>75</v>
      </c>
      <c r="AQ80" s="342" t="s">
        <v>75</v>
      </c>
      <c r="AR80" s="342" t="s">
        <v>75</v>
      </c>
      <c r="AS80" s="342" t="s">
        <v>75</v>
      </c>
      <c r="AT80" s="342" t="s">
        <v>75</v>
      </c>
      <c r="AU80" s="342" t="s">
        <v>75</v>
      </c>
      <c r="AV80" s="404" t="s">
        <v>282</v>
      </c>
      <c r="AW80" s="388"/>
      <c r="AX80" s="388"/>
      <c r="AY80" s="388"/>
      <c r="AZ80" s="388"/>
      <c r="BA80" s="388"/>
      <c r="BB80" s="388"/>
      <c r="BC80" s="388"/>
      <c r="BD80" s="388"/>
      <c r="BE80" s="388"/>
      <c r="BF80" s="388"/>
      <c r="BG80" s="388"/>
      <c r="BH80" s="388"/>
      <c r="BI80" s="388"/>
      <c r="BJ80" s="388"/>
      <c r="BK80" s="388"/>
      <c r="BL80" s="388"/>
      <c r="BM80" s="388"/>
      <c r="BN80" s="342"/>
    </row>
    <row r="81" spans="1:219" s="405" customFormat="1" ht="21.75" customHeight="1">
      <c r="A81" s="260">
        <v>608</v>
      </c>
      <c r="B81" s="384" t="s">
        <v>373</v>
      </c>
      <c r="C81" s="405" t="s">
        <v>1261</v>
      </c>
      <c r="D81" s="338">
        <v>38930</v>
      </c>
      <c r="E81" s="338">
        <v>39052</v>
      </c>
      <c r="F81" s="377" t="s">
        <v>5</v>
      </c>
      <c r="G81" s="254" t="s">
        <v>1451</v>
      </c>
      <c r="H81" s="405" t="s">
        <v>2074</v>
      </c>
      <c r="I81" s="254" t="s">
        <v>2331</v>
      </c>
      <c r="J81" s="334">
        <v>10000</v>
      </c>
      <c r="K81" s="334">
        <v>100000</v>
      </c>
      <c r="L81" s="334">
        <v>82532</v>
      </c>
      <c r="M81" s="334">
        <v>82532</v>
      </c>
      <c r="N81" s="256">
        <v>8.2531999999999996</v>
      </c>
      <c r="O81" s="334">
        <v>82</v>
      </c>
      <c r="P81" s="334"/>
      <c r="Q81" s="334"/>
      <c r="R81" s="334"/>
      <c r="S81" s="318" t="s">
        <v>233</v>
      </c>
      <c r="V81" s="334"/>
      <c r="W81" s="334">
        <v>6025</v>
      </c>
      <c r="X81" s="334"/>
      <c r="Y81" s="334"/>
      <c r="Z81" s="334"/>
      <c r="AA81" s="334">
        <v>10000</v>
      </c>
      <c r="AB81" s="334"/>
      <c r="AC81" s="334"/>
      <c r="AD81" s="334"/>
      <c r="AE81" s="334">
        <v>5500</v>
      </c>
      <c r="AF81" s="334"/>
      <c r="AG81" s="334"/>
      <c r="AH81" s="334">
        <v>600</v>
      </c>
      <c r="AI81" s="334"/>
      <c r="AJ81" s="259">
        <v>10600</v>
      </c>
      <c r="AK81" s="334">
        <v>3000</v>
      </c>
      <c r="AL81" s="334">
        <v>2460</v>
      </c>
      <c r="AM81" s="318">
        <f t="shared" si="9"/>
        <v>0.23207547169811321</v>
      </c>
      <c r="AV81" s="406" t="s">
        <v>2075</v>
      </c>
    </row>
    <row r="82" spans="1:219" s="405" customFormat="1" ht="21.75" customHeight="1">
      <c r="A82" s="260">
        <v>609</v>
      </c>
      <c r="B82" s="384" t="s">
        <v>774</v>
      </c>
      <c r="C82" s="405" t="s">
        <v>1278</v>
      </c>
      <c r="D82" s="338">
        <v>38808</v>
      </c>
      <c r="E82" s="338"/>
      <c r="F82" s="417" t="s">
        <v>2156</v>
      </c>
      <c r="G82" s="254" t="s">
        <v>1451</v>
      </c>
      <c r="H82" s="484" t="s">
        <v>2076</v>
      </c>
      <c r="I82" s="259" t="s">
        <v>2440</v>
      </c>
      <c r="J82" s="334"/>
      <c r="K82" s="334"/>
      <c r="L82" s="334"/>
      <c r="M82" s="334"/>
      <c r="N82" s="256"/>
      <c r="O82" s="334"/>
      <c r="P82" s="334"/>
      <c r="Q82" s="334"/>
      <c r="R82" s="334"/>
      <c r="S82" s="318" t="s">
        <v>233</v>
      </c>
      <c r="V82" s="334"/>
      <c r="W82" s="334"/>
      <c r="X82" s="334"/>
      <c r="Y82" s="334"/>
      <c r="Z82" s="334"/>
      <c r="AA82" s="334"/>
      <c r="AB82" s="334"/>
      <c r="AC82" s="334"/>
      <c r="AD82" s="334"/>
      <c r="AE82" s="334"/>
      <c r="AF82" s="334"/>
      <c r="AG82" s="334"/>
      <c r="AH82" s="334"/>
      <c r="AI82" s="334"/>
      <c r="AJ82" s="259">
        <v>0</v>
      </c>
      <c r="AK82" s="334"/>
      <c r="AL82" s="334"/>
      <c r="AM82" s="334"/>
      <c r="AV82" s="405" t="s">
        <v>2077</v>
      </c>
    </row>
    <row r="83" spans="1:219" s="405" customFormat="1" ht="21.75" customHeight="1">
      <c r="A83" s="260">
        <v>610</v>
      </c>
      <c r="B83" s="384" t="s">
        <v>857</v>
      </c>
      <c r="C83" s="405" t="s">
        <v>1286</v>
      </c>
      <c r="D83" s="338">
        <v>38718</v>
      </c>
      <c r="E83" s="338">
        <v>39173</v>
      </c>
      <c r="F83" s="377" t="s">
        <v>5</v>
      </c>
      <c r="G83" s="254" t="s">
        <v>1451</v>
      </c>
      <c r="H83" s="405" t="s">
        <v>2078</v>
      </c>
      <c r="I83" s="254" t="s">
        <v>2331</v>
      </c>
      <c r="J83" s="334">
        <v>5015</v>
      </c>
      <c r="K83" s="334">
        <v>25000</v>
      </c>
      <c r="L83" s="334">
        <v>25000</v>
      </c>
      <c r="M83" s="334">
        <v>24668</v>
      </c>
      <c r="N83" s="256">
        <v>4.9188434695912262</v>
      </c>
      <c r="O83" s="334">
        <v>100</v>
      </c>
      <c r="P83" s="334"/>
      <c r="Q83" s="334"/>
      <c r="R83" s="334"/>
      <c r="S83" s="318" t="s">
        <v>233</v>
      </c>
      <c r="V83" s="334">
        <v>1750</v>
      </c>
      <c r="W83" s="334"/>
      <c r="X83" s="334"/>
      <c r="Y83" s="334"/>
      <c r="Z83" s="334">
        <v>1000</v>
      </c>
      <c r="AA83" s="334"/>
      <c r="AB83" s="334"/>
      <c r="AC83" s="334"/>
      <c r="AD83" s="334"/>
      <c r="AE83" s="334"/>
      <c r="AF83" s="334"/>
      <c r="AG83" s="334"/>
      <c r="AH83" s="334"/>
      <c r="AI83" s="334"/>
      <c r="AJ83" s="259">
        <v>1000</v>
      </c>
      <c r="AK83" s="334">
        <v>625</v>
      </c>
      <c r="AL83" s="334">
        <v>625</v>
      </c>
      <c r="AM83" s="318">
        <f t="shared" si="9"/>
        <v>0.625</v>
      </c>
      <c r="AV83" s="406" t="s">
        <v>2079</v>
      </c>
    </row>
    <row r="84" spans="1:219" s="419" customFormat="1" ht="21.75" customHeight="1">
      <c r="A84" s="260">
        <v>611</v>
      </c>
      <c r="B84" s="418" t="s">
        <v>1234</v>
      </c>
      <c r="C84" s="419" t="s">
        <v>1299</v>
      </c>
      <c r="D84" s="486">
        <v>38749</v>
      </c>
      <c r="E84" s="486"/>
      <c r="F84" s="420" t="s">
        <v>2080</v>
      </c>
      <c r="G84" s="421"/>
      <c r="H84" s="419" t="s">
        <v>2081</v>
      </c>
      <c r="I84" s="419" t="s">
        <v>2441</v>
      </c>
      <c r="J84" s="422"/>
      <c r="K84" s="422">
        <v>21299</v>
      </c>
      <c r="L84" s="422"/>
      <c r="M84" s="422"/>
      <c r="N84" s="256"/>
      <c r="O84" s="422"/>
      <c r="P84" s="422"/>
      <c r="Q84" s="422"/>
      <c r="R84" s="422"/>
      <c r="S84" s="318" t="s">
        <v>233</v>
      </c>
      <c r="V84" s="422"/>
      <c r="W84" s="422"/>
      <c r="X84" s="334"/>
      <c r="Y84" s="422"/>
      <c r="Z84" s="422"/>
      <c r="AA84" s="422"/>
      <c r="AB84" s="422"/>
      <c r="AC84" s="422"/>
      <c r="AD84" s="422"/>
      <c r="AE84" s="422"/>
      <c r="AF84" s="422"/>
      <c r="AG84" s="422"/>
      <c r="AH84" s="422"/>
      <c r="AI84" s="422"/>
      <c r="AJ84" s="259">
        <v>0</v>
      </c>
      <c r="AK84" s="422"/>
      <c r="AL84" s="422"/>
      <c r="AM84" s="422"/>
      <c r="AV84" s="423"/>
      <c r="BN84" s="405"/>
      <c r="BO84" s="405"/>
      <c r="BP84" s="405"/>
      <c r="BQ84" s="405"/>
      <c r="BR84" s="405"/>
      <c r="BS84" s="405"/>
      <c r="BT84" s="405"/>
      <c r="BU84" s="405"/>
      <c r="BV84" s="405"/>
      <c r="BW84" s="405"/>
      <c r="BX84" s="405"/>
      <c r="BY84" s="405"/>
      <c r="BZ84" s="405"/>
      <c r="CA84" s="405"/>
      <c r="CB84" s="405"/>
      <c r="CC84" s="405"/>
      <c r="CD84" s="405"/>
      <c r="CE84" s="405"/>
      <c r="CF84" s="405"/>
      <c r="CG84" s="405"/>
      <c r="CH84" s="405"/>
      <c r="CI84" s="405"/>
      <c r="CJ84" s="405"/>
      <c r="CK84" s="405"/>
      <c r="CL84" s="405"/>
      <c r="CM84" s="405"/>
      <c r="CN84" s="405"/>
      <c r="CO84" s="405"/>
      <c r="CP84" s="405"/>
      <c r="CQ84" s="405"/>
      <c r="CR84" s="405"/>
      <c r="CS84" s="405"/>
      <c r="CT84" s="405"/>
      <c r="CU84" s="405"/>
      <c r="CV84" s="405"/>
      <c r="CW84" s="405"/>
      <c r="CX84" s="405"/>
      <c r="CY84" s="405"/>
      <c r="CZ84" s="405"/>
      <c r="DA84" s="405"/>
      <c r="DB84" s="405"/>
      <c r="DC84" s="405"/>
      <c r="DD84" s="405"/>
      <c r="DE84" s="405"/>
      <c r="DF84" s="405"/>
      <c r="DG84" s="405"/>
      <c r="DH84" s="405"/>
      <c r="DI84" s="405"/>
      <c r="DJ84" s="405"/>
      <c r="DK84" s="405"/>
      <c r="DL84" s="405"/>
      <c r="DM84" s="405"/>
      <c r="DN84" s="405"/>
      <c r="DO84" s="405"/>
      <c r="DP84" s="405"/>
      <c r="DQ84" s="405"/>
      <c r="DR84" s="405"/>
      <c r="DS84" s="405"/>
      <c r="DT84" s="405"/>
      <c r="DU84" s="405"/>
      <c r="DV84" s="405"/>
      <c r="DW84" s="405"/>
      <c r="DX84" s="405"/>
      <c r="DY84" s="405"/>
      <c r="DZ84" s="405"/>
      <c r="EA84" s="405"/>
      <c r="EB84" s="405"/>
      <c r="EC84" s="405"/>
      <c r="ED84" s="405"/>
      <c r="EE84" s="405"/>
      <c r="EF84" s="405"/>
      <c r="EG84" s="405"/>
      <c r="EH84" s="405"/>
      <c r="EI84" s="405"/>
      <c r="EJ84" s="405"/>
      <c r="EK84" s="405"/>
      <c r="EL84" s="405"/>
      <c r="EM84" s="405"/>
      <c r="EN84" s="405"/>
      <c r="EO84" s="405"/>
      <c r="EP84" s="405"/>
      <c r="EQ84" s="405"/>
      <c r="ER84" s="405"/>
      <c r="ES84" s="405"/>
      <c r="ET84" s="405"/>
      <c r="EU84" s="405"/>
      <c r="EV84" s="405"/>
      <c r="EW84" s="405"/>
      <c r="EX84" s="405"/>
      <c r="EY84" s="405"/>
      <c r="EZ84" s="405"/>
      <c r="FA84" s="405"/>
      <c r="FB84" s="405"/>
      <c r="FC84" s="405"/>
      <c r="FD84" s="405"/>
      <c r="FE84" s="405"/>
      <c r="FF84" s="405"/>
      <c r="FG84" s="405"/>
      <c r="FH84" s="405"/>
      <c r="FI84" s="405"/>
      <c r="FJ84" s="405"/>
      <c r="FK84" s="405"/>
      <c r="FL84" s="405"/>
      <c r="FM84" s="405"/>
      <c r="FN84" s="405"/>
      <c r="FO84" s="405"/>
      <c r="FP84" s="405"/>
      <c r="FQ84" s="405"/>
      <c r="FR84" s="405"/>
      <c r="FS84" s="405"/>
      <c r="FT84" s="405"/>
      <c r="FU84" s="405"/>
      <c r="FV84" s="405"/>
      <c r="FW84" s="405"/>
      <c r="FX84" s="405"/>
      <c r="FY84" s="405"/>
      <c r="FZ84" s="405"/>
      <c r="GA84" s="405"/>
      <c r="GB84" s="405"/>
      <c r="GC84" s="405"/>
      <c r="GD84" s="405"/>
      <c r="GE84" s="405"/>
      <c r="GF84" s="405"/>
      <c r="GG84" s="405"/>
      <c r="GH84" s="405"/>
      <c r="GI84" s="405"/>
      <c r="GJ84" s="405"/>
      <c r="GK84" s="405"/>
      <c r="GL84" s="405"/>
      <c r="GM84" s="405"/>
      <c r="GN84" s="405"/>
      <c r="GO84" s="405"/>
      <c r="GP84" s="405"/>
      <c r="GQ84" s="405"/>
      <c r="GR84" s="405"/>
      <c r="GS84" s="405"/>
      <c r="GT84" s="405"/>
      <c r="GU84" s="405"/>
      <c r="GV84" s="405"/>
      <c r="GW84" s="405"/>
      <c r="GX84" s="405"/>
      <c r="GY84" s="405"/>
      <c r="GZ84" s="405"/>
      <c r="HA84" s="405"/>
      <c r="HB84" s="405"/>
      <c r="HC84" s="405"/>
      <c r="HD84" s="405"/>
      <c r="HE84" s="405"/>
      <c r="HF84" s="405"/>
      <c r="HG84" s="405"/>
      <c r="HH84" s="405"/>
      <c r="HI84" s="405"/>
      <c r="HJ84" s="405"/>
      <c r="HK84" s="405"/>
    </row>
    <row r="85" spans="1:219" s="405" customFormat="1" ht="21.75" customHeight="1">
      <c r="A85" s="260">
        <v>612</v>
      </c>
      <c r="B85" s="384" t="s">
        <v>87</v>
      </c>
      <c r="C85" s="405" t="s">
        <v>1261</v>
      </c>
      <c r="D85" s="338">
        <v>38718</v>
      </c>
      <c r="E85" s="338">
        <v>39052</v>
      </c>
      <c r="F85" s="405" t="s">
        <v>2157</v>
      </c>
      <c r="G85" s="254" t="s">
        <v>1451</v>
      </c>
      <c r="H85" s="424" t="s">
        <v>2082</v>
      </c>
      <c r="I85" s="254" t="s">
        <v>2331</v>
      </c>
      <c r="J85" s="334">
        <v>20000</v>
      </c>
      <c r="K85" s="334">
        <v>50000</v>
      </c>
      <c r="L85" s="334">
        <v>26839</v>
      </c>
      <c r="M85" s="334">
        <v>26839</v>
      </c>
      <c r="N85" s="256"/>
      <c r="O85" s="334">
        <v>54</v>
      </c>
      <c r="P85" s="334"/>
      <c r="Q85" s="334"/>
      <c r="R85" s="334"/>
      <c r="S85" s="318" t="s">
        <v>233</v>
      </c>
      <c r="V85" s="334"/>
      <c r="W85" s="334"/>
      <c r="X85" s="334"/>
      <c r="Y85" s="334"/>
      <c r="Z85" s="334"/>
      <c r="AA85" s="334"/>
      <c r="AB85" s="334"/>
      <c r="AC85" s="334"/>
      <c r="AD85" s="334"/>
      <c r="AE85" s="334"/>
      <c r="AF85" s="334"/>
      <c r="AG85" s="334"/>
      <c r="AH85" s="334"/>
      <c r="AI85" s="334"/>
      <c r="AJ85" s="259">
        <v>0</v>
      </c>
      <c r="AK85" s="334"/>
      <c r="AL85" s="334"/>
      <c r="AM85" s="334"/>
      <c r="AU85" s="405" t="s">
        <v>2</v>
      </c>
      <c r="AV85" s="406" t="s">
        <v>2083</v>
      </c>
    </row>
    <row r="86" spans="1:219" s="405" customFormat="1" ht="21.75" customHeight="1">
      <c r="A86" s="260">
        <v>613</v>
      </c>
      <c r="B86" s="384" t="s">
        <v>481</v>
      </c>
      <c r="C86" s="405" t="s">
        <v>1299</v>
      </c>
      <c r="D86" s="338">
        <v>38808</v>
      </c>
      <c r="E86" s="338">
        <v>38899</v>
      </c>
      <c r="F86" s="405" t="s">
        <v>168</v>
      </c>
      <c r="G86" s="405" t="s">
        <v>1449</v>
      </c>
      <c r="H86" s="405" t="s">
        <v>2084</v>
      </c>
      <c r="I86" s="405" t="s">
        <v>2331</v>
      </c>
      <c r="J86" s="334">
        <v>19500</v>
      </c>
      <c r="K86" s="334">
        <v>50000</v>
      </c>
      <c r="L86" s="334">
        <v>50000</v>
      </c>
      <c r="M86" s="334">
        <v>50000</v>
      </c>
      <c r="N86" s="256">
        <v>2.5641025641025643</v>
      </c>
      <c r="O86" s="334">
        <v>100</v>
      </c>
      <c r="P86" s="334"/>
      <c r="Q86" s="334">
        <v>320</v>
      </c>
      <c r="R86" s="334">
        <v>320</v>
      </c>
      <c r="S86" s="318" t="s">
        <v>233</v>
      </c>
      <c r="V86" s="334"/>
      <c r="W86" s="334"/>
      <c r="X86" s="349">
        <v>0</v>
      </c>
      <c r="Y86" s="334"/>
      <c r="Z86" s="334"/>
      <c r="AA86" s="334">
        <v>19500</v>
      </c>
      <c r="AB86" s="334">
        <v>55</v>
      </c>
      <c r="AC86" s="334"/>
      <c r="AD86" s="334"/>
      <c r="AE86" s="334"/>
      <c r="AF86" s="334"/>
      <c r="AG86" s="334"/>
      <c r="AH86" s="334"/>
      <c r="AI86" s="334"/>
      <c r="AJ86" s="254">
        <v>19500</v>
      </c>
      <c r="AK86" s="334"/>
      <c r="AL86" s="334"/>
      <c r="AM86" s="334"/>
      <c r="AV86" s="406" t="s">
        <v>2085</v>
      </c>
    </row>
    <row r="87" spans="1:219" s="405" customFormat="1" ht="21.75" customHeight="1">
      <c r="A87" s="260">
        <v>614</v>
      </c>
      <c r="B87" s="384" t="s">
        <v>279</v>
      </c>
      <c r="C87" s="405" t="s">
        <v>1299</v>
      </c>
      <c r="D87" s="338">
        <v>38718</v>
      </c>
      <c r="E87" s="338">
        <v>39539</v>
      </c>
      <c r="F87" s="405" t="s">
        <v>2086</v>
      </c>
      <c r="G87" s="405" t="s">
        <v>1449</v>
      </c>
      <c r="H87" s="405" t="s">
        <v>2087</v>
      </c>
      <c r="I87" s="254" t="s">
        <v>2331</v>
      </c>
      <c r="J87" s="334">
        <v>17000</v>
      </c>
      <c r="K87" s="334">
        <v>55247</v>
      </c>
      <c r="L87" s="334">
        <v>35357</v>
      </c>
      <c r="M87" s="334">
        <v>35357</v>
      </c>
      <c r="N87" s="256">
        <v>2.0798235294117648</v>
      </c>
      <c r="O87" s="334">
        <v>64</v>
      </c>
      <c r="P87" s="334"/>
      <c r="Q87" s="334"/>
      <c r="R87" s="334"/>
      <c r="S87" s="318" t="s">
        <v>233</v>
      </c>
      <c r="V87" s="334"/>
      <c r="W87" s="334"/>
      <c r="X87" s="334"/>
      <c r="Y87" s="334"/>
      <c r="Z87" s="334"/>
      <c r="AA87" s="334">
        <v>17000</v>
      </c>
      <c r="AB87" s="334">
        <v>300</v>
      </c>
      <c r="AC87" s="334"/>
      <c r="AD87" s="334"/>
      <c r="AE87" s="334"/>
      <c r="AF87" s="334"/>
      <c r="AG87" s="334"/>
      <c r="AH87" s="334"/>
      <c r="AI87" s="334"/>
      <c r="AJ87" s="259">
        <v>17000</v>
      </c>
      <c r="AK87" s="334"/>
      <c r="AL87" s="334"/>
      <c r="AM87" s="334"/>
      <c r="AV87" s="406" t="s">
        <v>2088</v>
      </c>
    </row>
    <row r="88" spans="1:219" s="405" customFormat="1" ht="15.75" customHeight="1">
      <c r="A88" s="260">
        <v>615</v>
      </c>
      <c r="B88" s="384" t="s">
        <v>15</v>
      </c>
      <c r="C88" s="405" t="s">
        <v>1286</v>
      </c>
      <c r="D88" s="338">
        <v>38718</v>
      </c>
      <c r="E88" s="338">
        <v>39539</v>
      </c>
      <c r="F88" s="377" t="s">
        <v>5</v>
      </c>
      <c r="G88" s="254" t="s">
        <v>1451</v>
      </c>
      <c r="H88" s="405" t="s">
        <v>2130</v>
      </c>
      <c r="I88" s="254" t="s">
        <v>2331</v>
      </c>
      <c r="J88" s="334">
        <v>1900</v>
      </c>
      <c r="K88" s="334">
        <v>67912</v>
      </c>
      <c r="L88" s="334">
        <v>68069</v>
      </c>
      <c r="M88" s="334">
        <v>68069</v>
      </c>
      <c r="N88" s="256">
        <v>35.82578947368421</v>
      </c>
      <c r="O88" s="334">
        <v>100</v>
      </c>
      <c r="P88" s="334"/>
      <c r="Q88" s="334"/>
      <c r="R88" s="334"/>
      <c r="S88" s="318" t="s">
        <v>233</v>
      </c>
      <c r="V88" s="334">
        <v>5600</v>
      </c>
      <c r="W88" s="334">
        <v>5555</v>
      </c>
      <c r="X88" s="334"/>
      <c r="Y88" s="334"/>
      <c r="Z88" s="334"/>
      <c r="AA88" s="334"/>
      <c r="AB88" s="334"/>
      <c r="AC88" s="334"/>
      <c r="AD88" s="334"/>
      <c r="AE88" s="334"/>
      <c r="AF88" s="334"/>
      <c r="AG88" s="334"/>
      <c r="AH88" s="334"/>
      <c r="AI88" s="334"/>
      <c r="AJ88" s="259">
        <v>0</v>
      </c>
      <c r="AK88" s="334"/>
      <c r="AL88" s="334"/>
      <c r="AM88" s="334"/>
      <c r="AT88" s="405" t="s">
        <v>94</v>
      </c>
      <c r="AV88" s="406" t="s">
        <v>2131</v>
      </c>
    </row>
    <row r="89" spans="1:219" s="405" customFormat="1" ht="15.75" customHeight="1">
      <c r="A89" s="260">
        <v>616</v>
      </c>
      <c r="B89" s="384" t="s">
        <v>15</v>
      </c>
      <c r="C89" s="405" t="s">
        <v>1286</v>
      </c>
      <c r="D89" s="338">
        <v>38718</v>
      </c>
      <c r="E89" s="338">
        <v>39173</v>
      </c>
      <c r="F89" s="377" t="s">
        <v>5</v>
      </c>
      <c r="G89" s="254" t="s">
        <v>1451</v>
      </c>
      <c r="H89" s="405" t="s">
        <v>2132</v>
      </c>
      <c r="I89" s="254" t="s">
        <v>2331</v>
      </c>
      <c r="J89" s="334">
        <v>13750</v>
      </c>
      <c r="K89" s="334">
        <v>69508</v>
      </c>
      <c r="L89" s="334">
        <v>66606</v>
      </c>
      <c r="M89" s="334">
        <v>66606</v>
      </c>
      <c r="N89" s="256">
        <v>4.8440727272727271</v>
      </c>
      <c r="O89" s="334">
        <v>96</v>
      </c>
      <c r="P89" s="334"/>
      <c r="Q89" s="334"/>
      <c r="R89" s="334"/>
      <c r="S89" s="318" t="s">
        <v>233</v>
      </c>
      <c r="V89" s="334">
        <v>1350</v>
      </c>
      <c r="W89" s="334">
        <v>1350</v>
      </c>
      <c r="X89" s="334"/>
      <c r="Y89" s="334"/>
      <c r="Z89" s="334"/>
      <c r="AA89" s="334"/>
      <c r="AB89" s="334"/>
      <c r="AC89" s="334"/>
      <c r="AD89" s="334"/>
      <c r="AE89" s="334"/>
      <c r="AF89" s="334"/>
      <c r="AG89" s="334"/>
      <c r="AH89" s="334"/>
      <c r="AI89" s="334"/>
      <c r="AJ89" s="259">
        <v>0</v>
      </c>
      <c r="AK89" s="334">
        <v>974</v>
      </c>
      <c r="AL89" s="334">
        <v>974</v>
      </c>
      <c r="AM89" s="318"/>
      <c r="AV89" s="405" t="s">
        <v>2133</v>
      </c>
    </row>
    <row r="90" spans="1:219" s="405" customFormat="1" ht="15.75" customHeight="1">
      <c r="A90" s="260">
        <v>617</v>
      </c>
      <c r="B90" s="384" t="s">
        <v>167</v>
      </c>
      <c r="C90" s="405" t="s">
        <v>1261</v>
      </c>
      <c r="D90" s="338">
        <v>38991</v>
      </c>
      <c r="E90" s="338">
        <v>39264</v>
      </c>
      <c r="F90" s="405" t="s">
        <v>2134</v>
      </c>
      <c r="G90" s="254" t="s">
        <v>1451</v>
      </c>
      <c r="H90" s="405" t="s">
        <v>2135</v>
      </c>
      <c r="I90" s="254" t="s">
        <v>2331</v>
      </c>
      <c r="J90" s="334">
        <v>2000</v>
      </c>
      <c r="K90" s="334">
        <v>18114</v>
      </c>
      <c r="L90" s="334">
        <v>18114</v>
      </c>
      <c r="M90" s="334">
        <v>18114</v>
      </c>
      <c r="N90" s="256">
        <v>9.0570000000000004</v>
      </c>
      <c r="O90" s="334">
        <v>100</v>
      </c>
      <c r="P90" s="334"/>
      <c r="Q90" s="334"/>
      <c r="R90" s="334"/>
      <c r="S90" s="318" t="s">
        <v>233</v>
      </c>
      <c r="V90" s="334"/>
      <c r="W90" s="334">
        <v>2528</v>
      </c>
      <c r="X90" s="334"/>
      <c r="Y90" s="334"/>
      <c r="Z90" s="334"/>
      <c r="AA90" s="334"/>
      <c r="AB90" s="334"/>
      <c r="AC90" s="334"/>
      <c r="AD90" s="334"/>
      <c r="AE90" s="334"/>
      <c r="AF90" s="334"/>
      <c r="AG90" s="334"/>
      <c r="AH90" s="334"/>
      <c r="AI90" s="334"/>
      <c r="AJ90" s="259">
        <v>0</v>
      </c>
      <c r="AK90" s="334"/>
      <c r="AL90" s="334"/>
      <c r="AM90" s="334"/>
      <c r="AV90" s="406" t="s">
        <v>2136</v>
      </c>
    </row>
    <row r="91" spans="1:219" s="405" customFormat="1" ht="15.75" customHeight="1">
      <c r="A91" s="260">
        <v>618</v>
      </c>
      <c r="B91" s="384" t="s">
        <v>1169</v>
      </c>
      <c r="C91" s="405" t="s">
        <v>1286</v>
      </c>
      <c r="D91" s="338">
        <v>38718</v>
      </c>
      <c r="E91" s="338">
        <v>39539</v>
      </c>
      <c r="F91" s="405" t="s">
        <v>2158</v>
      </c>
      <c r="G91" s="254" t="s">
        <v>1451</v>
      </c>
      <c r="H91" s="405" t="s">
        <v>2137</v>
      </c>
      <c r="I91" s="254" t="s">
        <v>2331</v>
      </c>
      <c r="J91" s="334">
        <v>3096</v>
      </c>
      <c r="K91" s="334">
        <v>60001</v>
      </c>
      <c r="L91" s="334">
        <v>55018</v>
      </c>
      <c r="M91" s="334">
        <v>55018</v>
      </c>
      <c r="N91" s="256">
        <v>17.770671834625322</v>
      </c>
      <c r="O91" s="334">
        <v>92</v>
      </c>
      <c r="P91" s="334"/>
      <c r="Q91" s="334"/>
      <c r="R91" s="334"/>
      <c r="S91" s="318" t="s">
        <v>233</v>
      </c>
      <c r="V91" s="334"/>
      <c r="W91" s="334"/>
      <c r="X91" s="334"/>
      <c r="Y91" s="334"/>
      <c r="Z91" s="334">
        <v>2500</v>
      </c>
      <c r="AA91" s="334"/>
      <c r="AB91" s="334">
        <v>42</v>
      </c>
      <c r="AC91" s="334"/>
      <c r="AD91" s="334"/>
      <c r="AE91" s="334"/>
      <c r="AF91" s="334"/>
      <c r="AG91" s="334"/>
      <c r="AH91" s="334"/>
      <c r="AI91" s="334"/>
      <c r="AJ91" s="259">
        <v>2500</v>
      </c>
      <c r="AK91" s="334"/>
      <c r="AL91" s="334"/>
      <c r="AM91" s="334"/>
      <c r="AU91" s="405" t="s">
        <v>94</v>
      </c>
      <c r="AV91" s="406" t="s">
        <v>2138</v>
      </c>
    </row>
    <row r="92" spans="1:219" s="405" customFormat="1" ht="15.75" customHeight="1">
      <c r="A92" s="260">
        <v>619</v>
      </c>
      <c r="B92" s="384" t="s">
        <v>138</v>
      </c>
      <c r="C92" s="405" t="s">
        <v>1299</v>
      </c>
      <c r="D92" s="338">
        <v>38718</v>
      </c>
      <c r="E92" s="338">
        <v>39264</v>
      </c>
      <c r="F92" s="405" t="s">
        <v>2139</v>
      </c>
      <c r="G92" s="254" t="s">
        <v>1451</v>
      </c>
      <c r="H92" s="405" t="s">
        <v>2140</v>
      </c>
      <c r="I92" s="254" t="s">
        <v>2331</v>
      </c>
      <c r="J92" s="334">
        <v>15776</v>
      </c>
      <c r="K92" s="334">
        <v>74251</v>
      </c>
      <c r="L92" s="334">
        <v>74251</v>
      </c>
      <c r="M92" s="334">
        <v>74251</v>
      </c>
      <c r="N92" s="256">
        <v>4.7065796146044621</v>
      </c>
      <c r="O92" s="334">
        <v>100</v>
      </c>
      <c r="P92" s="334"/>
      <c r="Q92" s="334"/>
      <c r="R92" s="334"/>
      <c r="S92" s="318" t="s">
        <v>233</v>
      </c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34"/>
      <c r="AG92" s="334"/>
      <c r="AH92" s="334"/>
      <c r="AI92" s="334"/>
      <c r="AJ92" s="259">
        <v>0</v>
      </c>
      <c r="AK92" s="334"/>
      <c r="AL92" s="334"/>
      <c r="AM92" s="334"/>
      <c r="AV92" s="406" t="s">
        <v>2141</v>
      </c>
    </row>
    <row r="93" spans="1:219" s="405" customFormat="1" ht="15.75" customHeight="1">
      <c r="A93" s="260">
        <v>620</v>
      </c>
      <c r="B93" s="384" t="s">
        <v>148</v>
      </c>
      <c r="C93" s="405" t="s">
        <v>1299</v>
      </c>
      <c r="D93" s="338">
        <v>39052</v>
      </c>
      <c r="E93" s="338">
        <v>39417</v>
      </c>
      <c r="F93" s="405" t="s">
        <v>168</v>
      </c>
      <c r="G93" s="405" t="s">
        <v>1449</v>
      </c>
      <c r="H93" s="405" t="s">
        <v>2142</v>
      </c>
      <c r="I93" s="254" t="s">
        <v>2331</v>
      </c>
      <c r="J93" s="334">
        <v>300000</v>
      </c>
      <c r="K93" s="334">
        <v>150000</v>
      </c>
      <c r="L93" s="334">
        <v>148326</v>
      </c>
      <c r="M93" s="334">
        <v>148326</v>
      </c>
      <c r="N93" s="256">
        <v>0.49442000000000003</v>
      </c>
      <c r="O93" s="334">
        <v>99</v>
      </c>
      <c r="P93" s="334"/>
      <c r="Q93" s="334"/>
      <c r="R93" s="334"/>
      <c r="S93" s="318" t="s">
        <v>233</v>
      </c>
      <c r="V93" s="334"/>
      <c r="W93" s="334"/>
      <c r="X93" s="334"/>
      <c r="Y93" s="334">
        <v>300000</v>
      </c>
      <c r="Z93" s="334"/>
      <c r="AA93" s="334">
        <v>50000</v>
      </c>
      <c r="AB93" s="334">
        <v>500</v>
      </c>
      <c r="AC93" s="334"/>
      <c r="AD93" s="334"/>
      <c r="AE93" s="334"/>
      <c r="AF93" s="334"/>
      <c r="AG93" s="334"/>
      <c r="AH93" s="334"/>
      <c r="AI93" s="334"/>
      <c r="AJ93" s="259">
        <v>50000</v>
      </c>
      <c r="AK93" s="334"/>
      <c r="AL93" s="334"/>
      <c r="AM93" s="334"/>
      <c r="AV93" s="406" t="s">
        <v>2143</v>
      </c>
    </row>
    <row r="94" spans="1:219" s="405" customFormat="1" ht="15.75" customHeight="1">
      <c r="A94" s="260">
        <v>621</v>
      </c>
      <c r="B94" s="384" t="s">
        <v>1484</v>
      </c>
      <c r="C94" s="405" t="s">
        <v>1286</v>
      </c>
      <c r="D94" s="338">
        <v>38991</v>
      </c>
      <c r="E94" s="338">
        <v>39479</v>
      </c>
      <c r="F94" s="405" t="s">
        <v>587</v>
      </c>
      <c r="G94" s="254" t="s">
        <v>1451</v>
      </c>
      <c r="H94" s="405" t="s">
        <v>2144</v>
      </c>
      <c r="I94" s="278" t="s">
        <v>2438</v>
      </c>
      <c r="J94" s="334">
        <v>60750</v>
      </c>
      <c r="K94" s="334">
        <v>1350061</v>
      </c>
      <c r="L94" s="334">
        <v>1350062</v>
      </c>
      <c r="M94" s="334">
        <v>1350062</v>
      </c>
      <c r="N94" s="256">
        <v>22.223242798353908</v>
      </c>
      <c r="O94" s="334">
        <v>100</v>
      </c>
      <c r="P94" s="334"/>
      <c r="Q94" s="334"/>
      <c r="R94" s="334"/>
      <c r="S94" s="318" t="s">
        <v>233</v>
      </c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4"/>
      <c r="AI94" s="334"/>
      <c r="AJ94" s="259">
        <v>0</v>
      </c>
      <c r="AK94" s="334"/>
      <c r="AL94" s="334"/>
      <c r="AM94" s="334"/>
      <c r="AV94" s="406" t="s">
        <v>2145</v>
      </c>
    </row>
    <row r="95" spans="1:219" s="405" customFormat="1" ht="17.25" customHeight="1">
      <c r="A95" s="260">
        <v>622</v>
      </c>
      <c r="B95" s="384" t="s">
        <v>764</v>
      </c>
      <c r="C95" s="405" t="s">
        <v>1299</v>
      </c>
      <c r="D95" s="425">
        <v>38718</v>
      </c>
      <c r="E95" s="425">
        <v>39783</v>
      </c>
      <c r="F95" s="405" t="s">
        <v>2178</v>
      </c>
      <c r="G95" s="254" t="s">
        <v>1451</v>
      </c>
      <c r="H95" s="405" t="s">
        <v>2179</v>
      </c>
      <c r="I95" s="254" t="s">
        <v>2331</v>
      </c>
      <c r="J95" s="334">
        <v>1500</v>
      </c>
      <c r="K95" s="334">
        <v>60000</v>
      </c>
      <c r="L95" s="334">
        <v>60000</v>
      </c>
      <c r="M95" s="334">
        <v>60000</v>
      </c>
      <c r="N95" s="256">
        <v>40</v>
      </c>
      <c r="O95" s="334">
        <v>100</v>
      </c>
      <c r="P95" s="334">
        <v>1500</v>
      </c>
      <c r="Q95" s="334">
        <v>200</v>
      </c>
      <c r="R95" s="334">
        <v>1500</v>
      </c>
      <c r="S95" s="405" t="s">
        <v>94</v>
      </c>
      <c r="T95" s="405">
        <v>15</v>
      </c>
      <c r="U95" s="405">
        <v>450</v>
      </c>
      <c r="V95" s="334">
        <v>10137</v>
      </c>
      <c r="W95" s="334">
        <v>10137</v>
      </c>
      <c r="X95" s="349">
        <v>6.758</v>
      </c>
      <c r="Y95" s="334"/>
      <c r="Z95" s="334"/>
      <c r="AA95" s="334">
        <v>450</v>
      </c>
      <c r="AB95" s="334"/>
      <c r="AC95" s="334"/>
      <c r="AD95" s="334"/>
      <c r="AE95" s="334">
        <v>850</v>
      </c>
      <c r="AF95" s="334"/>
      <c r="AG95" s="334"/>
      <c r="AH95" s="334"/>
      <c r="AI95" s="334"/>
      <c r="AJ95" s="254">
        <v>450</v>
      </c>
      <c r="AK95" s="334"/>
      <c r="AL95" s="334"/>
      <c r="AM95" s="334"/>
      <c r="AV95" s="406" t="s">
        <v>2180</v>
      </c>
    </row>
    <row r="96" spans="1:219" s="405" customFormat="1" ht="17.25" customHeight="1">
      <c r="A96" s="260">
        <v>623</v>
      </c>
      <c r="B96" s="384" t="s">
        <v>932</v>
      </c>
      <c r="C96" s="405" t="s">
        <v>1261</v>
      </c>
      <c r="D96" s="425">
        <v>39052</v>
      </c>
      <c r="E96" s="425">
        <v>39264</v>
      </c>
      <c r="F96" s="405" t="s">
        <v>24</v>
      </c>
      <c r="G96" s="254" t="s">
        <v>1451</v>
      </c>
      <c r="H96" s="405" t="s">
        <v>2181</v>
      </c>
      <c r="I96" s="278" t="s">
        <v>2438</v>
      </c>
      <c r="J96" s="334">
        <v>6979</v>
      </c>
      <c r="K96" s="334">
        <v>657055</v>
      </c>
      <c r="L96" s="334">
        <v>461013</v>
      </c>
      <c r="M96" s="334">
        <v>461013</v>
      </c>
      <c r="N96" s="256">
        <v>66.057171514543626</v>
      </c>
      <c r="O96" s="334">
        <v>70</v>
      </c>
      <c r="P96" s="334"/>
      <c r="Q96" s="334"/>
      <c r="R96" s="334"/>
      <c r="S96" s="405" t="s">
        <v>233</v>
      </c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4"/>
      <c r="AI96" s="334"/>
      <c r="AJ96" s="259">
        <v>0</v>
      </c>
      <c r="AK96" s="334"/>
      <c r="AL96" s="334"/>
      <c r="AM96" s="334"/>
      <c r="AV96" s="406" t="s">
        <v>2182</v>
      </c>
    </row>
    <row r="98" spans="1:48" s="1" customFormat="1">
      <c r="A98" s="511" t="s">
        <v>1521</v>
      </c>
      <c r="B98" s="511"/>
      <c r="C98" s="511"/>
      <c r="D98" s="511"/>
      <c r="E98" s="511"/>
      <c r="F98" s="511"/>
      <c r="G98" s="511"/>
      <c r="H98" s="511"/>
      <c r="I98" s="511"/>
      <c r="J98" s="511">
        <f>SUBTOTAL(9,J3:J96)</f>
        <v>9267784</v>
      </c>
      <c r="K98" s="511">
        <f t="shared" ref="K98:L98" si="10">SUBTOTAL(9,K3:K96)</f>
        <v>117531476</v>
      </c>
      <c r="L98" s="511">
        <f t="shared" si="10"/>
        <v>86442817</v>
      </c>
      <c r="M98" s="511">
        <f t="shared" ref="M98" si="11">SUBTOTAL(9,M3:M96)</f>
        <v>85732152</v>
      </c>
      <c r="N98" s="511">
        <f>SUBTOTAL(1,N3:N96)</f>
        <v>26.60289111056154</v>
      </c>
      <c r="O98" s="511">
        <f>SUBTOTAL(1,O3:O96)</f>
        <v>85.433809523809543</v>
      </c>
      <c r="P98" s="511">
        <f>SUBTOTAL(9,P3:P96)</f>
        <v>1196936</v>
      </c>
      <c r="Q98" s="511">
        <f t="shared" ref="Q98:W98" si="12">SUBTOTAL(9,Q3:Q96)</f>
        <v>780462</v>
      </c>
      <c r="R98" s="511">
        <f t="shared" si="12"/>
        <v>1317343</v>
      </c>
      <c r="S98" s="511">
        <f t="shared" si="12"/>
        <v>0</v>
      </c>
      <c r="T98" s="511">
        <f t="shared" si="12"/>
        <v>2737</v>
      </c>
      <c r="U98" s="511">
        <f t="shared" si="12"/>
        <v>1322187</v>
      </c>
      <c r="V98" s="511">
        <f t="shared" si="12"/>
        <v>9097404</v>
      </c>
      <c r="W98" s="511">
        <f t="shared" si="12"/>
        <v>2518448.7000000002</v>
      </c>
      <c r="X98" s="511">
        <f>SUBTOTAL(1,X3:X96)</f>
        <v>5.1290854438331852</v>
      </c>
      <c r="Y98" s="511">
        <f>SUBTOTAL(9,Y3:Y96)</f>
        <v>1152556</v>
      </c>
      <c r="Z98" s="511">
        <f>SUBTOTAL(9,Z3:Z96)</f>
        <v>15374</v>
      </c>
      <c r="AA98" s="511">
        <f>SUBTOTAL(9,AA3:AA96)</f>
        <v>2497039</v>
      </c>
      <c r="AB98" s="511">
        <f t="shared" ref="AB98:AK98" si="13">SUBTOTAL(9,AB3:AB96)</f>
        <v>7394</v>
      </c>
      <c r="AC98" s="511">
        <f t="shared" si="13"/>
        <v>259</v>
      </c>
      <c r="AD98" s="511">
        <f t="shared" si="13"/>
        <v>0</v>
      </c>
      <c r="AE98" s="511">
        <f t="shared" si="13"/>
        <v>1820194</v>
      </c>
      <c r="AF98" s="511">
        <f t="shared" si="13"/>
        <v>0</v>
      </c>
      <c r="AG98" s="511">
        <f t="shared" si="13"/>
        <v>1508</v>
      </c>
      <c r="AH98" s="511">
        <f t="shared" si="13"/>
        <v>16495</v>
      </c>
      <c r="AI98" s="511">
        <f t="shared" si="13"/>
        <v>0</v>
      </c>
      <c r="AJ98" s="511">
        <f t="shared" si="13"/>
        <v>2528908</v>
      </c>
      <c r="AK98" s="511">
        <f t="shared" si="13"/>
        <v>3474501</v>
      </c>
      <c r="AL98" s="511">
        <f t="shared" ref="AL98" si="14">SUBTOTAL(9,AL3:AL96)</f>
        <v>2138419.0700000003</v>
      </c>
      <c r="AM98" s="511">
        <f>SUBTOTAL(1,AM3:AM96)</f>
        <v>105.52002871702256</v>
      </c>
      <c r="AN98" s="511"/>
      <c r="AO98" s="511"/>
      <c r="AP98" s="511"/>
      <c r="AQ98" s="511"/>
      <c r="AR98" s="511"/>
      <c r="AS98" s="511"/>
      <c r="AT98" s="511"/>
      <c r="AU98" s="511"/>
      <c r="AV98" s="511"/>
    </row>
  </sheetData>
  <autoFilter ref="A2:HK96"/>
  <mergeCells count="10">
    <mergeCell ref="AO1:AS1"/>
    <mergeCell ref="AT1:AU1"/>
    <mergeCell ref="AV1:AV2"/>
    <mergeCell ref="J1:O1"/>
    <mergeCell ref="P1:R1"/>
    <mergeCell ref="S1:U1"/>
    <mergeCell ref="V1:X1"/>
    <mergeCell ref="Y1:AI1"/>
    <mergeCell ref="AJ1:AJ2"/>
    <mergeCell ref="AK1:AM1"/>
  </mergeCells>
  <hyperlinks>
    <hyperlink ref="AV40" r:id="rId1" display="http://www.ifrc.org/docs/appeals/08/MDRVN005FR.pdf"/>
    <hyperlink ref="AV70" r:id="rId2" display="http://www.ifrc.org/docs/appeals/08/MDRVN005FR.pdf"/>
    <hyperlink ref="AV48" r:id="rId3"/>
    <hyperlink ref="AV7" r:id="rId4"/>
    <hyperlink ref="AV32" r:id="rId5"/>
    <hyperlink ref="AV55" r:id="rId6"/>
    <hyperlink ref="AV9" r:id="rId7"/>
    <hyperlink ref="AV60" r:id="rId8"/>
    <hyperlink ref="AV29" r:id="rId9"/>
    <hyperlink ref="AV56" r:id="rId10"/>
    <hyperlink ref="AV30" r:id="rId11"/>
    <hyperlink ref="AV66" r:id="rId12"/>
    <hyperlink ref="AV33" r:id="rId13"/>
    <hyperlink ref="AV65" r:id="rId14"/>
    <hyperlink ref="AV44" r:id="rId15"/>
    <hyperlink ref="AV3" r:id="rId16"/>
    <hyperlink ref="AV45" r:id="rId17"/>
    <hyperlink ref="AV15" r:id="rId18"/>
    <hyperlink ref="AV47" r:id="rId19"/>
    <hyperlink ref="AV67" r:id="rId20"/>
    <hyperlink ref="AV18" r:id="rId21"/>
    <hyperlink ref="AV61" r:id="rId22"/>
    <hyperlink ref="AV35" r:id="rId23"/>
    <hyperlink ref="AV50" r:id="rId24"/>
    <hyperlink ref="AV41" r:id="rId25"/>
    <hyperlink ref="AV34" r:id="rId26"/>
    <hyperlink ref="AV20" r:id="rId27"/>
    <hyperlink ref="AV71" r:id="rId28"/>
    <hyperlink ref="AV57" r:id="rId29"/>
    <hyperlink ref="AV24" r:id="rId30"/>
    <hyperlink ref="AV64" r:id="rId31"/>
    <hyperlink ref="AV53" r:id="rId32"/>
    <hyperlink ref="AV46" r:id="rId33"/>
    <hyperlink ref="AV72" r:id="rId34"/>
    <hyperlink ref="AV73" r:id="rId35"/>
    <hyperlink ref="AV11" r:id="rId36"/>
    <hyperlink ref="AV69" r:id="rId37"/>
    <hyperlink ref="AV43" r:id="rId38"/>
    <hyperlink ref="AV8" r:id="rId39"/>
    <hyperlink ref="AV21" r:id="rId40"/>
    <hyperlink ref="AV16" r:id="rId41"/>
    <hyperlink ref="AV5" r:id="rId42"/>
    <hyperlink ref="AV63" r:id="rId43"/>
    <hyperlink ref="AV54" r:id="rId44"/>
    <hyperlink ref="AV70:AV73" r:id="rId45" display="http://www.ifrc.org/docs/appeals/06/MDR62001fr.pdf"/>
    <hyperlink ref="AV52" r:id="rId46"/>
    <hyperlink ref="AV17" r:id="rId47"/>
    <hyperlink ref="AV19" r:id="rId48"/>
    <hyperlink ref="AV27" r:id="rId49"/>
    <hyperlink ref="AV14" r:id="rId50"/>
    <hyperlink ref="AV31" r:id="rId51"/>
    <hyperlink ref="AV13" r:id="rId52"/>
    <hyperlink ref="AV51" r:id="rId53"/>
    <hyperlink ref="AV10" r:id="rId54"/>
    <hyperlink ref="AV39" r:id="rId55"/>
    <hyperlink ref="AV36" r:id="rId56"/>
    <hyperlink ref="AV37" r:id="rId57"/>
    <hyperlink ref="AV68" r:id="rId58"/>
    <hyperlink ref="AV23" r:id="rId59"/>
    <hyperlink ref="AV75" r:id="rId60"/>
    <hyperlink ref="AV79" r:id="rId61"/>
    <hyperlink ref="AV76" r:id="rId62"/>
    <hyperlink ref="AV77" r:id="rId63"/>
    <hyperlink ref="AV80" r:id="rId64"/>
    <hyperlink ref="AV74:AV75" r:id="rId65" display="http://www.ifrc.org/docs/appeals/rpts06/MDRCO001final.pdf"/>
    <hyperlink ref="AV81" r:id="rId66"/>
    <hyperlink ref="AV83" r:id="rId67"/>
    <hyperlink ref="AV86" r:id="rId68"/>
    <hyperlink ref="AV87" r:id="rId69"/>
    <hyperlink ref="AV88" r:id="rId70"/>
    <hyperlink ref="AV90" r:id="rId71"/>
    <hyperlink ref="AV91" r:id="rId72"/>
    <hyperlink ref="AV92" r:id="rId73"/>
    <hyperlink ref="AV93" r:id="rId74"/>
    <hyperlink ref="AV94" r:id="rId75"/>
    <hyperlink ref="AV95" r:id="rId76"/>
    <hyperlink ref="AV96" r:id="rId77"/>
  </hyperlinks>
  <pageMargins left="0.7" right="0.7" top="0.75" bottom="0.75" header="0.3" footer="0.3"/>
  <legacyDrawing r:id="rId78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O98"/>
  <sheetViews>
    <sheetView topLeftCell="N1" workbookViewId="0">
      <pane ySplit="1" topLeftCell="A2" activePane="bottomLeft" state="frozen"/>
      <selection pane="bottomLeft" activeCell="AJ98" sqref="AJ98:AK98"/>
    </sheetView>
  </sheetViews>
  <sheetFormatPr defaultRowHeight="12.75"/>
  <cols>
    <col min="11" max="11" width="12.7109375" customWidth="1"/>
    <col min="12" max="12" width="11.85546875" customWidth="1"/>
    <col min="13" max="13" width="10.85546875" customWidth="1"/>
    <col min="23" max="23" width="10.85546875" customWidth="1"/>
  </cols>
  <sheetData>
    <row r="1" spans="1:301" s="495" customFormat="1" ht="60" customHeight="1">
      <c r="A1" s="497" t="s">
        <v>3</v>
      </c>
      <c r="B1" s="497" t="s">
        <v>46</v>
      </c>
      <c r="C1" s="498" t="s">
        <v>1038</v>
      </c>
      <c r="D1" s="493" t="s">
        <v>41</v>
      </c>
      <c r="E1" s="493"/>
      <c r="F1" s="492" t="s">
        <v>42</v>
      </c>
      <c r="G1" s="497" t="s">
        <v>1448</v>
      </c>
      <c r="H1" s="497" t="s">
        <v>2436</v>
      </c>
      <c r="I1" s="499" t="s">
        <v>2439</v>
      </c>
      <c r="J1" s="1050" t="s">
        <v>1505</v>
      </c>
      <c r="K1" s="1051"/>
      <c r="L1" s="1051"/>
      <c r="M1" s="1051"/>
      <c r="N1" s="1051"/>
      <c r="O1" s="1052"/>
      <c r="P1" s="1053" t="s">
        <v>2442</v>
      </c>
      <c r="Q1" s="1054"/>
      <c r="R1" s="1055"/>
      <c r="S1" s="1053" t="s">
        <v>2445</v>
      </c>
      <c r="T1" s="1054"/>
      <c r="U1" s="1056"/>
      <c r="V1" s="1057" t="s">
        <v>2434</v>
      </c>
      <c r="W1" s="1058"/>
      <c r="X1" s="1059"/>
      <c r="Y1" s="1060" t="s">
        <v>31</v>
      </c>
      <c r="Z1" s="1061"/>
      <c r="AA1" s="1061"/>
      <c r="AB1" s="1061"/>
      <c r="AC1" s="1061"/>
      <c r="AD1" s="1061"/>
      <c r="AE1" s="1061"/>
      <c r="AF1" s="1061"/>
      <c r="AG1" s="1061"/>
      <c r="AH1" s="1061"/>
      <c r="AI1" s="1062"/>
      <c r="AJ1" s="1065" t="s">
        <v>1557</v>
      </c>
      <c r="AK1" s="1063" t="s">
        <v>2435</v>
      </c>
      <c r="AL1" s="1064"/>
      <c r="AM1" s="1067"/>
      <c r="AN1" s="494"/>
      <c r="AO1" s="1044" t="s">
        <v>35</v>
      </c>
      <c r="AP1" s="1045"/>
      <c r="AQ1" s="1045"/>
      <c r="AR1" s="1045"/>
      <c r="AS1" s="1046"/>
      <c r="AT1" s="1047" t="s">
        <v>112</v>
      </c>
      <c r="AU1" s="1046"/>
      <c r="AV1" s="1048" t="s">
        <v>51</v>
      </c>
    </row>
    <row r="2" spans="1:301" s="496" customFormat="1" ht="48" customHeight="1">
      <c r="A2" s="244"/>
      <c r="B2" s="244"/>
      <c r="C2" s="245"/>
      <c r="D2" s="247" t="s">
        <v>108</v>
      </c>
      <c r="E2" s="247" t="s">
        <v>107</v>
      </c>
      <c r="F2" s="244"/>
      <c r="G2" s="244"/>
      <c r="H2" s="244"/>
      <c r="I2" s="251"/>
      <c r="J2" s="246" t="s">
        <v>13</v>
      </c>
      <c r="K2" s="246" t="s">
        <v>45</v>
      </c>
      <c r="L2" s="250" t="s">
        <v>111</v>
      </c>
      <c r="M2" s="246" t="s">
        <v>67</v>
      </c>
      <c r="N2" s="500" t="s">
        <v>2299</v>
      </c>
      <c r="O2" s="246" t="s">
        <v>115</v>
      </c>
      <c r="P2" s="478" t="s">
        <v>2443</v>
      </c>
      <c r="Q2" s="249" t="s">
        <v>2444</v>
      </c>
      <c r="R2" s="249" t="s">
        <v>50</v>
      </c>
      <c r="S2" s="248" t="s">
        <v>93</v>
      </c>
      <c r="T2" s="248" t="s">
        <v>92</v>
      </c>
      <c r="U2" s="248" t="s">
        <v>91</v>
      </c>
      <c r="V2" s="249" t="s">
        <v>48</v>
      </c>
      <c r="W2" s="249" t="s">
        <v>49</v>
      </c>
      <c r="X2" s="501" t="s">
        <v>2360</v>
      </c>
      <c r="Y2" s="471" t="s">
        <v>38</v>
      </c>
      <c r="Z2" s="471" t="s">
        <v>76</v>
      </c>
      <c r="AA2" s="471" t="s">
        <v>77</v>
      </c>
      <c r="AB2" s="471" t="s">
        <v>82</v>
      </c>
      <c r="AC2" s="471" t="s">
        <v>109</v>
      </c>
      <c r="AD2" s="471" t="s">
        <v>110</v>
      </c>
      <c r="AE2" s="471" t="s">
        <v>81</v>
      </c>
      <c r="AF2" s="471" t="s">
        <v>33</v>
      </c>
      <c r="AG2" s="471" t="s">
        <v>34</v>
      </c>
      <c r="AH2" s="471" t="s">
        <v>32</v>
      </c>
      <c r="AI2" s="472" t="s">
        <v>86</v>
      </c>
      <c r="AJ2" s="1066"/>
      <c r="AK2" s="477" t="s">
        <v>47</v>
      </c>
      <c r="AL2" s="477" t="s">
        <v>74</v>
      </c>
      <c r="AM2" s="512" t="s">
        <v>2446</v>
      </c>
      <c r="AN2" s="479" t="s">
        <v>0</v>
      </c>
      <c r="AO2" s="480" t="s">
        <v>57</v>
      </c>
      <c r="AP2" s="480" t="s">
        <v>39</v>
      </c>
      <c r="AQ2" s="480" t="s">
        <v>40</v>
      </c>
      <c r="AR2" s="480" t="s">
        <v>37</v>
      </c>
      <c r="AS2" s="480" t="s">
        <v>36</v>
      </c>
      <c r="AT2" s="480" t="s">
        <v>113</v>
      </c>
      <c r="AU2" s="479" t="s">
        <v>114</v>
      </c>
      <c r="AV2" s="1049"/>
    </row>
    <row r="3" spans="1:301" s="358" customFormat="1" ht="18.75" customHeight="1">
      <c r="A3" s="260">
        <v>624</v>
      </c>
      <c r="B3" s="261" t="s">
        <v>321</v>
      </c>
      <c r="C3" s="261" t="s">
        <v>1261</v>
      </c>
      <c r="D3" s="262">
        <v>38384</v>
      </c>
      <c r="E3" s="262">
        <v>38565</v>
      </c>
      <c r="F3" s="261" t="s">
        <v>342</v>
      </c>
      <c r="G3" s="273" t="s">
        <v>1453</v>
      </c>
      <c r="H3" s="261" t="s">
        <v>341</v>
      </c>
      <c r="I3" s="278" t="s">
        <v>2438</v>
      </c>
      <c r="J3" s="263">
        <v>22656</v>
      </c>
      <c r="K3" s="263">
        <v>906913</v>
      </c>
      <c r="L3" s="263">
        <v>853098</v>
      </c>
      <c r="M3" s="263">
        <v>853098</v>
      </c>
      <c r="N3" s="256">
        <f t="shared" ref="N3:N9" si="0">M3/J3</f>
        <v>37.654396186440678</v>
      </c>
      <c r="O3" s="263">
        <v>98.5</v>
      </c>
      <c r="P3" s="263">
        <f>(14*250)+(400*2)</f>
        <v>4300</v>
      </c>
      <c r="Q3" s="263">
        <f>172*20</f>
        <v>3440</v>
      </c>
      <c r="R3" s="263">
        <v>4300</v>
      </c>
      <c r="S3" s="263" t="s">
        <v>233</v>
      </c>
      <c r="T3" s="263">
        <v>164</v>
      </c>
      <c r="U3" s="263">
        <v>17690</v>
      </c>
      <c r="V3" s="263">
        <v>17738</v>
      </c>
      <c r="W3" s="263">
        <v>22621</v>
      </c>
      <c r="X3" s="349">
        <f>W3/R3</f>
        <v>5.2606976744186049</v>
      </c>
      <c r="Y3" s="263" t="s">
        <v>339</v>
      </c>
      <c r="Z3" s="263" t="s">
        <v>75</v>
      </c>
      <c r="AA3" s="263">
        <v>18254</v>
      </c>
      <c r="AB3" s="263"/>
      <c r="AC3" s="263" t="s">
        <v>2</v>
      </c>
      <c r="AD3" s="263" t="s">
        <v>75</v>
      </c>
      <c r="AE3" s="263" t="s">
        <v>75</v>
      </c>
      <c r="AF3" s="263" t="s">
        <v>75</v>
      </c>
      <c r="AG3" s="263" t="s">
        <v>75</v>
      </c>
      <c r="AH3" s="263">
        <v>6934</v>
      </c>
      <c r="AI3" s="263" t="s">
        <v>75</v>
      </c>
      <c r="AJ3" s="288">
        <f t="shared" ref="AJ3:AJ34" si="1">SUM(Z3,AA3,AH3)</f>
        <v>25188</v>
      </c>
      <c r="AK3" s="263">
        <v>20694</v>
      </c>
      <c r="AL3" s="263">
        <v>16278</v>
      </c>
      <c r="AM3" s="263">
        <f>AL3/AJ3</f>
        <v>0.64626012386850884</v>
      </c>
      <c r="AN3" s="261"/>
      <c r="AO3" s="261" t="s">
        <v>75</v>
      </c>
      <c r="AP3" s="261" t="s">
        <v>75</v>
      </c>
      <c r="AQ3" s="261" t="s">
        <v>75</v>
      </c>
      <c r="AR3" s="261" t="s">
        <v>75</v>
      </c>
      <c r="AS3" s="261" t="s">
        <v>75</v>
      </c>
      <c r="AT3" s="426" t="s">
        <v>343</v>
      </c>
      <c r="AU3" s="261" t="s">
        <v>75</v>
      </c>
      <c r="AV3" s="293" t="s">
        <v>340</v>
      </c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</row>
    <row r="4" spans="1:301" s="358" customFormat="1" ht="17.25" customHeight="1">
      <c r="A4" s="260">
        <v>625</v>
      </c>
      <c r="B4" s="261" t="s">
        <v>332</v>
      </c>
      <c r="C4" s="362" t="s">
        <v>1299</v>
      </c>
      <c r="D4" s="262">
        <v>38443</v>
      </c>
      <c r="E4" s="262">
        <v>38534</v>
      </c>
      <c r="F4" s="261" t="s">
        <v>352</v>
      </c>
      <c r="G4" s="252" t="s">
        <v>1449</v>
      </c>
      <c r="H4" s="261" t="s">
        <v>350</v>
      </c>
      <c r="I4" s="254" t="s">
        <v>2331</v>
      </c>
      <c r="J4" s="263">
        <v>25430</v>
      </c>
      <c r="K4" s="263">
        <v>0</v>
      </c>
      <c r="L4" s="263">
        <v>235236</v>
      </c>
      <c r="M4" s="263">
        <v>233238</v>
      </c>
      <c r="N4" s="256">
        <f t="shared" si="0"/>
        <v>9.1717656311443179</v>
      </c>
      <c r="O4" s="263" t="s">
        <v>66</v>
      </c>
      <c r="P4" s="263" t="s">
        <v>134</v>
      </c>
      <c r="Q4" s="263" t="s">
        <v>75</v>
      </c>
      <c r="R4" s="263"/>
      <c r="S4" s="263" t="s">
        <v>233</v>
      </c>
      <c r="T4" s="263">
        <v>80</v>
      </c>
      <c r="U4" s="263">
        <v>25430</v>
      </c>
      <c r="V4" s="263">
        <v>0</v>
      </c>
      <c r="W4" s="263">
        <v>2115</v>
      </c>
      <c r="X4" s="263"/>
      <c r="Y4" s="263">
        <v>25430</v>
      </c>
      <c r="Z4" s="263">
        <v>1775</v>
      </c>
      <c r="AA4" s="263">
        <v>25430</v>
      </c>
      <c r="AB4" s="263">
        <v>120</v>
      </c>
      <c r="AC4" s="263" t="s">
        <v>75</v>
      </c>
      <c r="AD4" s="263" t="s">
        <v>75</v>
      </c>
      <c r="AE4" s="263">
        <v>408</v>
      </c>
      <c r="AF4" s="263" t="s">
        <v>75</v>
      </c>
      <c r="AG4" s="263" t="s">
        <v>75</v>
      </c>
      <c r="AH4" s="263" t="s">
        <v>75</v>
      </c>
      <c r="AI4" s="263" t="s">
        <v>75</v>
      </c>
      <c r="AJ4" s="301">
        <f t="shared" si="1"/>
        <v>27205</v>
      </c>
      <c r="AK4" s="263" t="s">
        <v>66</v>
      </c>
      <c r="AL4" s="263" t="s">
        <v>66</v>
      </c>
      <c r="AM4" s="263"/>
      <c r="AN4" s="261"/>
      <c r="AO4" s="261" t="s">
        <v>75</v>
      </c>
      <c r="AP4" s="261" t="s">
        <v>75</v>
      </c>
      <c r="AQ4" s="261" t="s">
        <v>75</v>
      </c>
      <c r="AR4" s="261" t="s">
        <v>75</v>
      </c>
      <c r="AS4" s="261" t="s">
        <v>75</v>
      </c>
      <c r="AT4" s="261" t="s">
        <v>75</v>
      </c>
      <c r="AU4" s="261" t="s">
        <v>75</v>
      </c>
      <c r="AV4" s="276" t="s">
        <v>351</v>
      </c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</row>
    <row r="5" spans="1:301" s="342" customFormat="1" ht="18.75" customHeight="1">
      <c r="A5" s="260">
        <v>626</v>
      </c>
      <c r="B5" s="388" t="s">
        <v>161</v>
      </c>
      <c r="C5" s="388" t="s">
        <v>1286</v>
      </c>
      <c r="D5" s="325">
        <v>38626</v>
      </c>
      <c r="E5" s="325">
        <v>39052</v>
      </c>
      <c r="F5" s="377" t="s">
        <v>164</v>
      </c>
      <c r="G5" s="252" t="s">
        <v>1450</v>
      </c>
      <c r="H5" s="377" t="s">
        <v>163</v>
      </c>
      <c r="I5" s="278" t="s">
        <v>2438</v>
      </c>
      <c r="J5" s="330">
        <v>70000</v>
      </c>
      <c r="K5" s="411">
        <v>1918000</v>
      </c>
      <c r="L5" s="411">
        <v>1517222</v>
      </c>
      <c r="M5" s="330">
        <v>1483601</v>
      </c>
      <c r="N5" s="256">
        <f t="shared" si="0"/>
        <v>21.194299999999998</v>
      </c>
      <c r="O5" s="327">
        <v>79</v>
      </c>
      <c r="P5" s="411" t="s">
        <v>75</v>
      </c>
      <c r="Q5" s="411" t="s">
        <v>75</v>
      </c>
      <c r="R5" s="330" t="s">
        <v>75</v>
      </c>
      <c r="S5" s="318" t="s">
        <v>233</v>
      </c>
      <c r="T5" s="327" t="s">
        <v>75</v>
      </c>
      <c r="U5" s="318" t="s">
        <v>75</v>
      </c>
      <c r="V5" s="330">
        <v>0</v>
      </c>
      <c r="W5" s="330">
        <v>13542</v>
      </c>
      <c r="X5" s="330"/>
      <c r="Y5" s="318"/>
      <c r="Z5" s="330" t="s">
        <v>2</v>
      </c>
      <c r="AA5" s="318"/>
      <c r="AB5" s="327"/>
      <c r="AC5" s="318"/>
      <c r="AD5" s="318"/>
      <c r="AE5" s="327"/>
      <c r="AF5" s="411" t="s">
        <v>75</v>
      </c>
      <c r="AG5" s="411" t="s">
        <v>75</v>
      </c>
      <c r="AH5" s="318"/>
      <c r="AI5" s="327"/>
      <c r="AJ5" s="301">
        <f t="shared" si="1"/>
        <v>0</v>
      </c>
      <c r="AK5" s="330">
        <v>0</v>
      </c>
      <c r="AL5" s="330">
        <v>90980</v>
      </c>
      <c r="AM5" s="263"/>
      <c r="AN5" s="388"/>
      <c r="AO5" s="304" t="s">
        <v>75</v>
      </c>
      <c r="AP5" s="304" t="s">
        <v>75</v>
      </c>
      <c r="AQ5" s="304" t="s">
        <v>75</v>
      </c>
      <c r="AR5" s="304" t="s">
        <v>75</v>
      </c>
      <c r="AS5" s="304" t="s">
        <v>75</v>
      </c>
      <c r="AT5" s="342" t="s">
        <v>187</v>
      </c>
      <c r="AU5" s="342" t="s">
        <v>205</v>
      </c>
      <c r="AV5" s="404" t="s">
        <v>165</v>
      </c>
      <c r="AW5" s="388"/>
      <c r="AX5" s="388"/>
      <c r="AY5" s="388"/>
      <c r="AZ5" s="388"/>
      <c r="BA5" s="388"/>
      <c r="BB5" s="388"/>
      <c r="BC5" s="388"/>
      <c r="BD5" s="388"/>
      <c r="BE5" s="388"/>
      <c r="BF5" s="388"/>
      <c r="BG5" s="388"/>
      <c r="BH5" s="388"/>
      <c r="BI5" s="388"/>
      <c r="BJ5" s="388"/>
      <c r="BK5" s="388"/>
      <c r="BL5" s="388"/>
      <c r="BM5" s="388"/>
    </row>
    <row r="6" spans="1:301" s="342" customFormat="1" ht="18.75" customHeight="1">
      <c r="A6" s="260">
        <v>627</v>
      </c>
      <c r="B6" s="261" t="s">
        <v>477</v>
      </c>
      <c r="C6" s="261" t="s">
        <v>1299</v>
      </c>
      <c r="D6" s="351">
        <v>38473</v>
      </c>
      <c r="E6" s="351">
        <v>39234</v>
      </c>
      <c r="F6" s="261" t="s">
        <v>2004</v>
      </c>
      <c r="G6" s="252" t="s">
        <v>1452</v>
      </c>
      <c r="H6" s="427" t="s">
        <v>2003</v>
      </c>
      <c r="I6" s="278" t="s">
        <v>2438</v>
      </c>
      <c r="J6" s="263">
        <v>10000</v>
      </c>
      <c r="K6" s="298">
        <v>1291067</v>
      </c>
      <c r="L6" s="298">
        <v>766154</v>
      </c>
      <c r="M6" s="298">
        <f>L6+97254</f>
        <v>863408</v>
      </c>
      <c r="N6" s="256">
        <f t="shared" si="0"/>
        <v>86.340800000000002</v>
      </c>
      <c r="O6" s="298">
        <f>(L6*100)/K6</f>
        <v>59.342698713544685</v>
      </c>
      <c r="P6" s="263">
        <v>10000</v>
      </c>
      <c r="Q6" s="263"/>
      <c r="R6" s="263">
        <v>10000</v>
      </c>
      <c r="S6" s="298"/>
      <c r="T6" s="298"/>
      <c r="U6" s="298"/>
      <c r="V6" s="298">
        <v>1154</v>
      </c>
      <c r="W6" s="298">
        <v>1154</v>
      </c>
      <c r="X6" s="349">
        <f>W6/R6</f>
        <v>0.1154</v>
      </c>
      <c r="Y6" s="298">
        <v>10000</v>
      </c>
      <c r="Z6" s="298"/>
      <c r="AA6" s="298"/>
      <c r="AB6" s="298"/>
      <c r="AC6" s="298">
        <v>60</v>
      </c>
      <c r="AD6" s="298"/>
      <c r="AE6" s="298"/>
      <c r="AF6" s="298"/>
      <c r="AG6" s="298"/>
      <c r="AH6" s="298"/>
      <c r="AI6" s="298"/>
      <c r="AJ6" s="301">
        <f t="shared" si="1"/>
        <v>0</v>
      </c>
      <c r="AK6" s="298">
        <v>42096</v>
      </c>
      <c r="AL6" s="298">
        <v>8378</v>
      </c>
      <c r="AM6" s="263"/>
      <c r="AN6" s="374"/>
      <c r="AO6" s="374"/>
      <c r="AP6" s="374"/>
      <c r="AQ6" s="374"/>
      <c r="AR6" s="374"/>
      <c r="AS6" s="374"/>
      <c r="AT6" s="374"/>
      <c r="AU6" s="374"/>
      <c r="AV6" s="285" t="s">
        <v>2002</v>
      </c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  <c r="BM6" s="285"/>
      <c r="BN6" s="284"/>
    </row>
    <row r="7" spans="1:301" s="342" customFormat="1" ht="18.75" customHeight="1">
      <c r="A7" s="260">
        <v>628</v>
      </c>
      <c r="B7" s="278" t="s">
        <v>354</v>
      </c>
      <c r="C7" s="362" t="s">
        <v>1260</v>
      </c>
      <c r="D7" s="485">
        <v>38687</v>
      </c>
      <c r="E7" s="485">
        <v>38749</v>
      </c>
      <c r="F7" s="362" t="s">
        <v>5</v>
      </c>
      <c r="G7" s="252" t="s">
        <v>1451</v>
      </c>
      <c r="H7" s="362" t="s">
        <v>367</v>
      </c>
      <c r="I7" s="254" t="s">
        <v>2331</v>
      </c>
      <c r="J7" s="263">
        <v>4750</v>
      </c>
      <c r="K7" s="402">
        <v>25093</v>
      </c>
      <c r="L7" s="402">
        <v>25093</v>
      </c>
      <c r="M7" s="402">
        <v>25093</v>
      </c>
      <c r="N7" s="256">
        <f t="shared" si="0"/>
        <v>5.2827368421052627</v>
      </c>
      <c r="O7" s="402">
        <v>100</v>
      </c>
      <c r="P7" s="402" t="s">
        <v>75</v>
      </c>
      <c r="Q7" s="402" t="s">
        <v>75</v>
      </c>
      <c r="R7" s="402" t="s">
        <v>75</v>
      </c>
      <c r="S7" s="402" t="s">
        <v>233</v>
      </c>
      <c r="T7" s="402" t="s">
        <v>75</v>
      </c>
      <c r="U7" s="402" t="s">
        <v>75</v>
      </c>
      <c r="V7" s="263" t="s">
        <v>66</v>
      </c>
      <c r="W7" s="402" t="s">
        <v>66</v>
      </c>
      <c r="X7" s="263"/>
      <c r="Y7" s="402" t="s">
        <v>75</v>
      </c>
      <c r="Z7" s="402" t="s">
        <v>75</v>
      </c>
      <c r="AA7" s="402" t="s">
        <v>75</v>
      </c>
      <c r="AB7" s="402" t="s">
        <v>75</v>
      </c>
      <c r="AC7" s="402" t="s">
        <v>75</v>
      </c>
      <c r="AD7" s="402" t="s">
        <v>75</v>
      </c>
      <c r="AE7" s="402" t="s">
        <v>75</v>
      </c>
      <c r="AF7" s="402" t="s">
        <v>75</v>
      </c>
      <c r="AG7" s="402" t="s">
        <v>75</v>
      </c>
      <c r="AH7" s="402" t="s">
        <v>75</v>
      </c>
      <c r="AI7" s="402" t="s">
        <v>75</v>
      </c>
      <c r="AJ7" s="301">
        <f t="shared" si="1"/>
        <v>0</v>
      </c>
      <c r="AK7" s="263" t="s">
        <v>66</v>
      </c>
      <c r="AL7" s="402" t="s">
        <v>66</v>
      </c>
      <c r="AM7" s="263"/>
      <c r="AN7" s="362"/>
      <c r="AO7" s="362" t="s">
        <v>75</v>
      </c>
      <c r="AP7" s="362" t="s">
        <v>75</v>
      </c>
      <c r="AQ7" s="362" t="s">
        <v>75</v>
      </c>
      <c r="AR7" s="362" t="s">
        <v>75</v>
      </c>
      <c r="AS7" s="362" t="s">
        <v>75</v>
      </c>
      <c r="AT7" s="362" t="s">
        <v>75</v>
      </c>
      <c r="AU7" s="362" t="s">
        <v>75</v>
      </c>
      <c r="AV7" s="362" t="s">
        <v>368</v>
      </c>
      <c r="AW7" s="362"/>
      <c r="AX7" s="362"/>
      <c r="AY7" s="362"/>
      <c r="AZ7" s="362"/>
      <c r="BA7" s="362"/>
      <c r="BB7" s="362"/>
      <c r="BC7" s="362"/>
      <c r="BD7" s="362"/>
      <c r="BE7" s="362"/>
      <c r="BF7" s="362"/>
      <c r="BG7" s="362"/>
      <c r="BH7" s="362"/>
      <c r="BI7" s="362"/>
      <c r="BJ7" s="362"/>
      <c r="BK7" s="362"/>
      <c r="BL7" s="362"/>
      <c r="BM7" s="362"/>
      <c r="BN7" s="261"/>
    </row>
    <row r="8" spans="1:301" s="342" customFormat="1" ht="18.75" customHeight="1">
      <c r="A8" s="260">
        <v>629</v>
      </c>
      <c r="B8" s="261" t="s">
        <v>372</v>
      </c>
      <c r="C8" s="261" t="s">
        <v>1260</v>
      </c>
      <c r="D8" s="262">
        <v>38565</v>
      </c>
      <c r="E8" s="262">
        <v>38777</v>
      </c>
      <c r="F8" s="261" t="s">
        <v>5</v>
      </c>
      <c r="G8" s="273" t="s">
        <v>1451</v>
      </c>
      <c r="H8" s="261" t="s">
        <v>399</v>
      </c>
      <c r="I8" s="254" t="s">
        <v>2331</v>
      </c>
      <c r="J8" s="263">
        <v>22520</v>
      </c>
      <c r="K8" s="263">
        <v>219808</v>
      </c>
      <c r="L8" s="263">
        <v>219810</v>
      </c>
      <c r="M8" s="263">
        <v>217962</v>
      </c>
      <c r="N8" s="256">
        <f t="shared" si="0"/>
        <v>9.678596802841918</v>
      </c>
      <c r="O8" s="263" t="s">
        <v>66</v>
      </c>
      <c r="P8" s="263" t="s">
        <v>75</v>
      </c>
      <c r="Q8" s="263" t="s">
        <v>75</v>
      </c>
      <c r="R8" s="263"/>
      <c r="S8" s="263" t="s">
        <v>233</v>
      </c>
      <c r="T8" s="263" t="s">
        <v>75</v>
      </c>
      <c r="U8" s="263" t="s">
        <v>75</v>
      </c>
      <c r="V8" s="263" t="s">
        <v>66</v>
      </c>
      <c r="W8" s="263" t="s">
        <v>66</v>
      </c>
      <c r="X8" s="263"/>
      <c r="Y8" s="263" t="s">
        <v>134</v>
      </c>
      <c r="Z8" s="263" t="s">
        <v>75</v>
      </c>
      <c r="AA8" s="263" t="s">
        <v>75</v>
      </c>
      <c r="AB8" s="263" t="s">
        <v>75</v>
      </c>
      <c r="AC8" s="263" t="s">
        <v>75</v>
      </c>
      <c r="AD8" s="263" t="s">
        <v>75</v>
      </c>
      <c r="AE8" s="263" t="s">
        <v>75</v>
      </c>
      <c r="AF8" s="263" t="s">
        <v>75</v>
      </c>
      <c r="AG8" s="263" t="s">
        <v>75</v>
      </c>
      <c r="AH8" s="263" t="s">
        <v>75</v>
      </c>
      <c r="AI8" s="263" t="s">
        <v>75</v>
      </c>
      <c r="AJ8" s="301">
        <f t="shared" si="1"/>
        <v>0</v>
      </c>
      <c r="AK8" s="263" t="s">
        <v>66</v>
      </c>
      <c r="AL8" s="263" t="s">
        <v>66</v>
      </c>
      <c r="AM8" s="263"/>
      <c r="AN8" s="261"/>
      <c r="AO8" s="261" t="s">
        <v>75</v>
      </c>
      <c r="AP8" s="261" t="s">
        <v>75</v>
      </c>
      <c r="AQ8" s="261" t="s">
        <v>75</v>
      </c>
      <c r="AR8" s="261" t="s">
        <v>75</v>
      </c>
      <c r="AS8" s="261" t="s">
        <v>75</v>
      </c>
      <c r="AT8" s="261" t="s">
        <v>75</v>
      </c>
      <c r="AU8" s="261" t="s">
        <v>75</v>
      </c>
      <c r="AV8" s="261" t="s">
        <v>398</v>
      </c>
      <c r="AW8" s="261"/>
      <c r="AX8" s="261"/>
      <c r="AY8" s="261"/>
      <c r="AZ8" s="261"/>
      <c r="BA8" s="261"/>
      <c r="BB8" s="261"/>
      <c r="BC8" s="261"/>
      <c r="BD8" s="261"/>
      <c r="BE8" s="261"/>
      <c r="BF8" s="261"/>
      <c r="BG8" s="261"/>
      <c r="BH8" s="261"/>
      <c r="BI8" s="261"/>
      <c r="BJ8" s="261"/>
      <c r="BK8" s="261"/>
      <c r="BL8" s="261"/>
      <c r="BM8" s="261"/>
      <c r="BN8" s="261"/>
    </row>
    <row r="9" spans="1:301" s="342" customFormat="1" ht="18.75" customHeight="1">
      <c r="A9" s="260">
        <v>630</v>
      </c>
      <c r="B9" s="428" t="s">
        <v>119</v>
      </c>
      <c r="C9" s="304" t="s">
        <v>1299</v>
      </c>
      <c r="D9" s="317">
        <v>38534</v>
      </c>
      <c r="E9" s="317">
        <v>38899</v>
      </c>
      <c r="F9" s="304" t="s">
        <v>116</v>
      </c>
      <c r="G9" s="273" t="s">
        <v>1452</v>
      </c>
      <c r="H9" s="304" t="s">
        <v>126</v>
      </c>
      <c r="I9" s="278" t="s">
        <v>2438</v>
      </c>
      <c r="J9" s="330">
        <v>536000</v>
      </c>
      <c r="K9" s="330">
        <v>31563799</v>
      </c>
      <c r="L9" s="330">
        <v>25440758</v>
      </c>
      <c r="M9" s="330">
        <v>25879592</v>
      </c>
      <c r="N9" s="256">
        <f t="shared" si="0"/>
        <v>48.282820895522391</v>
      </c>
      <c r="O9" s="318">
        <v>81.400000000000006</v>
      </c>
      <c r="P9" s="318" t="s">
        <v>134</v>
      </c>
      <c r="Q9" s="318" t="s">
        <v>134</v>
      </c>
      <c r="R9" s="318" t="s">
        <v>134</v>
      </c>
      <c r="S9" s="318" t="s">
        <v>233</v>
      </c>
      <c r="T9" s="318" t="s">
        <v>134</v>
      </c>
      <c r="U9" s="318" t="s">
        <v>134</v>
      </c>
      <c r="V9" s="330">
        <v>1050000</v>
      </c>
      <c r="W9" s="330">
        <v>14994</v>
      </c>
      <c r="X9" s="330"/>
      <c r="Y9" s="318"/>
      <c r="Z9" s="318"/>
      <c r="AA9" s="318"/>
      <c r="AB9" s="318"/>
      <c r="AC9" s="318"/>
      <c r="AD9" s="318"/>
      <c r="AE9" s="318"/>
      <c r="AF9" s="330" t="s">
        <v>75</v>
      </c>
      <c r="AG9" s="330" t="s">
        <v>75</v>
      </c>
      <c r="AH9" s="318"/>
      <c r="AI9" s="318"/>
      <c r="AJ9" s="301">
        <f t="shared" si="1"/>
        <v>0</v>
      </c>
      <c r="AK9" s="330">
        <v>45131</v>
      </c>
      <c r="AL9" s="330">
        <v>54960</v>
      </c>
      <c r="AM9" s="263"/>
      <c r="AN9" s="304"/>
      <c r="AO9" s="304" t="s">
        <v>75</v>
      </c>
      <c r="AP9" s="304" t="s">
        <v>75</v>
      </c>
      <c r="AQ9" s="304" t="s">
        <v>75</v>
      </c>
      <c r="AR9" s="304" t="s">
        <v>75</v>
      </c>
      <c r="AS9" s="304" t="s">
        <v>75</v>
      </c>
      <c r="AT9" s="304" t="s">
        <v>136</v>
      </c>
      <c r="AU9" s="304" t="s">
        <v>135</v>
      </c>
      <c r="AV9" s="407" t="s">
        <v>117</v>
      </c>
    </row>
    <row r="10" spans="1:301" s="342" customFormat="1" ht="18.75" customHeight="1">
      <c r="A10" s="260">
        <v>631</v>
      </c>
      <c r="B10" s="429" t="s">
        <v>120</v>
      </c>
      <c r="C10" s="304" t="s">
        <v>1299</v>
      </c>
      <c r="D10" s="317">
        <v>38535</v>
      </c>
      <c r="E10" s="317">
        <v>38900</v>
      </c>
      <c r="F10" s="304" t="s">
        <v>116</v>
      </c>
      <c r="G10" s="273" t="s">
        <v>1452</v>
      </c>
      <c r="H10" s="304" t="s">
        <v>126</v>
      </c>
      <c r="I10" s="278" t="s">
        <v>2438</v>
      </c>
      <c r="J10" s="330"/>
      <c r="K10" s="330"/>
      <c r="L10" s="330"/>
      <c r="M10" s="330"/>
      <c r="N10" s="256"/>
      <c r="O10" s="318"/>
      <c r="P10" s="318" t="s">
        <v>134</v>
      </c>
      <c r="Q10" s="318" t="s">
        <v>134</v>
      </c>
      <c r="R10" s="318" t="s">
        <v>134</v>
      </c>
      <c r="S10" s="318" t="s">
        <v>233</v>
      </c>
      <c r="T10" s="318" t="s">
        <v>134</v>
      </c>
      <c r="U10" s="318" t="s">
        <v>134</v>
      </c>
      <c r="V10" s="330"/>
      <c r="W10" s="330"/>
      <c r="X10" s="330"/>
      <c r="Y10" s="318"/>
      <c r="Z10" s="318"/>
      <c r="AA10" s="318"/>
      <c r="AB10" s="318"/>
      <c r="AC10" s="318"/>
      <c r="AD10" s="318"/>
      <c r="AE10" s="318"/>
      <c r="AF10" s="330"/>
      <c r="AG10" s="330"/>
      <c r="AH10" s="318"/>
      <c r="AI10" s="318"/>
      <c r="AJ10" s="301">
        <f t="shared" si="1"/>
        <v>0</v>
      </c>
      <c r="AK10" s="330"/>
      <c r="AL10" s="330"/>
      <c r="AM10" s="263"/>
      <c r="AN10" s="304"/>
      <c r="AO10" s="304"/>
      <c r="AP10" s="304"/>
      <c r="AQ10" s="304"/>
      <c r="AR10" s="304"/>
      <c r="AS10" s="304"/>
      <c r="AT10" s="304" t="s">
        <v>136</v>
      </c>
      <c r="AU10" s="304" t="s">
        <v>135</v>
      </c>
      <c r="AV10" s="407" t="s">
        <v>117</v>
      </c>
    </row>
    <row r="11" spans="1:301" s="342" customFormat="1" ht="18.75" customHeight="1">
      <c r="A11" s="260">
        <v>632</v>
      </c>
      <c r="B11" s="429" t="s">
        <v>118</v>
      </c>
      <c r="C11" s="304" t="s">
        <v>1299</v>
      </c>
      <c r="D11" s="317">
        <v>38536</v>
      </c>
      <c r="E11" s="317">
        <v>38901</v>
      </c>
      <c r="F11" s="304" t="s">
        <v>116</v>
      </c>
      <c r="G11" s="273" t="s">
        <v>1452</v>
      </c>
      <c r="H11" s="304" t="s">
        <v>126</v>
      </c>
      <c r="I11" s="278" t="s">
        <v>2438</v>
      </c>
      <c r="J11" s="330"/>
      <c r="K11" s="330"/>
      <c r="L11" s="330"/>
      <c r="M11" s="330"/>
      <c r="N11" s="256"/>
      <c r="O11" s="318"/>
      <c r="P11" s="318" t="s">
        <v>134</v>
      </c>
      <c r="Q11" s="318" t="s">
        <v>134</v>
      </c>
      <c r="R11" s="318" t="s">
        <v>134</v>
      </c>
      <c r="S11" s="318" t="s">
        <v>233</v>
      </c>
      <c r="T11" s="318" t="s">
        <v>134</v>
      </c>
      <c r="U11" s="318" t="s">
        <v>134</v>
      </c>
      <c r="V11" s="330"/>
      <c r="W11" s="330"/>
      <c r="X11" s="330"/>
      <c r="Y11" s="318"/>
      <c r="Z11" s="318"/>
      <c r="AA11" s="318"/>
      <c r="AB11" s="318"/>
      <c r="AC11" s="318"/>
      <c r="AD11" s="318"/>
      <c r="AE11" s="318"/>
      <c r="AF11" s="330"/>
      <c r="AG11" s="330"/>
      <c r="AH11" s="318"/>
      <c r="AI11" s="318"/>
      <c r="AJ11" s="301">
        <f t="shared" si="1"/>
        <v>0</v>
      </c>
      <c r="AK11" s="330"/>
      <c r="AL11" s="330"/>
      <c r="AM11" s="330"/>
      <c r="AN11" s="304"/>
      <c r="AO11" s="304"/>
      <c r="AP11" s="304"/>
      <c r="AQ11" s="304"/>
      <c r="AR11" s="304"/>
      <c r="AS11" s="304"/>
      <c r="AT11" s="304" t="s">
        <v>136</v>
      </c>
      <c r="AU11" s="304" t="s">
        <v>135</v>
      </c>
      <c r="AV11" s="407" t="s">
        <v>117</v>
      </c>
    </row>
    <row r="12" spans="1:301" s="342" customFormat="1" ht="18" customHeight="1">
      <c r="A12" s="260">
        <v>633</v>
      </c>
      <c r="B12" s="429" t="s">
        <v>97</v>
      </c>
      <c r="C12" s="304" t="s">
        <v>1299</v>
      </c>
      <c r="D12" s="317">
        <v>38537</v>
      </c>
      <c r="E12" s="317">
        <v>38902</v>
      </c>
      <c r="F12" s="304" t="s">
        <v>116</v>
      </c>
      <c r="G12" s="273" t="s">
        <v>1452</v>
      </c>
      <c r="H12" s="304" t="s">
        <v>126</v>
      </c>
      <c r="I12" s="278" t="s">
        <v>2438</v>
      </c>
      <c r="J12" s="330"/>
      <c r="K12" s="330"/>
      <c r="L12" s="330"/>
      <c r="M12" s="330"/>
      <c r="N12" s="256"/>
      <c r="O12" s="318"/>
      <c r="P12" s="318" t="s">
        <v>134</v>
      </c>
      <c r="Q12" s="318" t="s">
        <v>134</v>
      </c>
      <c r="R12" s="318" t="s">
        <v>134</v>
      </c>
      <c r="S12" s="318" t="s">
        <v>2</v>
      </c>
      <c r="T12" s="318">
        <v>80</v>
      </c>
      <c r="U12" s="318" t="s">
        <v>134</v>
      </c>
      <c r="V12" s="330"/>
      <c r="W12" s="330"/>
      <c r="X12" s="330"/>
      <c r="Y12" s="318"/>
      <c r="Z12" s="318"/>
      <c r="AA12" s="318">
        <v>18084</v>
      </c>
      <c r="AB12" s="318">
        <v>95</v>
      </c>
      <c r="AC12" s="318"/>
      <c r="AD12" s="318"/>
      <c r="AE12" s="318"/>
      <c r="AF12" s="330"/>
      <c r="AG12" s="330"/>
      <c r="AH12" s="318">
        <v>293056</v>
      </c>
      <c r="AI12" s="318">
        <v>2674</v>
      </c>
      <c r="AJ12" s="301">
        <f t="shared" si="1"/>
        <v>311140</v>
      </c>
      <c r="AK12" s="330"/>
      <c r="AL12" s="330"/>
      <c r="AM12" s="330"/>
      <c r="AN12" s="304"/>
      <c r="AO12" s="304"/>
      <c r="AP12" s="304"/>
      <c r="AQ12" s="304"/>
      <c r="AR12" s="304"/>
      <c r="AS12" s="304"/>
      <c r="AT12" s="304" t="s">
        <v>136</v>
      </c>
      <c r="AU12" s="304" t="s">
        <v>135</v>
      </c>
      <c r="AV12" s="407" t="s">
        <v>117</v>
      </c>
    </row>
    <row r="13" spans="1:301" s="342" customFormat="1" ht="18.75" customHeight="1">
      <c r="A13" s="260">
        <v>634</v>
      </c>
      <c r="B13" s="345" t="s">
        <v>545</v>
      </c>
      <c r="C13" s="261" t="s">
        <v>1286</v>
      </c>
      <c r="D13" s="262">
        <v>38534</v>
      </c>
      <c r="E13" s="262">
        <v>38626</v>
      </c>
      <c r="F13" s="261" t="s">
        <v>428</v>
      </c>
      <c r="G13" s="273" t="s">
        <v>1450</v>
      </c>
      <c r="H13" s="261" t="s">
        <v>424</v>
      </c>
      <c r="I13" s="278" t="s">
        <v>2438</v>
      </c>
      <c r="J13" s="263">
        <v>29000</v>
      </c>
      <c r="K13" s="263">
        <v>852612</v>
      </c>
      <c r="L13" s="263">
        <v>641271</v>
      </c>
      <c r="M13" s="263">
        <v>641271</v>
      </c>
      <c r="N13" s="256">
        <f t="shared" ref="N13:N50" si="2">M13/J13</f>
        <v>22.112793103448276</v>
      </c>
      <c r="O13" s="263">
        <v>75.2</v>
      </c>
      <c r="P13" s="274">
        <v>15000</v>
      </c>
      <c r="Q13" s="263"/>
      <c r="R13" s="263">
        <v>15000</v>
      </c>
      <c r="S13" s="263" t="s">
        <v>233</v>
      </c>
      <c r="T13" s="263" t="s">
        <v>75</v>
      </c>
      <c r="U13" s="263" t="s">
        <v>75</v>
      </c>
      <c r="V13" s="263" t="s">
        <v>66</v>
      </c>
      <c r="W13" s="263" t="s">
        <v>66</v>
      </c>
      <c r="X13" s="349"/>
      <c r="Y13" s="263" t="s">
        <v>134</v>
      </c>
      <c r="Z13" s="263">
        <v>360</v>
      </c>
      <c r="AA13" s="263" t="s">
        <v>75</v>
      </c>
      <c r="AB13" s="263" t="s">
        <v>134</v>
      </c>
      <c r="AC13" s="263" t="s">
        <v>75</v>
      </c>
      <c r="AD13" s="263" t="s">
        <v>75</v>
      </c>
      <c r="AE13" s="263" t="s">
        <v>75</v>
      </c>
      <c r="AF13" s="263" t="s">
        <v>75</v>
      </c>
      <c r="AG13" s="263" t="s">
        <v>75</v>
      </c>
      <c r="AH13" s="263" t="s">
        <v>75</v>
      </c>
      <c r="AI13" s="263" t="s">
        <v>75</v>
      </c>
      <c r="AJ13" s="288">
        <f t="shared" si="1"/>
        <v>360</v>
      </c>
      <c r="AK13" s="263">
        <v>2690</v>
      </c>
      <c r="AL13" s="263">
        <v>2432</v>
      </c>
      <c r="AM13" s="263">
        <f t="shared" ref="AM13" si="3">AL13/AJ13</f>
        <v>6.7555555555555555</v>
      </c>
      <c r="AN13" s="261"/>
      <c r="AO13" s="261"/>
      <c r="AP13" s="261"/>
      <c r="AQ13" s="261"/>
      <c r="AR13" s="261"/>
      <c r="AS13" s="261"/>
      <c r="AT13" s="261" t="s">
        <v>75</v>
      </c>
      <c r="AU13" s="261" t="s">
        <v>75</v>
      </c>
      <c r="AV13" s="293" t="s">
        <v>423</v>
      </c>
      <c r="AW13" s="261"/>
      <c r="AX13" s="261"/>
      <c r="AY13" s="261"/>
      <c r="AZ13" s="261"/>
      <c r="BA13" s="261"/>
      <c r="BB13" s="261"/>
      <c r="BC13" s="261"/>
      <c r="BD13" s="261"/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</row>
    <row r="14" spans="1:301" s="342" customFormat="1" ht="18.75" customHeight="1">
      <c r="A14" s="260">
        <v>635</v>
      </c>
      <c r="B14" s="261" t="s">
        <v>353</v>
      </c>
      <c r="C14" s="261" t="s">
        <v>1299</v>
      </c>
      <c r="D14" s="262">
        <v>38565</v>
      </c>
      <c r="E14" s="262">
        <v>38626</v>
      </c>
      <c r="F14" s="261" t="s">
        <v>5</v>
      </c>
      <c r="G14" s="273" t="s">
        <v>1451</v>
      </c>
      <c r="H14" s="261" t="s">
        <v>359</v>
      </c>
      <c r="I14" s="254" t="s">
        <v>2331</v>
      </c>
      <c r="J14" s="263">
        <v>4500</v>
      </c>
      <c r="K14" s="263">
        <v>0</v>
      </c>
      <c r="L14" s="263">
        <v>32720</v>
      </c>
      <c r="M14" s="263">
        <v>32720</v>
      </c>
      <c r="N14" s="256">
        <f t="shared" si="2"/>
        <v>7.2711111111111109</v>
      </c>
      <c r="O14" s="263" t="s">
        <v>66</v>
      </c>
      <c r="P14" s="263">
        <f>800*5</f>
        <v>4000</v>
      </c>
      <c r="Q14" s="263">
        <f>800*5</f>
        <v>4000</v>
      </c>
      <c r="R14" s="263">
        <f>800*5</f>
        <v>4000</v>
      </c>
      <c r="S14" s="263" t="s">
        <v>233</v>
      </c>
      <c r="T14" s="263">
        <v>45</v>
      </c>
      <c r="U14" s="263">
        <v>4500</v>
      </c>
      <c r="V14" s="263" t="s">
        <v>66</v>
      </c>
      <c r="W14" s="263" t="s">
        <v>66</v>
      </c>
      <c r="X14" s="349"/>
      <c r="Y14" s="263" t="s">
        <v>134</v>
      </c>
      <c r="Z14" s="263" t="s">
        <v>75</v>
      </c>
      <c r="AA14" s="263" t="s">
        <v>134</v>
      </c>
      <c r="AB14" s="263">
        <v>65</v>
      </c>
      <c r="AC14" s="263">
        <v>20</v>
      </c>
      <c r="AD14" s="263" t="s">
        <v>75</v>
      </c>
      <c r="AE14" s="263" t="s">
        <v>75</v>
      </c>
      <c r="AF14" s="263" t="s">
        <v>75</v>
      </c>
      <c r="AG14" s="263" t="s">
        <v>75</v>
      </c>
      <c r="AH14" s="263" t="s">
        <v>75</v>
      </c>
      <c r="AI14" s="263" t="s">
        <v>75</v>
      </c>
      <c r="AJ14" s="288">
        <f t="shared" si="1"/>
        <v>0</v>
      </c>
      <c r="AK14" s="263">
        <v>0</v>
      </c>
      <c r="AL14" s="263">
        <v>127</v>
      </c>
      <c r="AM14" s="330"/>
      <c r="AN14" s="261"/>
      <c r="AO14" s="261" t="s">
        <v>75</v>
      </c>
      <c r="AP14" s="261" t="s">
        <v>75</v>
      </c>
      <c r="AQ14" s="261" t="s">
        <v>75</v>
      </c>
      <c r="AR14" s="261" t="s">
        <v>75</v>
      </c>
      <c r="AS14" s="261" t="s">
        <v>75</v>
      </c>
      <c r="AT14" s="261" t="s">
        <v>75</v>
      </c>
      <c r="AU14" s="261" t="s">
        <v>75</v>
      </c>
      <c r="AV14" s="293" t="s">
        <v>360</v>
      </c>
      <c r="AW14" s="261"/>
      <c r="AX14" s="261"/>
      <c r="AY14" s="261"/>
      <c r="AZ14" s="261"/>
      <c r="BA14" s="261"/>
      <c r="BB14" s="261"/>
      <c r="BC14" s="261"/>
      <c r="BD14" s="261"/>
      <c r="BE14" s="261"/>
      <c r="BF14" s="261"/>
      <c r="BG14" s="261"/>
      <c r="BH14" s="261"/>
      <c r="BI14" s="261"/>
      <c r="BJ14" s="261"/>
      <c r="BK14" s="261"/>
      <c r="BL14" s="261"/>
      <c r="BM14" s="261"/>
      <c r="BN14" s="261"/>
    </row>
    <row r="15" spans="1:301" s="388" customFormat="1" ht="18.75" customHeight="1">
      <c r="A15" s="260">
        <v>636</v>
      </c>
      <c r="B15" s="388" t="s">
        <v>121</v>
      </c>
      <c r="C15" s="388" t="s">
        <v>1261</v>
      </c>
      <c r="D15" s="325">
        <v>38412</v>
      </c>
      <c r="E15" s="325">
        <v>39203</v>
      </c>
      <c r="F15" s="377" t="s">
        <v>5</v>
      </c>
      <c r="G15" s="252" t="s">
        <v>1451</v>
      </c>
      <c r="H15" s="388" t="s">
        <v>217</v>
      </c>
      <c r="I15" s="278" t="s">
        <v>2438</v>
      </c>
      <c r="J15" s="318">
        <v>400000</v>
      </c>
      <c r="K15" s="327">
        <v>5501605</v>
      </c>
      <c r="L15" s="327">
        <v>2087125</v>
      </c>
      <c r="M15" s="318">
        <v>2087125</v>
      </c>
      <c r="N15" s="256">
        <f t="shared" si="2"/>
        <v>5.2178125</v>
      </c>
      <c r="O15" s="318">
        <v>34</v>
      </c>
      <c r="P15" s="327" t="s">
        <v>75</v>
      </c>
      <c r="Q15" s="327" t="s">
        <v>75</v>
      </c>
      <c r="R15" s="318" t="s">
        <v>75</v>
      </c>
      <c r="S15" s="318" t="s">
        <v>233</v>
      </c>
      <c r="T15" s="327" t="s">
        <v>75</v>
      </c>
      <c r="U15" s="318" t="s">
        <v>75</v>
      </c>
      <c r="V15" s="318">
        <v>99999</v>
      </c>
      <c r="W15" s="318">
        <v>33999.660000000003</v>
      </c>
      <c r="X15" s="318"/>
      <c r="Y15" s="318" t="s">
        <v>206</v>
      </c>
      <c r="Z15" s="318" t="s">
        <v>2</v>
      </c>
      <c r="AA15" s="318" t="s">
        <v>134</v>
      </c>
      <c r="AB15" s="318" t="s">
        <v>134</v>
      </c>
      <c r="AC15" s="318" t="s">
        <v>75</v>
      </c>
      <c r="AD15" s="318" t="s">
        <v>75</v>
      </c>
      <c r="AE15" s="327">
        <v>6250</v>
      </c>
      <c r="AF15" s="327" t="s">
        <v>75</v>
      </c>
      <c r="AG15" s="327" t="s">
        <v>75</v>
      </c>
      <c r="AH15" s="318" t="s">
        <v>75</v>
      </c>
      <c r="AI15" s="327" t="s">
        <v>75</v>
      </c>
      <c r="AJ15" s="301">
        <f t="shared" si="1"/>
        <v>0</v>
      </c>
      <c r="AK15" s="318" t="s">
        <v>66</v>
      </c>
      <c r="AL15" s="318" t="s">
        <v>66</v>
      </c>
      <c r="AM15" s="330"/>
      <c r="AO15" s="342" t="s">
        <v>75</v>
      </c>
      <c r="AP15" s="342" t="s">
        <v>75</v>
      </c>
      <c r="AQ15" s="342" t="s">
        <v>75</v>
      </c>
      <c r="AR15" s="342" t="s">
        <v>75</v>
      </c>
      <c r="AS15" s="342" t="s">
        <v>75</v>
      </c>
      <c r="AT15" s="342" t="s">
        <v>75</v>
      </c>
      <c r="AU15" s="342" t="s">
        <v>75</v>
      </c>
      <c r="AV15" s="377" t="s">
        <v>218</v>
      </c>
      <c r="BN15" s="342"/>
      <c r="BO15" s="342"/>
      <c r="BP15" s="342"/>
      <c r="BQ15" s="342"/>
      <c r="BR15" s="342"/>
      <c r="BS15" s="342"/>
      <c r="BT15" s="342"/>
      <c r="BU15" s="342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42"/>
      <c r="CG15" s="342"/>
      <c r="CH15" s="342"/>
      <c r="CI15" s="342"/>
      <c r="CJ15" s="342"/>
      <c r="CK15" s="342"/>
      <c r="CL15" s="342"/>
      <c r="CM15" s="342"/>
      <c r="CN15" s="342"/>
      <c r="CO15" s="342"/>
      <c r="CP15" s="342"/>
      <c r="CQ15" s="342"/>
      <c r="CR15" s="342"/>
      <c r="CS15" s="342"/>
      <c r="CT15" s="342"/>
      <c r="CU15" s="342"/>
      <c r="CV15" s="342"/>
      <c r="CW15" s="342"/>
      <c r="CX15" s="342"/>
      <c r="CY15" s="342"/>
      <c r="CZ15" s="342"/>
      <c r="DA15" s="342"/>
      <c r="DB15" s="342"/>
      <c r="DC15" s="342"/>
      <c r="DD15" s="342"/>
      <c r="DE15" s="342"/>
      <c r="DF15" s="342"/>
      <c r="DG15" s="342"/>
      <c r="DH15" s="342"/>
      <c r="DI15" s="342"/>
      <c r="DJ15" s="342"/>
      <c r="DK15" s="342"/>
      <c r="DL15" s="342"/>
      <c r="DM15" s="342"/>
      <c r="DN15" s="342"/>
      <c r="DO15" s="342"/>
      <c r="DP15" s="342"/>
      <c r="DQ15" s="342"/>
      <c r="DR15" s="342"/>
      <c r="DS15" s="342"/>
      <c r="DT15" s="342"/>
      <c r="DU15" s="342"/>
      <c r="DV15" s="342"/>
      <c r="DW15" s="342"/>
      <c r="DX15" s="342"/>
      <c r="DY15" s="342"/>
      <c r="DZ15" s="342"/>
      <c r="EA15" s="342"/>
      <c r="EB15" s="342"/>
      <c r="EC15" s="342"/>
      <c r="ED15" s="342"/>
      <c r="EE15" s="342"/>
      <c r="EF15" s="342"/>
      <c r="EG15" s="342"/>
      <c r="EH15" s="342"/>
      <c r="EI15" s="342"/>
      <c r="EJ15" s="342"/>
      <c r="EK15" s="342"/>
      <c r="EL15" s="342"/>
      <c r="EM15" s="342"/>
      <c r="EN15" s="342"/>
      <c r="EO15" s="342"/>
      <c r="EP15" s="342"/>
      <c r="EQ15" s="342"/>
      <c r="ER15" s="342"/>
      <c r="ES15" s="342"/>
      <c r="ET15" s="342"/>
      <c r="EU15" s="342"/>
      <c r="EV15" s="342"/>
      <c r="EW15" s="342"/>
      <c r="EX15" s="342"/>
      <c r="EY15" s="342"/>
      <c r="EZ15" s="342"/>
      <c r="FA15" s="342"/>
      <c r="FB15" s="342"/>
      <c r="FC15" s="342"/>
      <c r="FD15" s="342"/>
      <c r="FE15" s="342"/>
      <c r="FF15" s="342"/>
      <c r="FG15" s="342"/>
      <c r="FH15" s="342"/>
      <c r="FI15" s="342"/>
      <c r="FJ15" s="342"/>
      <c r="FK15" s="342"/>
      <c r="FL15" s="342"/>
      <c r="FM15" s="342"/>
      <c r="FN15" s="342"/>
      <c r="FO15" s="342"/>
      <c r="FP15" s="342"/>
      <c r="FQ15" s="342"/>
      <c r="FR15" s="342"/>
      <c r="FS15" s="342"/>
      <c r="FT15" s="342"/>
      <c r="FU15" s="342"/>
      <c r="FV15" s="342"/>
      <c r="FW15" s="342"/>
      <c r="FX15" s="342"/>
      <c r="FY15" s="342"/>
      <c r="FZ15" s="342"/>
      <c r="GA15" s="342"/>
      <c r="GB15" s="342"/>
      <c r="GC15" s="342"/>
      <c r="GD15" s="342"/>
      <c r="GE15" s="342"/>
      <c r="GF15" s="342"/>
      <c r="GG15" s="342"/>
      <c r="GH15" s="342"/>
      <c r="GI15" s="342"/>
      <c r="GJ15" s="342"/>
      <c r="GK15" s="342"/>
      <c r="GL15" s="342"/>
      <c r="GM15" s="342"/>
      <c r="GN15" s="342"/>
      <c r="GO15" s="342"/>
      <c r="GP15" s="342"/>
      <c r="GQ15" s="342"/>
      <c r="GR15" s="342"/>
      <c r="GS15" s="342"/>
      <c r="GT15" s="342"/>
      <c r="GU15" s="342"/>
      <c r="GV15" s="342"/>
      <c r="GW15" s="342"/>
      <c r="GX15" s="342"/>
      <c r="GY15" s="342"/>
      <c r="GZ15" s="342"/>
      <c r="HA15" s="342"/>
      <c r="HB15" s="342"/>
      <c r="HC15" s="342"/>
      <c r="HD15" s="342"/>
      <c r="HE15" s="342"/>
      <c r="HF15" s="342"/>
      <c r="HG15" s="342"/>
      <c r="HH15" s="342"/>
      <c r="HI15" s="342"/>
      <c r="HJ15" s="342"/>
      <c r="HK15" s="342"/>
      <c r="KO15" s="342"/>
    </row>
    <row r="16" spans="1:301" s="342" customFormat="1" ht="18.75" customHeight="1">
      <c r="A16" s="260">
        <v>637</v>
      </c>
      <c r="B16" s="304" t="s">
        <v>2050</v>
      </c>
      <c r="C16" s="342" t="s">
        <v>1286</v>
      </c>
      <c r="D16" s="317">
        <v>38626</v>
      </c>
      <c r="E16" s="317">
        <v>39052</v>
      </c>
      <c r="F16" s="304" t="s">
        <v>164</v>
      </c>
      <c r="G16" s="273" t="s">
        <v>1450</v>
      </c>
      <c r="H16" s="304" t="s">
        <v>163</v>
      </c>
      <c r="I16" s="278" t="s">
        <v>2438</v>
      </c>
      <c r="J16" s="330">
        <v>70000</v>
      </c>
      <c r="K16" s="330">
        <v>1918000</v>
      </c>
      <c r="L16" s="330">
        <v>1517222</v>
      </c>
      <c r="M16" s="330">
        <v>1483601</v>
      </c>
      <c r="N16" s="256">
        <f t="shared" si="2"/>
        <v>21.194299999999998</v>
      </c>
      <c r="O16" s="318">
        <f>(L16*100)/K16</f>
        <v>79.104379562043789</v>
      </c>
      <c r="P16" s="348"/>
      <c r="Q16" s="318">
        <f>100*20</f>
        <v>2000</v>
      </c>
      <c r="R16" s="318">
        <v>2000</v>
      </c>
      <c r="S16" s="318" t="s">
        <v>233</v>
      </c>
      <c r="T16" s="318" t="s">
        <v>75</v>
      </c>
      <c r="U16" s="318" t="s">
        <v>75</v>
      </c>
      <c r="V16" s="330" t="s">
        <v>66</v>
      </c>
      <c r="W16" s="330">
        <v>13542</v>
      </c>
      <c r="X16" s="349">
        <f t="shared" ref="X16:X22" si="4">W16/R16</f>
        <v>6.7709999999999999</v>
      </c>
      <c r="Y16" s="318"/>
      <c r="Z16" s="330"/>
      <c r="AA16" s="318"/>
      <c r="AB16" s="318"/>
      <c r="AC16" s="318"/>
      <c r="AD16" s="318"/>
      <c r="AE16" s="318"/>
      <c r="AF16" s="330"/>
      <c r="AG16" s="330"/>
      <c r="AH16" s="318"/>
      <c r="AI16" s="318"/>
      <c r="AJ16" s="288">
        <f t="shared" si="1"/>
        <v>0</v>
      </c>
      <c r="AK16" s="330" t="s">
        <v>66</v>
      </c>
      <c r="AL16" s="330">
        <v>90980</v>
      </c>
      <c r="AM16" s="330"/>
      <c r="AO16" s="304"/>
      <c r="AP16" s="304"/>
      <c r="AQ16" s="304"/>
      <c r="AR16" s="304"/>
      <c r="AS16" s="304"/>
      <c r="AT16" s="342" t="s">
        <v>187</v>
      </c>
      <c r="AU16" s="342" t="s">
        <v>205</v>
      </c>
      <c r="AV16" s="415" t="s">
        <v>165</v>
      </c>
    </row>
    <row r="17" spans="1:301" s="388" customFormat="1" ht="18.75" customHeight="1">
      <c r="A17" s="260">
        <v>638</v>
      </c>
      <c r="B17" s="261" t="s">
        <v>1180</v>
      </c>
      <c r="C17" s="362" t="s">
        <v>1261</v>
      </c>
      <c r="D17" s="262">
        <v>38534</v>
      </c>
      <c r="E17" s="485">
        <v>38808</v>
      </c>
      <c r="F17" s="362" t="s">
        <v>5</v>
      </c>
      <c r="G17" s="252" t="s">
        <v>1451</v>
      </c>
      <c r="H17" s="362" t="s">
        <v>409</v>
      </c>
      <c r="I17" s="254" t="s">
        <v>2331</v>
      </c>
      <c r="J17" s="263">
        <v>16093</v>
      </c>
      <c r="K17" s="402">
        <v>345000</v>
      </c>
      <c r="L17" s="402">
        <v>316117</v>
      </c>
      <c r="M17" s="402">
        <v>316117</v>
      </c>
      <c r="N17" s="256">
        <f t="shared" si="2"/>
        <v>19.643136767538682</v>
      </c>
      <c r="O17" s="402">
        <v>91.6</v>
      </c>
      <c r="P17" s="402">
        <v>16093</v>
      </c>
      <c r="Q17" s="402" t="s">
        <v>75</v>
      </c>
      <c r="R17" s="402">
        <v>16093</v>
      </c>
      <c r="S17" s="402" t="s">
        <v>233</v>
      </c>
      <c r="T17" s="402" t="s">
        <v>75</v>
      </c>
      <c r="U17" s="402" t="s">
        <v>75</v>
      </c>
      <c r="V17" s="263" t="s">
        <v>66</v>
      </c>
      <c r="W17" s="402" t="s">
        <v>66</v>
      </c>
      <c r="X17" s="349"/>
      <c r="Y17" s="402" t="s">
        <v>75</v>
      </c>
      <c r="Z17" s="402" t="s">
        <v>75</v>
      </c>
      <c r="AA17" s="402" t="s">
        <v>75</v>
      </c>
      <c r="AB17" s="402" t="s">
        <v>75</v>
      </c>
      <c r="AC17" s="402" t="s">
        <v>75</v>
      </c>
      <c r="AD17" s="402" t="s">
        <v>75</v>
      </c>
      <c r="AE17" s="402" t="s">
        <v>75</v>
      </c>
      <c r="AF17" s="402" t="s">
        <v>75</v>
      </c>
      <c r="AG17" s="402" t="s">
        <v>75</v>
      </c>
      <c r="AH17" s="402" t="s">
        <v>75</v>
      </c>
      <c r="AI17" s="402" t="s">
        <v>75</v>
      </c>
      <c r="AJ17" s="301">
        <f t="shared" si="1"/>
        <v>0</v>
      </c>
      <c r="AK17" s="263" t="s">
        <v>66</v>
      </c>
      <c r="AL17" s="402" t="s">
        <v>66</v>
      </c>
      <c r="AM17" s="330"/>
      <c r="AN17" s="362"/>
      <c r="AO17" s="362" t="s">
        <v>75</v>
      </c>
      <c r="AP17" s="362" t="s">
        <v>75</v>
      </c>
      <c r="AQ17" s="362" t="s">
        <v>75</v>
      </c>
      <c r="AR17" s="362" t="s">
        <v>75</v>
      </c>
      <c r="AS17" s="362" t="s">
        <v>75</v>
      </c>
      <c r="AT17" s="362" t="s">
        <v>75</v>
      </c>
      <c r="AU17" s="362" t="s">
        <v>75</v>
      </c>
      <c r="AV17" s="403" t="s">
        <v>410</v>
      </c>
      <c r="AW17" s="362"/>
      <c r="AX17" s="362"/>
      <c r="AY17" s="362"/>
      <c r="AZ17" s="362"/>
      <c r="BA17" s="362"/>
      <c r="BB17" s="362"/>
      <c r="BC17" s="362"/>
      <c r="BD17" s="362"/>
      <c r="BE17" s="362"/>
      <c r="BF17" s="362"/>
      <c r="BG17" s="362"/>
      <c r="BH17" s="362"/>
      <c r="BI17" s="362"/>
      <c r="BJ17" s="362"/>
      <c r="BK17" s="362"/>
      <c r="BL17" s="362"/>
      <c r="BM17" s="362"/>
      <c r="BN17" s="261"/>
      <c r="BO17" s="342"/>
      <c r="BP17" s="342"/>
      <c r="BQ17" s="342"/>
      <c r="BR17" s="342"/>
      <c r="BS17" s="342"/>
      <c r="BT17" s="342"/>
      <c r="BU17" s="342"/>
      <c r="BV17" s="342"/>
      <c r="BW17" s="342"/>
      <c r="BX17" s="342"/>
      <c r="BY17" s="342"/>
      <c r="BZ17" s="342"/>
      <c r="CA17" s="342"/>
      <c r="CB17" s="342"/>
      <c r="CC17" s="342"/>
      <c r="CD17" s="342"/>
      <c r="CE17" s="342"/>
      <c r="CF17" s="342"/>
      <c r="CG17" s="342"/>
      <c r="CH17" s="342"/>
      <c r="CI17" s="342"/>
      <c r="CJ17" s="342"/>
      <c r="CK17" s="342"/>
      <c r="CL17" s="342"/>
      <c r="CM17" s="342"/>
      <c r="CN17" s="342"/>
      <c r="CO17" s="342"/>
      <c r="CP17" s="342"/>
      <c r="CQ17" s="342"/>
      <c r="CR17" s="342"/>
      <c r="CS17" s="342"/>
      <c r="CT17" s="342"/>
      <c r="CU17" s="342"/>
      <c r="CV17" s="342"/>
      <c r="CW17" s="342"/>
      <c r="CX17" s="342"/>
      <c r="CY17" s="342"/>
      <c r="CZ17" s="342"/>
      <c r="DA17" s="342"/>
      <c r="DB17" s="342"/>
      <c r="DC17" s="342"/>
      <c r="DD17" s="342"/>
      <c r="DE17" s="342"/>
      <c r="DF17" s="342"/>
      <c r="DG17" s="342"/>
      <c r="DH17" s="342"/>
      <c r="DI17" s="342"/>
      <c r="DJ17" s="342"/>
      <c r="DK17" s="342"/>
      <c r="DL17" s="342"/>
      <c r="DM17" s="342"/>
      <c r="DN17" s="342"/>
      <c r="DO17" s="342"/>
      <c r="DP17" s="342"/>
      <c r="DQ17" s="342"/>
      <c r="DR17" s="342"/>
      <c r="DS17" s="342"/>
      <c r="DT17" s="342"/>
      <c r="DU17" s="342"/>
      <c r="DV17" s="342"/>
      <c r="DW17" s="342"/>
      <c r="DX17" s="342"/>
      <c r="DY17" s="342"/>
      <c r="DZ17" s="342"/>
      <c r="EA17" s="342"/>
      <c r="EB17" s="342"/>
      <c r="EC17" s="342"/>
      <c r="ED17" s="342"/>
      <c r="EE17" s="342"/>
      <c r="EF17" s="342"/>
      <c r="EG17" s="342"/>
      <c r="EH17" s="342"/>
      <c r="EI17" s="342"/>
      <c r="EJ17" s="342"/>
      <c r="EK17" s="342"/>
      <c r="EL17" s="342"/>
      <c r="EM17" s="342"/>
      <c r="EN17" s="342"/>
      <c r="EO17" s="342"/>
      <c r="EP17" s="342"/>
      <c r="EQ17" s="342"/>
      <c r="ER17" s="342"/>
      <c r="ES17" s="342"/>
      <c r="ET17" s="342"/>
      <c r="EU17" s="342"/>
      <c r="EV17" s="342"/>
      <c r="EW17" s="342"/>
      <c r="EX17" s="342"/>
      <c r="EY17" s="342"/>
      <c r="EZ17" s="342"/>
      <c r="FA17" s="342"/>
      <c r="FB17" s="342"/>
      <c r="FC17" s="342"/>
      <c r="FD17" s="342"/>
      <c r="FE17" s="342"/>
      <c r="FF17" s="342"/>
      <c r="FG17" s="342"/>
      <c r="FH17" s="342"/>
      <c r="FI17" s="342"/>
      <c r="FJ17" s="342"/>
      <c r="FK17" s="342"/>
      <c r="FL17" s="342"/>
      <c r="FM17" s="342"/>
      <c r="FN17" s="342"/>
      <c r="FO17" s="342"/>
      <c r="FP17" s="342"/>
      <c r="FQ17" s="342"/>
      <c r="FR17" s="342"/>
      <c r="FS17" s="342"/>
      <c r="FT17" s="342"/>
      <c r="FU17" s="342"/>
      <c r="FV17" s="342"/>
      <c r="FW17" s="342"/>
      <c r="FX17" s="342"/>
      <c r="FY17" s="342"/>
      <c r="FZ17" s="342"/>
      <c r="GA17" s="342"/>
      <c r="GB17" s="342"/>
      <c r="GC17" s="342"/>
      <c r="GD17" s="342"/>
      <c r="GE17" s="342"/>
      <c r="GF17" s="342"/>
      <c r="GG17" s="342"/>
      <c r="GH17" s="342"/>
      <c r="GI17" s="342"/>
      <c r="GJ17" s="342"/>
      <c r="GK17" s="342"/>
      <c r="GL17" s="342"/>
      <c r="GM17" s="342"/>
      <c r="GN17" s="342"/>
      <c r="GO17" s="342"/>
      <c r="GP17" s="342"/>
      <c r="GQ17" s="342"/>
      <c r="GR17" s="342"/>
      <c r="GS17" s="342"/>
      <c r="GT17" s="342"/>
      <c r="GU17" s="342"/>
      <c r="GV17" s="342"/>
      <c r="GW17" s="342"/>
      <c r="GX17" s="342"/>
      <c r="GY17" s="342"/>
      <c r="GZ17" s="342"/>
      <c r="HA17" s="342"/>
      <c r="HB17" s="342"/>
      <c r="HC17" s="342"/>
      <c r="HD17" s="342"/>
      <c r="HE17" s="342"/>
      <c r="HF17" s="342"/>
      <c r="HG17" s="342"/>
      <c r="HH17" s="342"/>
      <c r="HI17" s="342"/>
      <c r="HJ17" s="342"/>
      <c r="HK17" s="342"/>
      <c r="KO17" s="342"/>
    </row>
    <row r="18" spans="1:301" s="388" customFormat="1" ht="18.75" customHeight="1">
      <c r="A18" s="260">
        <v>639</v>
      </c>
      <c r="B18" s="377" t="s">
        <v>270</v>
      </c>
      <c r="C18" s="377" t="s">
        <v>1299</v>
      </c>
      <c r="D18" s="325">
        <v>38384</v>
      </c>
      <c r="E18" s="325">
        <v>38565</v>
      </c>
      <c r="F18" s="377" t="s">
        <v>271</v>
      </c>
      <c r="G18" s="252" t="s">
        <v>1449</v>
      </c>
      <c r="H18" s="388" t="s">
        <v>281</v>
      </c>
      <c r="I18" s="278" t="s">
        <v>2438</v>
      </c>
      <c r="J18" s="318">
        <v>200000</v>
      </c>
      <c r="K18" s="327">
        <v>258000</v>
      </c>
      <c r="L18" s="327">
        <v>187229</v>
      </c>
      <c r="M18" s="318">
        <v>187229</v>
      </c>
      <c r="N18" s="256">
        <f t="shared" si="2"/>
        <v>0.936145</v>
      </c>
      <c r="O18" s="327">
        <f>(100*L18)/K18</f>
        <v>72.569379844961247</v>
      </c>
      <c r="P18" s="327">
        <v>1503500</v>
      </c>
      <c r="Q18" s="327">
        <v>160</v>
      </c>
      <c r="R18" s="318">
        <v>1503500</v>
      </c>
      <c r="S18" s="318" t="s">
        <v>267</v>
      </c>
      <c r="T18" s="327">
        <v>146</v>
      </c>
      <c r="U18" s="318">
        <v>250760</v>
      </c>
      <c r="V18" s="318">
        <v>57002</v>
      </c>
      <c r="W18" s="318">
        <v>37946</v>
      </c>
      <c r="X18" s="349">
        <f t="shared" si="4"/>
        <v>2.5238443631526438E-2</v>
      </c>
      <c r="Y18" s="318" t="s">
        <v>206</v>
      </c>
      <c r="Z18" s="318" t="s">
        <v>75</v>
      </c>
      <c r="AA18" s="318" t="s">
        <v>134</v>
      </c>
      <c r="AB18" s="327">
        <v>496</v>
      </c>
      <c r="AC18" s="318" t="s">
        <v>134</v>
      </c>
      <c r="AD18" s="318"/>
      <c r="AE18" s="318" t="s">
        <v>75</v>
      </c>
      <c r="AF18" s="318" t="s">
        <v>75</v>
      </c>
      <c r="AG18" s="318" t="s">
        <v>75</v>
      </c>
      <c r="AH18" s="318" t="s">
        <v>134</v>
      </c>
      <c r="AI18" s="318" t="s">
        <v>75</v>
      </c>
      <c r="AJ18" s="301">
        <f t="shared" si="1"/>
        <v>0</v>
      </c>
      <c r="AK18" s="318">
        <v>13000</v>
      </c>
      <c r="AL18" s="318">
        <v>1374</v>
      </c>
      <c r="AM18" s="330"/>
      <c r="AO18" s="342" t="s">
        <v>75</v>
      </c>
      <c r="AP18" s="342" t="s">
        <v>75</v>
      </c>
      <c r="AQ18" s="342" t="s">
        <v>75</v>
      </c>
      <c r="AR18" s="342" t="s">
        <v>75</v>
      </c>
      <c r="AS18" s="342" t="s">
        <v>75</v>
      </c>
      <c r="AT18" s="342" t="s">
        <v>75</v>
      </c>
      <c r="AU18" s="342" t="s">
        <v>75</v>
      </c>
      <c r="AV18" s="404" t="s">
        <v>272</v>
      </c>
      <c r="BN18" s="342"/>
      <c r="BO18" s="342"/>
      <c r="BP18" s="342"/>
      <c r="BQ18" s="342"/>
      <c r="BR18" s="342"/>
      <c r="BS18" s="342"/>
      <c r="BT18" s="342"/>
      <c r="BU18" s="342"/>
      <c r="BV18" s="342"/>
      <c r="BW18" s="342"/>
      <c r="BX18" s="342"/>
      <c r="BY18" s="342"/>
      <c r="BZ18" s="342"/>
      <c r="CA18" s="342"/>
      <c r="CB18" s="342"/>
      <c r="CC18" s="342"/>
      <c r="CD18" s="342"/>
      <c r="CE18" s="342"/>
      <c r="CF18" s="342"/>
      <c r="CG18" s="342"/>
      <c r="CH18" s="342"/>
      <c r="CI18" s="342"/>
      <c r="CJ18" s="342"/>
      <c r="CK18" s="342"/>
      <c r="CL18" s="342"/>
      <c r="CM18" s="342"/>
      <c r="CN18" s="342"/>
      <c r="CO18" s="342"/>
      <c r="CP18" s="342"/>
      <c r="CQ18" s="342"/>
      <c r="CR18" s="342"/>
      <c r="CS18" s="342"/>
      <c r="CT18" s="342"/>
      <c r="CU18" s="342"/>
      <c r="CV18" s="342"/>
      <c r="CW18" s="342"/>
      <c r="CX18" s="342"/>
      <c r="CY18" s="342"/>
      <c r="CZ18" s="342"/>
      <c r="DA18" s="342"/>
      <c r="DB18" s="342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2"/>
      <c r="EE18" s="342"/>
      <c r="EF18" s="342"/>
      <c r="EG18" s="342"/>
      <c r="EH18" s="342"/>
      <c r="EI18" s="342"/>
      <c r="EJ18" s="342"/>
      <c r="EK18" s="342"/>
      <c r="EL18" s="342"/>
      <c r="EM18" s="342"/>
      <c r="EN18" s="342"/>
      <c r="EO18" s="342"/>
      <c r="EP18" s="342"/>
      <c r="EQ18" s="342"/>
      <c r="ER18" s="342"/>
      <c r="ES18" s="342"/>
      <c r="ET18" s="342"/>
      <c r="EU18" s="342"/>
      <c r="EV18" s="342"/>
      <c r="EW18" s="342"/>
      <c r="EX18" s="342"/>
      <c r="EY18" s="342"/>
      <c r="EZ18" s="342"/>
      <c r="FA18" s="342"/>
      <c r="FB18" s="342"/>
      <c r="FC18" s="342"/>
      <c r="FD18" s="342"/>
      <c r="FE18" s="342"/>
      <c r="FF18" s="342"/>
      <c r="FG18" s="342"/>
      <c r="FH18" s="342"/>
      <c r="FI18" s="342"/>
      <c r="FJ18" s="342"/>
      <c r="FK18" s="342"/>
      <c r="FL18" s="342"/>
      <c r="FM18" s="342"/>
      <c r="FN18" s="342"/>
      <c r="FO18" s="342"/>
      <c r="FP18" s="342"/>
      <c r="FQ18" s="342"/>
      <c r="FR18" s="342"/>
      <c r="FS18" s="342"/>
      <c r="FT18" s="342"/>
      <c r="FU18" s="342"/>
      <c r="FV18" s="342"/>
      <c r="FW18" s="342"/>
      <c r="FX18" s="342"/>
      <c r="FY18" s="342"/>
      <c r="FZ18" s="342"/>
      <c r="GA18" s="342"/>
      <c r="GB18" s="342"/>
      <c r="GC18" s="342"/>
      <c r="GD18" s="342"/>
      <c r="GE18" s="342"/>
      <c r="GF18" s="342"/>
      <c r="GG18" s="342"/>
      <c r="GH18" s="342"/>
      <c r="GI18" s="342"/>
      <c r="GJ18" s="342"/>
      <c r="GK18" s="342"/>
      <c r="GL18" s="342"/>
      <c r="GM18" s="342"/>
      <c r="GN18" s="342"/>
      <c r="GO18" s="342"/>
      <c r="GP18" s="342"/>
      <c r="GQ18" s="342"/>
      <c r="GR18" s="342"/>
      <c r="GS18" s="342"/>
      <c r="GT18" s="342"/>
      <c r="GU18" s="342"/>
      <c r="GV18" s="342"/>
      <c r="GW18" s="342"/>
      <c r="GX18" s="342"/>
      <c r="GY18" s="342"/>
      <c r="GZ18" s="342"/>
      <c r="HA18" s="342"/>
      <c r="HB18" s="342"/>
      <c r="HC18" s="342"/>
      <c r="HD18" s="342"/>
      <c r="HE18" s="342"/>
      <c r="HF18" s="342"/>
      <c r="HG18" s="342"/>
      <c r="HH18" s="342"/>
      <c r="HI18" s="342"/>
      <c r="HJ18" s="342"/>
      <c r="HK18" s="342"/>
      <c r="KO18" s="342"/>
    </row>
    <row r="19" spans="1:301" s="388" customFormat="1" ht="18.75" customHeight="1">
      <c r="A19" s="260">
        <v>640</v>
      </c>
      <c r="B19" s="261" t="s">
        <v>1169</v>
      </c>
      <c r="C19" s="261" t="s">
        <v>1286</v>
      </c>
      <c r="D19" s="351">
        <v>38626</v>
      </c>
      <c r="E19" s="351">
        <v>39173</v>
      </c>
      <c r="F19" s="261" t="s">
        <v>2007</v>
      </c>
      <c r="G19" s="285" t="s">
        <v>2169</v>
      </c>
      <c r="H19" s="427" t="s">
        <v>2006</v>
      </c>
      <c r="I19" s="278" t="s">
        <v>2438</v>
      </c>
      <c r="J19" s="263">
        <v>21000</v>
      </c>
      <c r="K19" s="298">
        <v>1288326</v>
      </c>
      <c r="L19" s="298">
        <v>712630</v>
      </c>
      <c r="M19" s="298">
        <v>712630</v>
      </c>
      <c r="N19" s="256">
        <f t="shared" si="2"/>
        <v>33.934761904761906</v>
      </c>
      <c r="O19" s="298">
        <v>55.3</v>
      </c>
      <c r="P19" s="298">
        <f>2500+1038+772+247+445</f>
        <v>5002</v>
      </c>
      <c r="Q19" s="298"/>
      <c r="R19" s="298">
        <f>2500+1038+772+247+445</f>
        <v>5002</v>
      </c>
      <c r="S19" s="298"/>
      <c r="T19" s="298"/>
      <c r="U19" s="298">
        <v>5000</v>
      </c>
      <c r="V19" s="298">
        <v>100000</v>
      </c>
      <c r="W19" s="298">
        <v>174889</v>
      </c>
      <c r="X19" s="349">
        <f t="shared" si="4"/>
        <v>34.963814474210317</v>
      </c>
      <c r="Y19" s="298"/>
      <c r="Z19" s="263" t="s">
        <v>134</v>
      </c>
      <c r="AA19" s="263" t="s">
        <v>134</v>
      </c>
      <c r="AB19" s="263" t="s">
        <v>134</v>
      </c>
      <c r="AC19" s="298"/>
      <c r="AD19" s="298"/>
      <c r="AE19" s="298"/>
      <c r="AF19" s="298"/>
      <c r="AG19" s="298"/>
      <c r="AH19" s="298">
        <v>10061</v>
      </c>
      <c r="AI19" s="298">
        <v>134</v>
      </c>
      <c r="AJ19" s="301">
        <f t="shared" si="1"/>
        <v>10061</v>
      </c>
      <c r="AK19" s="298">
        <v>70000</v>
      </c>
      <c r="AL19" s="298">
        <v>47214</v>
      </c>
      <c r="AM19" s="263">
        <f t="shared" ref="AM19:AM21" si="5">AL19/AJ19</f>
        <v>4.6927740781234473</v>
      </c>
      <c r="AN19" s="374"/>
      <c r="AO19" s="374"/>
      <c r="AP19" s="374"/>
      <c r="AQ19" s="374"/>
      <c r="AR19" s="374"/>
      <c r="AS19" s="374"/>
      <c r="AT19" s="374"/>
      <c r="AU19" s="374"/>
      <c r="AV19" s="285" t="s">
        <v>2005</v>
      </c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4"/>
      <c r="BO19" s="342"/>
      <c r="BP19" s="342"/>
      <c r="BQ19" s="342"/>
      <c r="BR19" s="342"/>
      <c r="BS19" s="342"/>
      <c r="BT19" s="342"/>
      <c r="BU19" s="342"/>
      <c r="BV19" s="342"/>
      <c r="BW19" s="342"/>
      <c r="BX19" s="342"/>
      <c r="BY19" s="342"/>
      <c r="BZ19" s="342"/>
      <c r="CA19" s="342"/>
      <c r="CB19" s="342"/>
      <c r="CC19" s="342"/>
      <c r="CD19" s="342"/>
      <c r="CE19" s="342"/>
      <c r="CF19" s="342"/>
      <c r="CG19" s="342"/>
      <c r="CH19" s="342"/>
      <c r="CI19" s="342"/>
      <c r="CJ19" s="342"/>
      <c r="CK19" s="342"/>
      <c r="CL19" s="342"/>
      <c r="CM19" s="342"/>
      <c r="CN19" s="342"/>
      <c r="CO19" s="342"/>
      <c r="CP19" s="342"/>
      <c r="CQ19" s="342"/>
      <c r="CR19" s="342"/>
      <c r="CS19" s="342"/>
      <c r="CT19" s="342"/>
      <c r="CU19" s="342"/>
      <c r="CV19" s="342"/>
      <c r="CW19" s="342"/>
      <c r="CX19" s="342"/>
      <c r="CY19" s="342"/>
      <c r="CZ19" s="342"/>
      <c r="DA19" s="342"/>
      <c r="DB19" s="342"/>
      <c r="DC19" s="342"/>
      <c r="DD19" s="342"/>
      <c r="DE19" s="342"/>
      <c r="DF19" s="342"/>
      <c r="DG19" s="342"/>
      <c r="DH19" s="342"/>
      <c r="DI19" s="342"/>
      <c r="DJ19" s="342"/>
      <c r="DK19" s="342"/>
      <c r="DL19" s="342"/>
      <c r="DM19" s="342"/>
      <c r="DN19" s="342"/>
      <c r="DO19" s="342"/>
      <c r="DP19" s="342"/>
      <c r="DQ19" s="342"/>
      <c r="DR19" s="342"/>
      <c r="DS19" s="342"/>
      <c r="DT19" s="342"/>
      <c r="DU19" s="342"/>
      <c r="DV19" s="342"/>
      <c r="DW19" s="342"/>
      <c r="DX19" s="342"/>
      <c r="DY19" s="342"/>
      <c r="DZ19" s="342"/>
      <c r="EA19" s="342"/>
      <c r="EB19" s="342"/>
      <c r="EC19" s="342"/>
      <c r="ED19" s="342"/>
      <c r="EE19" s="342"/>
      <c r="EF19" s="342"/>
      <c r="EG19" s="342"/>
      <c r="EH19" s="342"/>
      <c r="EI19" s="342"/>
      <c r="EJ19" s="342"/>
      <c r="EK19" s="342"/>
      <c r="EL19" s="342"/>
      <c r="EM19" s="342"/>
      <c r="EN19" s="342"/>
      <c r="EO19" s="342"/>
      <c r="EP19" s="342"/>
      <c r="EQ19" s="342"/>
      <c r="ER19" s="342"/>
      <c r="ES19" s="342"/>
      <c r="ET19" s="342"/>
      <c r="EU19" s="342"/>
      <c r="EV19" s="342"/>
      <c r="EW19" s="342"/>
      <c r="EX19" s="342"/>
      <c r="EY19" s="342"/>
      <c r="EZ19" s="342"/>
      <c r="FA19" s="342"/>
      <c r="FB19" s="342"/>
      <c r="FC19" s="342"/>
      <c r="FD19" s="342"/>
      <c r="FE19" s="342"/>
      <c r="FF19" s="342"/>
      <c r="FG19" s="342"/>
      <c r="FH19" s="342"/>
      <c r="FI19" s="342"/>
      <c r="FJ19" s="342"/>
      <c r="FK19" s="342"/>
      <c r="FL19" s="342"/>
      <c r="FM19" s="342"/>
      <c r="FN19" s="342"/>
      <c r="FO19" s="342"/>
      <c r="FP19" s="342"/>
      <c r="FQ19" s="342"/>
      <c r="FR19" s="342"/>
      <c r="FS19" s="342"/>
      <c r="FT19" s="342"/>
      <c r="FU19" s="342"/>
      <c r="FV19" s="342"/>
      <c r="FW19" s="342"/>
      <c r="FX19" s="342"/>
      <c r="FY19" s="342"/>
      <c r="FZ19" s="342"/>
      <c r="GA19" s="342"/>
      <c r="GB19" s="342"/>
      <c r="GC19" s="342"/>
      <c r="GD19" s="342"/>
      <c r="GE19" s="342"/>
      <c r="GF19" s="342"/>
      <c r="GG19" s="342"/>
      <c r="GH19" s="342"/>
      <c r="GI19" s="342"/>
      <c r="GJ19" s="342"/>
      <c r="GK19" s="342"/>
      <c r="GL19" s="342"/>
      <c r="GM19" s="342"/>
      <c r="GN19" s="342"/>
      <c r="GO19" s="342"/>
      <c r="GP19" s="342"/>
      <c r="GQ19" s="342"/>
      <c r="GR19" s="342"/>
      <c r="GS19" s="342"/>
      <c r="GT19" s="342"/>
      <c r="GU19" s="342"/>
      <c r="GV19" s="342"/>
      <c r="GW19" s="342"/>
      <c r="GX19" s="342"/>
      <c r="GY19" s="342"/>
      <c r="GZ19" s="342"/>
      <c r="HA19" s="342"/>
      <c r="HB19" s="342"/>
      <c r="HC19" s="342"/>
      <c r="HD19" s="342"/>
      <c r="HE19" s="342"/>
      <c r="HF19" s="342"/>
      <c r="HG19" s="342"/>
      <c r="HH19" s="342"/>
      <c r="HI19" s="342"/>
      <c r="HJ19" s="342"/>
      <c r="HK19" s="342"/>
      <c r="KO19" s="342"/>
    </row>
    <row r="20" spans="1:301" s="388" customFormat="1" ht="18.75" customHeight="1">
      <c r="A20" s="260">
        <v>641</v>
      </c>
      <c r="B20" s="261" t="s">
        <v>1998</v>
      </c>
      <c r="C20" s="261" t="s">
        <v>1299</v>
      </c>
      <c r="D20" s="351">
        <v>38353</v>
      </c>
      <c r="E20" s="351">
        <v>38991</v>
      </c>
      <c r="F20" s="261" t="s">
        <v>79</v>
      </c>
      <c r="G20" s="285" t="s">
        <v>1453</v>
      </c>
      <c r="H20" s="285" t="s">
        <v>2001</v>
      </c>
      <c r="I20" s="278" t="s">
        <v>2438</v>
      </c>
      <c r="J20" s="263">
        <v>40000</v>
      </c>
      <c r="K20" s="298">
        <v>5210000</v>
      </c>
      <c r="L20" s="298">
        <v>2733119</v>
      </c>
      <c r="M20" s="298">
        <v>2733119</v>
      </c>
      <c r="N20" s="256">
        <f t="shared" si="2"/>
        <v>68.327974999999995</v>
      </c>
      <c r="O20" s="318">
        <f>(100*L20)/K20</f>
        <v>52.459097888675622</v>
      </c>
      <c r="P20" s="263">
        <f>16150+4200</f>
        <v>20350</v>
      </c>
      <c r="Q20" s="298"/>
      <c r="R20" s="263">
        <f>16150+4200</f>
        <v>20350</v>
      </c>
      <c r="S20" s="298"/>
      <c r="T20" s="298"/>
      <c r="U20" s="298"/>
      <c r="V20" s="298">
        <v>157000</v>
      </c>
      <c r="W20" s="298">
        <v>46674</v>
      </c>
      <c r="X20" s="349">
        <f t="shared" si="4"/>
        <v>2.2935626535626534</v>
      </c>
      <c r="Y20" s="298"/>
      <c r="Z20" s="298"/>
      <c r="AA20" s="298"/>
      <c r="AB20" s="298"/>
      <c r="AC20" s="298">
        <v>80</v>
      </c>
      <c r="AD20" s="298"/>
      <c r="AE20" s="298"/>
      <c r="AF20" s="298"/>
      <c r="AG20" s="298"/>
      <c r="AH20" s="298"/>
      <c r="AI20" s="298"/>
      <c r="AJ20" s="301">
        <f t="shared" si="1"/>
        <v>0</v>
      </c>
      <c r="AK20" s="298"/>
      <c r="AL20" s="298">
        <v>11159</v>
      </c>
      <c r="AM20" s="330"/>
      <c r="AN20" s="374"/>
      <c r="AO20" s="374"/>
      <c r="AP20" s="374"/>
      <c r="AQ20" s="374"/>
      <c r="AR20" s="374"/>
      <c r="AS20" s="374"/>
      <c r="AT20" s="374"/>
      <c r="AU20" s="374"/>
      <c r="AV20" s="285" t="s">
        <v>2000</v>
      </c>
      <c r="AW20" s="285"/>
      <c r="AX20" s="285"/>
      <c r="AY20" s="285"/>
      <c r="AZ20" s="285"/>
      <c r="BA20" s="285"/>
      <c r="BB20" s="285"/>
      <c r="BC20" s="285"/>
      <c r="BD20" s="285"/>
      <c r="BE20" s="285"/>
      <c r="BF20" s="285"/>
      <c r="BG20" s="285"/>
      <c r="BH20" s="285"/>
      <c r="BI20" s="285"/>
      <c r="BJ20" s="285"/>
      <c r="BK20" s="285"/>
      <c r="BL20" s="285"/>
      <c r="BM20" s="285"/>
      <c r="BN20" s="284"/>
      <c r="BO20" s="342"/>
      <c r="BP20" s="342"/>
      <c r="BQ20" s="342"/>
      <c r="BR20" s="342"/>
      <c r="BS20" s="342"/>
      <c r="BT20" s="342"/>
      <c r="BU20" s="342"/>
      <c r="BV20" s="342"/>
      <c r="BW20" s="342"/>
      <c r="BX20" s="342"/>
      <c r="BY20" s="342"/>
      <c r="BZ20" s="342"/>
      <c r="CA20" s="342"/>
      <c r="CB20" s="342"/>
      <c r="CC20" s="342"/>
      <c r="CD20" s="342"/>
      <c r="CE20" s="342"/>
      <c r="CF20" s="342"/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2"/>
      <c r="CZ20" s="342"/>
      <c r="DA20" s="342"/>
      <c r="DB20" s="342"/>
      <c r="DC20" s="342"/>
      <c r="DD20" s="342"/>
      <c r="DE20" s="342"/>
      <c r="DF20" s="342"/>
      <c r="DG20" s="342"/>
      <c r="DH20" s="342"/>
      <c r="DI20" s="342"/>
      <c r="DJ20" s="342"/>
      <c r="DK20" s="342"/>
      <c r="DL20" s="342"/>
      <c r="DM20" s="342"/>
      <c r="DN20" s="342"/>
      <c r="DO20" s="342"/>
      <c r="DP20" s="342"/>
      <c r="DQ20" s="342"/>
      <c r="DR20" s="342"/>
      <c r="DS20" s="342"/>
      <c r="DT20" s="342"/>
      <c r="DU20" s="342"/>
      <c r="DV20" s="342"/>
      <c r="DW20" s="342"/>
      <c r="DX20" s="342"/>
      <c r="DY20" s="342"/>
      <c r="DZ20" s="342"/>
      <c r="EA20" s="342"/>
      <c r="EB20" s="342"/>
      <c r="EC20" s="342"/>
      <c r="ED20" s="342"/>
      <c r="EE20" s="342"/>
      <c r="EF20" s="342"/>
      <c r="EG20" s="342"/>
      <c r="EH20" s="342"/>
      <c r="EI20" s="342"/>
      <c r="EJ20" s="342"/>
      <c r="EK20" s="342"/>
      <c r="EL20" s="342"/>
      <c r="EM20" s="342"/>
      <c r="EN20" s="342"/>
      <c r="EO20" s="342"/>
      <c r="EP20" s="342"/>
      <c r="EQ20" s="342"/>
      <c r="ER20" s="342"/>
      <c r="ES20" s="342"/>
      <c r="ET20" s="342"/>
      <c r="EU20" s="342"/>
      <c r="EV20" s="342"/>
      <c r="EW20" s="342"/>
      <c r="EX20" s="342"/>
      <c r="EY20" s="342"/>
      <c r="EZ20" s="342"/>
      <c r="FA20" s="342"/>
      <c r="FB20" s="342"/>
      <c r="FC20" s="342"/>
      <c r="FD20" s="342"/>
      <c r="FE20" s="342"/>
      <c r="FF20" s="342"/>
      <c r="FG20" s="342"/>
      <c r="FH20" s="342"/>
      <c r="FI20" s="342"/>
      <c r="FJ20" s="342"/>
      <c r="FK20" s="342"/>
      <c r="FL20" s="342"/>
      <c r="FM20" s="342"/>
      <c r="FN20" s="342"/>
      <c r="FO20" s="342"/>
      <c r="FP20" s="342"/>
      <c r="FQ20" s="342"/>
      <c r="FR20" s="342"/>
      <c r="FS20" s="342"/>
      <c r="FT20" s="342"/>
      <c r="FU20" s="342"/>
      <c r="FV20" s="342"/>
      <c r="FW20" s="342"/>
      <c r="FX20" s="342"/>
      <c r="FY20" s="342"/>
      <c r="FZ20" s="342"/>
      <c r="GA20" s="342"/>
      <c r="GB20" s="342"/>
      <c r="GC20" s="342"/>
      <c r="GD20" s="342"/>
      <c r="GE20" s="342"/>
      <c r="GF20" s="342"/>
      <c r="GG20" s="342"/>
      <c r="GH20" s="342"/>
      <c r="GI20" s="342"/>
      <c r="GJ20" s="342"/>
      <c r="GK20" s="342"/>
      <c r="GL20" s="342"/>
      <c r="GM20" s="342"/>
      <c r="GN20" s="342"/>
      <c r="GO20" s="342"/>
      <c r="GP20" s="342"/>
      <c r="GQ20" s="342"/>
      <c r="GR20" s="342"/>
      <c r="GS20" s="342"/>
      <c r="GT20" s="342"/>
      <c r="GU20" s="342"/>
      <c r="GV20" s="342"/>
      <c r="GW20" s="342"/>
      <c r="GX20" s="342"/>
      <c r="GY20" s="342"/>
      <c r="GZ20" s="342"/>
      <c r="HA20" s="342"/>
      <c r="HB20" s="342"/>
      <c r="HC20" s="342"/>
      <c r="HD20" s="342"/>
      <c r="HE20" s="342"/>
      <c r="HF20" s="342"/>
      <c r="HG20" s="342"/>
      <c r="HH20" s="342"/>
      <c r="HI20" s="342"/>
      <c r="HJ20" s="342"/>
      <c r="HK20" s="342"/>
      <c r="KO20" s="342"/>
    </row>
    <row r="21" spans="1:301" s="342" customFormat="1" ht="18.75" customHeight="1">
      <c r="A21" s="260">
        <v>642</v>
      </c>
      <c r="B21" s="342" t="s">
        <v>607</v>
      </c>
      <c r="C21" s="304" t="s">
        <v>1299</v>
      </c>
      <c r="D21" s="317">
        <v>38504</v>
      </c>
      <c r="E21" s="317">
        <v>39661</v>
      </c>
      <c r="F21" s="342" t="s">
        <v>5</v>
      </c>
      <c r="G21" s="273" t="s">
        <v>1451</v>
      </c>
      <c r="H21" s="342" t="s">
        <v>807</v>
      </c>
      <c r="I21" s="278" t="s">
        <v>2438</v>
      </c>
      <c r="J21" s="318">
        <v>43000</v>
      </c>
      <c r="K21" s="318">
        <v>735000</v>
      </c>
      <c r="L21" s="318">
        <v>405362</v>
      </c>
      <c r="M21" s="318">
        <v>405362</v>
      </c>
      <c r="N21" s="256">
        <f t="shared" si="2"/>
        <v>9.4270232558139533</v>
      </c>
      <c r="O21" s="318">
        <f>(100*L21)/K21</f>
        <v>55.151292517006802</v>
      </c>
      <c r="P21" s="318">
        <v>11285</v>
      </c>
      <c r="Q21" s="318">
        <v>11285</v>
      </c>
      <c r="R21" s="318">
        <v>11285</v>
      </c>
      <c r="S21" s="318" t="s">
        <v>2</v>
      </c>
      <c r="T21" s="318" t="s">
        <v>339</v>
      </c>
      <c r="U21" s="318">
        <v>13000</v>
      </c>
      <c r="V21" s="318">
        <v>35000</v>
      </c>
      <c r="W21" s="318">
        <v>19250</v>
      </c>
      <c r="X21" s="349">
        <f t="shared" si="4"/>
        <v>1.7058041648205582</v>
      </c>
      <c r="Y21" s="318">
        <v>13000</v>
      </c>
      <c r="Z21" s="318" t="s">
        <v>75</v>
      </c>
      <c r="AA21" s="318">
        <v>13000</v>
      </c>
      <c r="AB21" s="318">
        <v>69</v>
      </c>
      <c r="AC21" s="318" t="s">
        <v>75</v>
      </c>
      <c r="AD21" s="318" t="s">
        <v>75</v>
      </c>
      <c r="AE21" s="318">
        <v>8000</v>
      </c>
      <c r="AF21" s="318" t="s">
        <v>75</v>
      </c>
      <c r="AG21" s="318" t="s">
        <v>75</v>
      </c>
      <c r="AH21" s="318" t="s">
        <v>75</v>
      </c>
      <c r="AI21" s="318" t="s">
        <v>75</v>
      </c>
      <c r="AJ21" s="288">
        <f t="shared" si="1"/>
        <v>13000</v>
      </c>
      <c r="AK21" s="318">
        <v>22000</v>
      </c>
      <c r="AL21" s="318">
        <v>12100.000000000002</v>
      </c>
      <c r="AM21" s="263">
        <f t="shared" si="5"/>
        <v>0.9307692307692309</v>
      </c>
      <c r="AN21" s="319"/>
      <c r="AO21" s="319" t="s">
        <v>75</v>
      </c>
      <c r="AP21" s="319" t="s">
        <v>75</v>
      </c>
      <c r="AQ21" s="319" t="s">
        <v>75</v>
      </c>
      <c r="AR21" s="319" t="s">
        <v>75</v>
      </c>
      <c r="AS21" s="319" t="s">
        <v>75</v>
      </c>
      <c r="AT21" s="319" t="s">
        <v>75</v>
      </c>
      <c r="AU21" s="319" t="s">
        <v>75</v>
      </c>
      <c r="AV21" s="356" t="s">
        <v>2295</v>
      </c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</row>
    <row r="22" spans="1:301" s="388" customFormat="1" ht="18.75" customHeight="1">
      <c r="A22" s="260">
        <v>643</v>
      </c>
      <c r="B22" s="278" t="s">
        <v>4</v>
      </c>
      <c r="C22" s="362" t="s">
        <v>1260</v>
      </c>
      <c r="D22" s="485">
        <v>38473</v>
      </c>
      <c r="E22" s="485">
        <v>38777</v>
      </c>
      <c r="F22" s="362" t="s">
        <v>5</v>
      </c>
      <c r="G22" s="252" t="s">
        <v>1451</v>
      </c>
      <c r="H22" s="362" t="s">
        <v>408</v>
      </c>
      <c r="I22" s="278" t="s">
        <v>2438</v>
      </c>
      <c r="J22" s="263">
        <v>16000</v>
      </c>
      <c r="K22" s="402">
        <v>403725</v>
      </c>
      <c r="L22" s="402">
        <v>344894</v>
      </c>
      <c r="M22" s="402">
        <v>344894</v>
      </c>
      <c r="N22" s="256">
        <f t="shared" si="2"/>
        <v>21.555875</v>
      </c>
      <c r="O22" s="318">
        <f>(100*L22)/K22</f>
        <v>85.427952195182371</v>
      </c>
      <c r="P22" s="402">
        <v>3300</v>
      </c>
      <c r="Q22" s="402" t="s">
        <v>75</v>
      </c>
      <c r="R22" s="402">
        <v>3300</v>
      </c>
      <c r="S22" s="402" t="s">
        <v>233</v>
      </c>
      <c r="T22" s="402">
        <v>20</v>
      </c>
      <c r="U22" s="402" t="s">
        <v>75</v>
      </c>
      <c r="V22" s="263">
        <v>0</v>
      </c>
      <c r="W22" s="402">
        <v>129768</v>
      </c>
      <c r="X22" s="349">
        <f t="shared" si="4"/>
        <v>39.323636363636361</v>
      </c>
      <c r="Y22" s="402" t="s">
        <v>134</v>
      </c>
      <c r="Z22" s="402" t="s">
        <v>75</v>
      </c>
      <c r="AA22" s="402" t="s">
        <v>134</v>
      </c>
      <c r="AB22" s="402">
        <v>20</v>
      </c>
      <c r="AC22" s="402" t="s">
        <v>134</v>
      </c>
      <c r="AD22" s="402" t="s">
        <v>134</v>
      </c>
      <c r="AE22" s="402" t="s">
        <v>75</v>
      </c>
      <c r="AF22" s="402" t="s">
        <v>75</v>
      </c>
      <c r="AG22" s="402" t="s">
        <v>75</v>
      </c>
      <c r="AH22" s="402" t="s">
        <v>75</v>
      </c>
      <c r="AI22" s="402" t="s">
        <v>75</v>
      </c>
      <c r="AJ22" s="301">
        <f t="shared" si="1"/>
        <v>0</v>
      </c>
      <c r="AK22" s="263">
        <v>4299</v>
      </c>
      <c r="AL22" s="402">
        <v>4299</v>
      </c>
      <c r="AM22" s="330"/>
      <c r="AN22" s="362"/>
      <c r="AO22" s="362" t="s">
        <v>75</v>
      </c>
      <c r="AP22" s="362" t="s">
        <v>75</v>
      </c>
      <c r="AQ22" s="362" t="s">
        <v>75</v>
      </c>
      <c r="AR22" s="362" t="s">
        <v>75</v>
      </c>
      <c r="AS22" s="362" t="s">
        <v>75</v>
      </c>
      <c r="AT22" s="362" t="s">
        <v>75</v>
      </c>
      <c r="AU22" s="362" t="s">
        <v>75</v>
      </c>
      <c r="AV22" s="362" t="s">
        <v>407</v>
      </c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362"/>
      <c r="BN22" s="261"/>
      <c r="BO22" s="342"/>
      <c r="BP22" s="342"/>
      <c r="BQ22" s="342"/>
      <c r="BR22" s="342"/>
      <c r="BS22" s="342"/>
      <c r="BT22" s="342"/>
      <c r="BU22" s="342"/>
      <c r="BV22" s="342"/>
      <c r="BW22" s="342"/>
      <c r="BX22" s="342"/>
      <c r="BY22" s="342"/>
      <c r="BZ22" s="342"/>
      <c r="CA22" s="342"/>
      <c r="CB22" s="342"/>
      <c r="CC22" s="342"/>
      <c r="CD22" s="342"/>
      <c r="CE22" s="342"/>
      <c r="CF22" s="342"/>
      <c r="CG22" s="342"/>
      <c r="CH22" s="342"/>
      <c r="CI22" s="342"/>
      <c r="CJ22" s="342"/>
      <c r="CK22" s="342"/>
      <c r="CL22" s="342"/>
      <c r="CM22" s="342"/>
      <c r="CN22" s="342"/>
      <c r="CO22" s="342"/>
      <c r="CP22" s="342"/>
      <c r="CQ22" s="342"/>
      <c r="CR22" s="342"/>
      <c r="CS22" s="342"/>
      <c r="CT22" s="342"/>
      <c r="CU22" s="342"/>
      <c r="CV22" s="342"/>
      <c r="CW22" s="342"/>
      <c r="CX22" s="342"/>
      <c r="CY22" s="342"/>
      <c r="CZ22" s="342"/>
      <c r="DA22" s="342"/>
      <c r="DB22" s="342"/>
      <c r="DC22" s="342"/>
      <c r="DD22" s="342"/>
      <c r="DE22" s="342"/>
      <c r="DF22" s="342"/>
      <c r="DG22" s="342"/>
      <c r="DH22" s="342"/>
      <c r="DI22" s="342"/>
      <c r="DJ22" s="342"/>
      <c r="DK22" s="342"/>
      <c r="DL22" s="342"/>
      <c r="DM22" s="342"/>
      <c r="DN22" s="342"/>
      <c r="DO22" s="342"/>
      <c r="DP22" s="342"/>
      <c r="DQ22" s="342"/>
      <c r="DR22" s="342"/>
      <c r="DS22" s="342"/>
      <c r="DT22" s="342"/>
      <c r="DU22" s="342"/>
      <c r="DV22" s="342"/>
      <c r="DW22" s="342"/>
      <c r="DX22" s="342"/>
      <c r="DY22" s="342"/>
      <c r="DZ22" s="342"/>
      <c r="EA22" s="342"/>
      <c r="EB22" s="342"/>
      <c r="EC22" s="342"/>
      <c r="ED22" s="342"/>
      <c r="EE22" s="342"/>
      <c r="EF22" s="342"/>
      <c r="EG22" s="342"/>
      <c r="EH22" s="342"/>
      <c r="EI22" s="342"/>
      <c r="EJ22" s="342"/>
      <c r="EK22" s="342"/>
      <c r="EL22" s="342"/>
      <c r="EM22" s="342"/>
      <c r="EN22" s="342"/>
      <c r="EO22" s="342"/>
      <c r="EP22" s="342"/>
      <c r="EQ22" s="342"/>
      <c r="ER22" s="342"/>
      <c r="ES22" s="342"/>
      <c r="ET22" s="342"/>
      <c r="EU22" s="342"/>
      <c r="EV22" s="342"/>
      <c r="EW22" s="342"/>
      <c r="EX22" s="342"/>
      <c r="EY22" s="342"/>
      <c r="EZ22" s="342"/>
      <c r="FA22" s="342"/>
      <c r="FB22" s="342"/>
      <c r="FC22" s="342"/>
      <c r="FD22" s="342"/>
      <c r="FE22" s="342"/>
      <c r="FF22" s="342"/>
      <c r="FG22" s="342"/>
      <c r="FH22" s="342"/>
      <c r="FI22" s="342"/>
      <c r="FJ22" s="342"/>
      <c r="FK22" s="342"/>
      <c r="FL22" s="342"/>
      <c r="FM22" s="342"/>
      <c r="FN22" s="342"/>
      <c r="FO22" s="342"/>
      <c r="FP22" s="342"/>
      <c r="FQ22" s="342"/>
      <c r="FR22" s="342"/>
      <c r="FS22" s="342"/>
      <c r="FT22" s="342"/>
      <c r="FU22" s="342"/>
      <c r="FV22" s="342"/>
      <c r="FW22" s="342"/>
      <c r="FX22" s="342"/>
      <c r="FY22" s="342"/>
      <c r="FZ22" s="342"/>
      <c r="GA22" s="342"/>
      <c r="GB22" s="342"/>
      <c r="GC22" s="342"/>
      <c r="GD22" s="342"/>
      <c r="GE22" s="342"/>
      <c r="GF22" s="342"/>
      <c r="GG22" s="342"/>
      <c r="GH22" s="342"/>
      <c r="GI22" s="342"/>
      <c r="GJ22" s="342"/>
      <c r="GK22" s="342"/>
      <c r="GL22" s="342"/>
      <c r="GM22" s="342"/>
      <c r="GN22" s="342"/>
      <c r="GO22" s="342"/>
      <c r="GP22" s="342"/>
      <c r="GQ22" s="342"/>
      <c r="GR22" s="342"/>
      <c r="GS22" s="342"/>
      <c r="GT22" s="342"/>
      <c r="GU22" s="342"/>
      <c r="GV22" s="342"/>
      <c r="GW22" s="342"/>
      <c r="GX22" s="342"/>
      <c r="GY22" s="342"/>
      <c r="GZ22" s="342"/>
      <c r="HA22" s="342"/>
      <c r="HB22" s="342"/>
      <c r="HC22" s="342"/>
      <c r="HD22" s="342"/>
      <c r="HE22" s="342"/>
      <c r="HF22" s="342"/>
      <c r="HG22" s="342"/>
      <c r="HH22" s="342"/>
      <c r="HI22" s="342"/>
      <c r="HJ22" s="342"/>
      <c r="HK22" s="342"/>
      <c r="KO22" s="342"/>
    </row>
    <row r="23" spans="1:301" s="388" customFormat="1" ht="18.75" customHeight="1">
      <c r="A23" s="260">
        <v>644</v>
      </c>
      <c r="B23" s="342" t="s">
        <v>291</v>
      </c>
      <c r="C23" s="377" t="s">
        <v>1299</v>
      </c>
      <c r="D23" s="317">
        <v>38657</v>
      </c>
      <c r="E23" s="317">
        <v>38718</v>
      </c>
      <c r="F23" s="304" t="s">
        <v>168</v>
      </c>
      <c r="G23" s="252" t="s">
        <v>1449</v>
      </c>
      <c r="H23" s="342" t="s">
        <v>292</v>
      </c>
      <c r="I23" s="254" t="s">
        <v>2331</v>
      </c>
      <c r="J23" s="318">
        <v>343442</v>
      </c>
      <c r="K23" s="318">
        <v>38000</v>
      </c>
      <c r="L23" s="318">
        <v>38000</v>
      </c>
      <c r="M23" s="318">
        <v>30511</v>
      </c>
      <c r="N23" s="256">
        <f t="shared" si="2"/>
        <v>8.8838872356904519E-2</v>
      </c>
      <c r="O23" s="318">
        <f>(100*L23)/K23</f>
        <v>100</v>
      </c>
      <c r="P23" s="318" t="s">
        <v>75</v>
      </c>
      <c r="Q23" s="318" t="s">
        <v>75</v>
      </c>
      <c r="R23" s="318" t="s">
        <v>75</v>
      </c>
      <c r="S23" s="318" t="s">
        <v>233</v>
      </c>
      <c r="T23" s="318">
        <v>285</v>
      </c>
      <c r="U23" s="318">
        <v>343442</v>
      </c>
      <c r="V23" s="318" t="s">
        <v>66</v>
      </c>
      <c r="W23" s="318" t="s">
        <v>66</v>
      </c>
      <c r="X23" s="318"/>
      <c r="Y23" s="318"/>
      <c r="Z23" s="318" t="s">
        <v>75</v>
      </c>
      <c r="AA23" s="318">
        <v>343442</v>
      </c>
      <c r="AB23" s="318">
        <v>285</v>
      </c>
      <c r="AC23" s="318" t="s">
        <v>206</v>
      </c>
      <c r="AD23" s="318" t="s">
        <v>206</v>
      </c>
      <c r="AE23" s="318" t="s">
        <v>75</v>
      </c>
      <c r="AF23" s="318" t="s">
        <v>75</v>
      </c>
      <c r="AG23" s="318" t="s">
        <v>75</v>
      </c>
      <c r="AH23" s="318" t="s">
        <v>75</v>
      </c>
      <c r="AI23" s="318" t="s">
        <v>75</v>
      </c>
      <c r="AJ23" s="301">
        <f t="shared" si="1"/>
        <v>343442</v>
      </c>
      <c r="AK23" s="318" t="s">
        <v>66</v>
      </c>
      <c r="AL23" s="318" t="s">
        <v>66</v>
      </c>
      <c r="AM23" s="330"/>
      <c r="AN23" s="342"/>
      <c r="AO23" s="342" t="s">
        <v>75</v>
      </c>
      <c r="AP23" s="342" t="s">
        <v>75</v>
      </c>
      <c r="AQ23" s="342" t="s">
        <v>75</v>
      </c>
      <c r="AR23" s="342" t="s">
        <v>75</v>
      </c>
      <c r="AS23" s="342" t="s">
        <v>75</v>
      </c>
      <c r="AT23" s="342" t="s">
        <v>75</v>
      </c>
      <c r="AU23" s="342" t="s">
        <v>75</v>
      </c>
      <c r="AV23" s="407" t="s">
        <v>297</v>
      </c>
      <c r="AW23" s="342"/>
      <c r="AX23" s="342"/>
      <c r="AY23" s="342"/>
      <c r="AZ23" s="342"/>
      <c r="BA23" s="342"/>
      <c r="BB23" s="342"/>
      <c r="BC23" s="342"/>
      <c r="BD23" s="342"/>
      <c r="BE23" s="342"/>
      <c r="BF23" s="342"/>
      <c r="BG23" s="342"/>
      <c r="BH23" s="342"/>
      <c r="BI23" s="342"/>
      <c r="BJ23" s="342"/>
      <c r="BK23" s="342"/>
      <c r="BL23" s="342"/>
      <c r="BM23" s="342"/>
      <c r="BN23" s="342"/>
      <c r="BO23" s="342"/>
      <c r="BP23" s="342"/>
      <c r="BQ23" s="342"/>
      <c r="BR23" s="342"/>
      <c r="BS23" s="342"/>
      <c r="BT23" s="342"/>
      <c r="BU23" s="342"/>
      <c r="BV23" s="342"/>
      <c r="BW23" s="342"/>
      <c r="BX23" s="342"/>
      <c r="BY23" s="342"/>
      <c r="BZ23" s="342"/>
      <c r="CA23" s="342"/>
      <c r="CB23" s="342"/>
      <c r="CC23" s="342"/>
      <c r="CD23" s="342"/>
      <c r="CE23" s="342"/>
      <c r="CF23" s="342"/>
      <c r="CG23" s="342"/>
      <c r="CH23" s="342"/>
      <c r="CI23" s="342"/>
      <c r="CJ23" s="342"/>
      <c r="CK23" s="342"/>
      <c r="CL23" s="342"/>
      <c r="CM23" s="342"/>
      <c r="CN23" s="342"/>
      <c r="CO23" s="342"/>
      <c r="CP23" s="342"/>
      <c r="CQ23" s="342"/>
      <c r="CR23" s="342"/>
      <c r="CS23" s="342"/>
      <c r="CT23" s="342"/>
      <c r="CU23" s="342"/>
      <c r="CV23" s="342"/>
      <c r="CW23" s="342"/>
      <c r="CX23" s="342"/>
      <c r="CY23" s="342"/>
      <c r="CZ23" s="342"/>
      <c r="DA23" s="342"/>
      <c r="DB23" s="342"/>
      <c r="DC23" s="342"/>
      <c r="DD23" s="342"/>
      <c r="DE23" s="342"/>
      <c r="DF23" s="342"/>
      <c r="DG23" s="342"/>
      <c r="DH23" s="342"/>
      <c r="DI23" s="342"/>
      <c r="DJ23" s="342"/>
      <c r="DK23" s="342"/>
      <c r="DL23" s="342"/>
      <c r="DM23" s="342"/>
      <c r="DN23" s="342"/>
      <c r="DO23" s="342"/>
      <c r="DP23" s="342"/>
      <c r="DQ23" s="342"/>
      <c r="DR23" s="342"/>
      <c r="DS23" s="342"/>
      <c r="DT23" s="342"/>
      <c r="DU23" s="342"/>
      <c r="DV23" s="342"/>
      <c r="DW23" s="342"/>
      <c r="DX23" s="342"/>
      <c r="DY23" s="342"/>
      <c r="DZ23" s="342"/>
      <c r="EA23" s="342"/>
      <c r="EB23" s="342"/>
      <c r="EC23" s="342"/>
      <c r="ED23" s="342"/>
      <c r="EE23" s="342"/>
      <c r="EF23" s="342"/>
      <c r="EG23" s="342"/>
      <c r="EH23" s="342"/>
      <c r="EI23" s="342"/>
      <c r="EJ23" s="342"/>
      <c r="EK23" s="342"/>
      <c r="EL23" s="342"/>
      <c r="EM23" s="342"/>
      <c r="EN23" s="342"/>
      <c r="EO23" s="342"/>
      <c r="EP23" s="342"/>
      <c r="EQ23" s="342"/>
      <c r="ER23" s="342"/>
      <c r="ES23" s="342"/>
      <c r="ET23" s="342"/>
      <c r="EU23" s="342"/>
      <c r="EV23" s="342"/>
      <c r="EW23" s="342"/>
      <c r="EX23" s="342"/>
      <c r="EY23" s="342"/>
      <c r="EZ23" s="342"/>
      <c r="FA23" s="342"/>
      <c r="FB23" s="342"/>
      <c r="FC23" s="342"/>
      <c r="FD23" s="342"/>
      <c r="FE23" s="342"/>
      <c r="FF23" s="342"/>
      <c r="FG23" s="342"/>
      <c r="FH23" s="342"/>
      <c r="FI23" s="342"/>
      <c r="FJ23" s="342"/>
      <c r="FK23" s="342"/>
      <c r="FL23" s="342"/>
      <c r="FM23" s="342"/>
      <c r="FN23" s="342"/>
      <c r="FO23" s="342"/>
      <c r="FP23" s="342"/>
      <c r="FQ23" s="342"/>
      <c r="FR23" s="342"/>
      <c r="FS23" s="342"/>
      <c r="FT23" s="342"/>
      <c r="FU23" s="342"/>
      <c r="FV23" s="342"/>
      <c r="FW23" s="342"/>
      <c r="FX23" s="342"/>
      <c r="FY23" s="342"/>
      <c r="FZ23" s="342"/>
      <c r="GA23" s="342"/>
      <c r="GB23" s="342"/>
      <c r="GC23" s="342"/>
      <c r="GD23" s="342"/>
      <c r="GE23" s="342"/>
      <c r="GF23" s="342"/>
      <c r="GG23" s="342"/>
      <c r="GH23" s="342"/>
      <c r="GI23" s="342"/>
      <c r="GJ23" s="342"/>
      <c r="GK23" s="342"/>
      <c r="GL23" s="342"/>
      <c r="GM23" s="342"/>
      <c r="GN23" s="342"/>
      <c r="GO23" s="342"/>
      <c r="GP23" s="342"/>
      <c r="GQ23" s="342"/>
      <c r="GR23" s="342"/>
      <c r="GS23" s="342"/>
      <c r="GT23" s="342"/>
      <c r="GU23" s="342"/>
      <c r="GV23" s="342"/>
      <c r="GW23" s="342"/>
      <c r="GX23" s="342"/>
      <c r="GY23" s="342"/>
      <c r="GZ23" s="342"/>
      <c r="HA23" s="342"/>
      <c r="HB23" s="342"/>
      <c r="HC23" s="342"/>
      <c r="HD23" s="342"/>
      <c r="HE23" s="342"/>
      <c r="HF23" s="342"/>
      <c r="HG23" s="342"/>
      <c r="HH23" s="342"/>
      <c r="HI23" s="342"/>
      <c r="HJ23" s="342"/>
      <c r="HK23" s="342"/>
      <c r="KO23" s="342"/>
    </row>
    <row r="24" spans="1:301" s="388" customFormat="1" ht="18.75" customHeight="1">
      <c r="A24" s="260">
        <v>645</v>
      </c>
      <c r="B24" s="362" t="s">
        <v>417</v>
      </c>
      <c r="C24" s="362" t="s">
        <v>1299</v>
      </c>
      <c r="D24" s="485">
        <v>38565</v>
      </c>
      <c r="E24" s="485">
        <v>38749</v>
      </c>
      <c r="F24" s="362" t="s">
        <v>168</v>
      </c>
      <c r="G24" s="252" t="s">
        <v>1449</v>
      </c>
      <c r="H24" s="362" t="s">
        <v>419</v>
      </c>
      <c r="I24" s="254" t="s">
        <v>2331</v>
      </c>
      <c r="J24" s="263">
        <v>201000</v>
      </c>
      <c r="K24" s="402">
        <v>27838</v>
      </c>
      <c r="L24" s="402">
        <v>27838</v>
      </c>
      <c r="M24" s="402">
        <v>27838</v>
      </c>
      <c r="N24" s="256">
        <f t="shared" si="2"/>
        <v>0.13849751243781094</v>
      </c>
      <c r="O24" s="318">
        <f>(100*L24)/K24</f>
        <v>100</v>
      </c>
      <c r="P24" s="402" t="s">
        <v>75</v>
      </c>
      <c r="Q24" s="402" t="s">
        <v>75</v>
      </c>
      <c r="R24" s="402" t="s">
        <v>75</v>
      </c>
      <c r="S24" s="402" t="s">
        <v>233</v>
      </c>
      <c r="T24" s="402">
        <v>170</v>
      </c>
      <c r="U24" s="402">
        <v>201000</v>
      </c>
      <c r="V24" s="263" t="s">
        <v>66</v>
      </c>
      <c r="W24" s="402" t="s">
        <v>66</v>
      </c>
      <c r="X24" s="263"/>
      <c r="Y24" s="402">
        <v>201000</v>
      </c>
      <c r="Z24" s="402" t="s">
        <v>75</v>
      </c>
      <c r="AA24" s="402">
        <v>201000</v>
      </c>
      <c r="AB24" s="402">
        <v>170</v>
      </c>
      <c r="AC24" s="402" t="s">
        <v>75</v>
      </c>
      <c r="AD24" s="402" t="s">
        <v>75</v>
      </c>
      <c r="AE24" s="402" t="s">
        <v>75</v>
      </c>
      <c r="AF24" s="402" t="s">
        <v>75</v>
      </c>
      <c r="AG24" s="402" t="s">
        <v>75</v>
      </c>
      <c r="AH24" s="402" t="s">
        <v>75</v>
      </c>
      <c r="AI24" s="402" t="s">
        <v>75</v>
      </c>
      <c r="AJ24" s="301">
        <f t="shared" si="1"/>
        <v>201000</v>
      </c>
      <c r="AK24" s="263" t="s">
        <v>66</v>
      </c>
      <c r="AL24" s="402" t="s">
        <v>66</v>
      </c>
      <c r="AM24" s="330"/>
      <c r="AN24" s="362"/>
      <c r="AO24" s="362"/>
      <c r="AP24" s="362"/>
      <c r="AQ24" s="362"/>
      <c r="AR24" s="362"/>
      <c r="AS24" s="362"/>
      <c r="AT24" s="362" t="s">
        <v>75</v>
      </c>
      <c r="AU24" s="362" t="s">
        <v>75</v>
      </c>
      <c r="AV24" s="362" t="s">
        <v>418</v>
      </c>
      <c r="AW24" s="362"/>
      <c r="AX24" s="362"/>
      <c r="AY24" s="362"/>
      <c r="AZ24" s="362"/>
      <c r="BA24" s="362"/>
      <c r="BB24" s="362"/>
      <c r="BC24" s="362"/>
      <c r="BD24" s="362"/>
      <c r="BE24" s="362"/>
      <c r="BF24" s="362"/>
      <c r="BG24" s="362"/>
      <c r="BH24" s="362"/>
      <c r="BI24" s="362"/>
      <c r="BJ24" s="362"/>
      <c r="BK24" s="362"/>
      <c r="BL24" s="362"/>
      <c r="BM24" s="362"/>
      <c r="BN24" s="261"/>
      <c r="BO24" s="342"/>
      <c r="BP24" s="342"/>
      <c r="BQ24" s="342"/>
      <c r="BR24" s="342"/>
      <c r="BS24" s="342"/>
      <c r="BT24" s="342"/>
      <c r="BU24" s="342"/>
      <c r="BV24" s="342"/>
      <c r="BW24" s="342"/>
      <c r="BX24" s="342"/>
      <c r="BY24" s="342"/>
      <c r="BZ24" s="342"/>
      <c r="CA24" s="342"/>
      <c r="CB24" s="342"/>
      <c r="CC24" s="342"/>
      <c r="CD24" s="342"/>
      <c r="CE24" s="342"/>
      <c r="CF24" s="342"/>
      <c r="CG24" s="342"/>
      <c r="CH24" s="342"/>
      <c r="CI24" s="342"/>
      <c r="CJ24" s="342"/>
      <c r="CK24" s="342"/>
      <c r="CL24" s="342"/>
      <c r="CM24" s="342"/>
      <c r="CN24" s="342"/>
      <c r="CO24" s="342"/>
      <c r="CP24" s="342"/>
      <c r="CQ24" s="342"/>
      <c r="CR24" s="342"/>
      <c r="CS24" s="342"/>
      <c r="CT24" s="342"/>
      <c r="CU24" s="342"/>
      <c r="CV24" s="342"/>
      <c r="CW24" s="342"/>
      <c r="CX24" s="342"/>
      <c r="CY24" s="342"/>
      <c r="CZ24" s="342"/>
      <c r="DA24" s="342"/>
      <c r="DB24" s="342"/>
      <c r="DC24" s="342"/>
      <c r="DD24" s="342"/>
      <c r="DE24" s="342"/>
      <c r="DF24" s="342"/>
      <c r="DG24" s="342"/>
      <c r="DH24" s="342"/>
      <c r="DI24" s="342"/>
      <c r="DJ24" s="342"/>
      <c r="DK24" s="342"/>
      <c r="DL24" s="342"/>
      <c r="DM24" s="342"/>
      <c r="DN24" s="342"/>
      <c r="DO24" s="342"/>
      <c r="DP24" s="342"/>
      <c r="DQ24" s="342"/>
      <c r="DR24" s="342"/>
      <c r="DS24" s="342"/>
      <c r="DT24" s="342"/>
      <c r="DU24" s="342"/>
      <c r="DV24" s="342"/>
      <c r="DW24" s="342"/>
      <c r="DX24" s="342"/>
      <c r="DY24" s="342"/>
      <c r="DZ24" s="342"/>
      <c r="EA24" s="342"/>
      <c r="EB24" s="342"/>
      <c r="EC24" s="342"/>
      <c r="ED24" s="342"/>
      <c r="EE24" s="342"/>
      <c r="EF24" s="342"/>
      <c r="EG24" s="342"/>
      <c r="EH24" s="342"/>
      <c r="EI24" s="342"/>
      <c r="EJ24" s="342"/>
      <c r="EK24" s="342"/>
      <c r="EL24" s="342"/>
      <c r="EM24" s="342"/>
      <c r="EN24" s="342"/>
      <c r="EO24" s="342"/>
      <c r="EP24" s="342"/>
      <c r="EQ24" s="342"/>
      <c r="ER24" s="342"/>
      <c r="ES24" s="342"/>
      <c r="ET24" s="342"/>
      <c r="EU24" s="342"/>
      <c r="EV24" s="342"/>
      <c r="EW24" s="342"/>
      <c r="EX24" s="342"/>
      <c r="EY24" s="342"/>
      <c r="EZ24" s="342"/>
      <c r="FA24" s="342"/>
      <c r="FB24" s="342"/>
      <c r="FC24" s="342"/>
      <c r="FD24" s="342"/>
      <c r="FE24" s="342"/>
      <c r="FF24" s="342"/>
      <c r="FG24" s="342"/>
      <c r="FH24" s="342"/>
      <c r="FI24" s="342"/>
      <c r="FJ24" s="342"/>
      <c r="FK24" s="342"/>
      <c r="FL24" s="342"/>
      <c r="FM24" s="342"/>
      <c r="FN24" s="342"/>
      <c r="FO24" s="342"/>
      <c r="FP24" s="342"/>
      <c r="FQ24" s="342"/>
      <c r="FR24" s="342"/>
      <c r="FS24" s="342"/>
      <c r="FT24" s="342"/>
      <c r="FU24" s="342"/>
      <c r="FV24" s="342"/>
      <c r="FW24" s="342"/>
      <c r="FX24" s="342"/>
      <c r="FY24" s="342"/>
      <c r="FZ24" s="342"/>
      <c r="GA24" s="342"/>
      <c r="GB24" s="342"/>
      <c r="GC24" s="342"/>
      <c r="GD24" s="342"/>
      <c r="GE24" s="342"/>
      <c r="GF24" s="342"/>
      <c r="GG24" s="342"/>
      <c r="GH24" s="342"/>
      <c r="GI24" s="342"/>
      <c r="GJ24" s="342"/>
      <c r="GK24" s="342"/>
      <c r="GL24" s="342"/>
      <c r="GM24" s="342"/>
      <c r="GN24" s="342"/>
      <c r="GO24" s="342"/>
      <c r="GP24" s="342"/>
      <c r="GQ24" s="342"/>
      <c r="GR24" s="342"/>
      <c r="GS24" s="342"/>
      <c r="GT24" s="342"/>
      <c r="GU24" s="342"/>
      <c r="GV24" s="342"/>
      <c r="GW24" s="342"/>
      <c r="GX24" s="342"/>
      <c r="GY24" s="342"/>
      <c r="GZ24" s="342"/>
      <c r="HA24" s="342"/>
      <c r="HB24" s="342"/>
      <c r="HC24" s="342"/>
      <c r="HD24" s="342"/>
      <c r="HE24" s="342"/>
      <c r="HF24" s="342"/>
      <c r="HG24" s="342"/>
      <c r="HH24" s="342"/>
      <c r="HI24" s="342"/>
      <c r="HJ24" s="342"/>
      <c r="HK24" s="342"/>
      <c r="KO24" s="342"/>
    </row>
    <row r="25" spans="1:301" s="342" customFormat="1" ht="18.75" customHeight="1">
      <c r="A25" s="260">
        <v>646</v>
      </c>
      <c r="B25" s="261" t="s">
        <v>1889</v>
      </c>
      <c r="C25" s="261" t="s">
        <v>1286</v>
      </c>
      <c r="D25" s="351">
        <v>38353</v>
      </c>
      <c r="E25" s="351">
        <v>38596</v>
      </c>
      <c r="F25" s="261" t="s">
        <v>5</v>
      </c>
      <c r="G25" s="252" t="s">
        <v>1451</v>
      </c>
      <c r="H25" s="285" t="s">
        <v>1997</v>
      </c>
      <c r="I25" s="278" t="s">
        <v>2438</v>
      </c>
      <c r="J25" s="263">
        <f>11500*5</f>
        <v>57500</v>
      </c>
      <c r="K25" s="298">
        <v>1383356</v>
      </c>
      <c r="L25" s="298">
        <v>1420284</v>
      </c>
      <c r="M25" s="298">
        <v>1371860</v>
      </c>
      <c r="N25" s="256">
        <f t="shared" si="2"/>
        <v>23.858434782608697</v>
      </c>
      <c r="O25" s="298">
        <f>142028400/1383356</f>
        <v>102.66945023551422</v>
      </c>
      <c r="P25" s="298">
        <v>30000</v>
      </c>
      <c r="Q25" s="298"/>
      <c r="R25" s="298">
        <v>30000</v>
      </c>
      <c r="S25" s="298"/>
      <c r="T25" s="298"/>
      <c r="U25" s="298">
        <v>30000</v>
      </c>
      <c r="V25" s="298">
        <v>33907</v>
      </c>
      <c r="W25" s="298">
        <v>16114</v>
      </c>
      <c r="X25" s="349">
        <f>W25/R25</f>
        <v>0.53713333333333335</v>
      </c>
      <c r="Y25" s="298"/>
      <c r="Z25" s="298"/>
      <c r="AA25" s="298">
        <v>1092</v>
      </c>
      <c r="AB25" s="298">
        <v>529</v>
      </c>
      <c r="AC25" s="298">
        <v>60</v>
      </c>
      <c r="AD25" s="318"/>
      <c r="AE25" s="298">
        <v>12000</v>
      </c>
      <c r="AF25" s="298"/>
      <c r="AG25" s="298"/>
      <c r="AH25" s="298"/>
      <c r="AI25" s="298"/>
      <c r="AJ25" s="301">
        <f t="shared" si="1"/>
        <v>1092</v>
      </c>
      <c r="AK25" s="298">
        <v>1500</v>
      </c>
      <c r="AL25" s="298">
        <v>1188</v>
      </c>
      <c r="AM25" s="263">
        <f>AL25/AJ25</f>
        <v>1.0879120879120878</v>
      </c>
      <c r="AN25" s="374"/>
      <c r="AO25" s="374"/>
      <c r="AP25" s="374"/>
      <c r="AQ25" s="374"/>
      <c r="AR25" s="374"/>
      <c r="AS25" s="374"/>
      <c r="AT25" s="261">
        <v>5</v>
      </c>
      <c r="AU25" s="374"/>
      <c r="AV25" s="285" t="s">
        <v>1996</v>
      </c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5"/>
      <c r="BN25" s="284"/>
    </row>
    <row r="26" spans="1:301" s="388" customFormat="1" ht="18.75" customHeight="1">
      <c r="A26" s="260">
        <v>647</v>
      </c>
      <c r="B26" s="388" t="s">
        <v>276</v>
      </c>
      <c r="C26" s="388" t="s">
        <v>1278</v>
      </c>
      <c r="D26" s="317">
        <v>38443</v>
      </c>
      <c r="E26" s="317">
        <v>39052</v>
      </c>
      <c r="F26" s="377" t="s">
        <v>286</v>
      </c>
      <c r="G26" s="252" t="s">
        <v>1452</v>
      </c>
      <c r="H26" s="388" t="s">
        <v>285</v>
      </c>
      <c r="I26" s="278" t="s">
        <v>2438</v>
      </c>
      <c r="J26" s="318">
        <v>43315</v>
      </c>
      <c r="K26" s="327">
        <v>495043</v>
      </c>
      <c r="L26" s="318">
        <v>373202</v>
      </c>
      <c r="M26" s="318">
        <v>373202</v>
      </c>
      <c r="N26" s="256">
        <f t="shared" si="2"/>
        <v>8.6159990765323791</v>
      </c>
      <c r="O26" s="327">
        <v>75</v>
      </c>
      <c r="P26" s="318" t="s">
        <v>134</v>
      </c>
      <c r="Q26" s="318" t="s">
        <v>134</v>
      </c>
      <c r="R26" s="318" t="s">
        <v>134</v>
      </c>
      <c r="S26" s="318" t="s">
        <v>134</v>
      </c>
      <c r="T26" s="318" t="s">
        <v>134</v>
      </c>
      <c r="U26" s="318" t="s">
        <v>134</v>
      </c>
      <c r="V26" s="318">
        <v>321856</v>
      </c>
      <c r="W26" s="318">
        <v>237052</v>
      </c>
      <c r="X26" s="318"/>
      <c r="Y26" s="318" t="s">
        <v>206</v>
      </c>
      <c r="Z26" s="318" t="s">
        <v>206</v>
      </c>
      <c r="AA26" s="318" t="s">
        <v>206</v>
      </c>
      <c r="AB26" s="318" t="s">
        <v>206</v>
      </c>
      <c r="AC26" s="318" t="s">
        <v>206</v>
      </c>
      <c r="AD26" s="318" t="s">
        <v>206</v>
      </c>
      <c r="AE26" s="318" t="s">
        <v>206</v>
      </c>
      <c r="AF26" s="318" t="s">
        <v>206</v>
      </c>
      <c r="AG26" s="318" t="s">
        <v>206</v>
      </c>
      <c r="AH26" s="318" t="s">
        <v>134</v>
      </c>
      <c r="AI26" s="318" t="s">
        <v>134</v>
      </c>
      <c r="AJ26" s="301">
        <f t="shared" si="1"/>
        <v>0</v>
      </c>
      <c r="AK26" s="318" t="s">
        <v>66</v>
      </c>
      <c r="AL26" s="318" t="s">
        <v>66</v>
      </c>
      <c r="AM26" s="330"/>
      <c r="AO26" s="342" t="s">
        <v>75</v>
      </c>
      <c r="AP26" s="342" t="s">
        <v>75</v>
      </c>
      <c r="AQ26" s="342" t="s">
        <v>75</v>
      </c>
      <c r="AR26" s="342" t="s">
        <v>75</v>
      </c>
      <c r="AS26" s="342" t="s">
        <v>75</v>
      </c>
      <c r="AT26" s="342" t="s">
        <v>75</v>
      </c>
      <c r="AU26" s="342" t="s">
        <v>75</v>
      </c>
      <c r="AV26" s="377" t="s">
        <v>287</v>
      </c>
      <c r="BN26" s="342"/>
      <c r="BO26" s="342"/>
      <c r="BP26" s="342"/>
      <c r="BQ26" s="342"/>
      <c r="BR26" s="342"/>
      <c r="BS26" s="342"/>
      <c r="BT26" s="342"/>
      <c r="BU26" s="342"/>
      <c r="BV26" s="342"/>
      <c r="BW26" s="342"/>
      <c r="BX26" s="342"/>
      <c r="BY26" s="342"/>
      <c r="BZ26" s="342"/>
      <c r="CA26" s="342"/>
      <c r="CB26" s="342"/>
      <c r="CC26" s="342"/>
      <c r="CD26" s="342"/>
      <c r="CE26" s="342"/>
      <c r="CF26" s="342"/>
      <c r="CG26" s="342"/>
      <c r="CH26" s="342"/>
      <c r="CI26" s="342"/>
      <c r="CJ26" s="342"/>
      <c r="CK26" s="342"/>
      <c r="CL26" s="342"/>
      <c r="CM26" s="342"/>
      <c r="CN26" s="342"/>
      <c r="CO26" s="342"/>
      <c r="CP26" s="342"/>
      <c r="CQ26" s="342"/>
      <c r="CR26" s="342"/>
      <c r="CS26" s="342"/>
      <c r="CT26" s="342"/>
      <c r="CU26" s="342"/>
      <c r="CV26" s="342"/>
      <c r="CW26" s="342"/>
      <c r="CX26" s="342"/>
      <c r="CY26" s="342"/>
      <c r="CZ26" s="342"/>
      <c r="DA26" s="342"/>
      <c r="DB26" s="342"/>
      <c r="DC26" s="342"/>
      <c r="DD26" s="342"/>
      <c r="DE26" s="342"/>
      <c r="DF26" s="342"/>
      <c r="DG26" s="342"/>
      <c r="DH26" s="342"/>
      <c r="DI26" s="342"/>
      <c r="DJ26" s="342"/>
      <c r="DK26" s="342"/>
      <c r="DL26" s="342"/>
      <c r="DM26" s="342"/>
      <c r="DN26" s="342"/>
      <c r="DO26" s="342"/>
      <c r="DP26" s="342"/>
      <c r="DQ26" s="342"/>
      <c r="DR26" s="342"/>
      <c r="DS26" s="342"/>
      <c r="DT26" s="342"/>
      <c r="DU26" s="342"/>
      <c r="DV26" s="342"/>
      <c r="DW26" s="342"/>
      <c r="DX26" s="342"/>
      <c r="DY26" s="342"/>
      <c r="DZ26" s="342"/>
      <c r="EA26" s="342"/>
      <c r="EB26" s="342"/>
      <c r="EC26" s="342"/>
      <c r="ED26" s="342"/>
      <c r="EE26" s="342"/>
      <c r="EF26" s="342"/>
      <c r="EG26" s="342"/>
      <c r="EH26" s="342"/>
      <c r="EI26" s="342"/>
      <c r="EJ26" s="342"/>
      <c r="EK26" s="342"/>
      <c r="EL26" s="342"/>
      <c r="EM26" s="342"/>
      <c r="EN26" s="342"/>
      <c r="EO26" s="342"/>
      <c r="EP26" s="342"/>
      <c r="EQ26" s="342"/>
      <c r="ER26" s="342"/>
      <c r="ES26" s="342"/>
      <c r="ET26" s="342"/>
      <c r="EU26" s="342"/>
      <c r="EV26" s="342"/>
      <c r="EW26" s="342"/>
      <c r="EX26" s="342"/>
      <c r="EY26" s="342"/>
      <c r="EZ26" s="342"/>
      <c r="FA26" s="342"/>
      <c r="FB26" s="342"/>
      <c r="FC26" s="342"/>
      <c r="FD26" s="342"/>
      <c r="FE26" s="342"/>
      <c r="FF26" s="342"/>
      <c r="FG26" s="342"/>
      <c r="FH26" s="342"/>
      <c r="FI26" s="342"/>
      <c r="FJ26" s="342"/>
      <c r="FK26" s="342"/>
      <c r="FL26" s="342"/>
      <c r="FM26" s="342"/>
      <c r="FN26" s="342"/>
      <c r="FO26" s="342"/>
      <c r="FP26" s="342"/>
      <c r="FQ26" s="342"/>
      <c r="FR26" s="342"/>
      <c r="FS26" s="342"/>
      <c r="FT26" s="342"/>
      <c r="FU26" s="342"/>
      <c r="FV26" s="342"/>
      <c r="FW26" s="342"/>
      <c r="FX26" s="342"/>
      <c r="FY26" s="342"/>
      <c r="FZ26" s="342"/>
      <c r="GA26" s="342"/>
      <c r="GB26" s="342"/>
      <c r="GC26" s="342"/>
      <c r="GD26" s="342"/>
      <c r="GE26" s="342"/>
      <c r="GF26" s="342"/>
      <c r="GG26" s="342"/>
      <c r="GH26" s="342"/>
      <c r="GI26" s="342"/>
      <c r="GJ26" s="342"/>
      <c r="GK26" s="342"/>
      <c r="GL26" s="342"/>
      <c r="GM26" s="342"/>
      <c r="GN26" s="342"/>
      <c r="GO26" s="342"/>
      <c r="GP26" s="342"/>
      <c r="GQ26" s="342"/>
      <c r="GR26" s="342"/>
      <c r="GS26" s="342"/>
      <c r="GT26" s="342"/>
      <c r="GU26" s="342"/>
      <c r="GV26" s="342"/>
      <c r="GW26" s="342"/>
      <c r="GX26" s="342"/>
      <c r="GY26" s="342"/>
      <c r="GZ26" s="342"/>
      <c r="HA26" s="342"/>
      <c r="HB26" s="342"/>
      <c r="HC26" s="342"/>
      <c r="HD26" s="342"/>
      <c r="HE26" s="342"/>
      <c r="HF26" s="342"/>
      <c r="HG26" s="342"/>
      <c r="HH26" s="342"/>
      <c r="HI26" s="342"/>
      <c r="HJ26" s="342"/>
      <c r="HK26" s="342"/>
      <c r="KO26" s="342"/>
    </row>
    <row r="27" spans="1:301" s="388" customFormat="1" ht="18.75" customHeight="1">
      <c r="A27" s="260">
        <v>648</v>
      </c>
      <c r="B27" s="342" t="s">
        <v>129</v>
      </c>
      <c r="C27" s="388" t="s">
        <v>1278</v>
      </c>
      <c r="D27" s="317">
        <v>38657</v>
      </c>
      <c r="E27" s="317">
        <v>39083</v>
      </c>
      <c r="F27" s="304" t="s">
        <v>130</v>
      </c>
      <c r="G27" s="252" t="s">
        <v>1452</v>
      </c>
      <c r="H27" s="342" t="s">
        <v>128</v>
      </c>
      <c r="I27" s="278" t="s">
        <v>2438</v>
      </c>
      <c r="J27" s="318">
        <v>350000</v>
      </c>
      <c r="K27" s="318">
        <v>7953524</v>
      </c>
      <c r="L27" s="318">
        <v>3094067</v>
      </c>
      <c r="M27" s="318">
        <v>3094067</v>
      </c>
      <c r="N27" s="256">
        <f t="shared" si="2"/>
        <v>8.840191428571428</v>
      </c>
      <c r="O27" s="318">
        <v>50</v>
      </c>
      <c r="P27" s="318"/>
      <c r="Q27" s="318"/>
      <c r="R27" s="318"/>
      <c r="S27" s="318" t="s">
        <v>233</v>
      </c>
      <c r="T27" s="318"/>
      <c r="U27" s="318"/>
      <c r="V27" s="318" t="s">
        <v>66</v>
      </c>
      <c r="W27" s="318" t="s">
        <v>66</v>
      </c>
      <c r="X27" s="318"/>
      <c r="Y27" s="318"/>
      <c r="Z27" s="318"/>
      <c r="AA27" s="318"/>
      <c r="AB27" s="318"/>
      <c r="AC27" s="318"/>
      <c r="AD27" s="318"/>
      <c r="AE27" s="318"/>
      <c r="AF27" s="318" t="s">
        <v>75</v>
      </c>
      <c r="AG27" s="318" t="s">
        <v>75</v>
      </c>
      <c r="AH27" s="318"/>
      <c r="AI27" s="318"/>
      <c r="AJ27" s="301">
        <f t="shared" si="1"/>
        <v>0</v>
      </c>
      <c r="AK27" s="318">
        <v>77248</v>
      </c>
      <c r="AL27" s="318">
        <v>77248</v>
      </c>
      <c r="AM27" s="330"/>
      <c r="AN27" s="342"/>
      <c r="AO27" s="342" t="s">
        <v>75</v>
      </c>
      <c r="AP27" s="342" t="s">
        <v>75</v>
      </c>
      <c r="AQ27" s="342" t="s">
        <v>75</v>
      </c>
      <c r="AR27" s="342" t="s">
        <v>75</v>
      </c>
      <c r="AS27" s="342" t="s">
        <v>75</v>
      </c>
      <c r="AT27" s="342" t="s">
        <v>75</v>
      </c>
      <c r="AU27" s="342" t="s">
        <v>75</v>
      </c>
      <c r="AV27" s="407" t="s">
        <v>133</v>
      </c>
      <c r="AW27" s="342"/>
      <c r="AX27" s="342"/>
      <c r="AY27" s="342"/>
      <c r="AZ27" s="342"/>
      <c r="BA27" s="342"/>
      <c r="BB27" s="342"/>
      <c r="BC27" s="342"/>
      <c r="BD27" s="342"/>
      <c r="BE27" s="342"/>
      <c r="BF27" s="342"/>
      <c r="BG27" s="342"/>
      <c r="BH27" s="342"/>
      <c r="BI27" s="342"/>
      <c r="BJ27" s="342"/>
      <c r="BK27" s="342"/>
      <c r="BL27" s="342"/>
      <c r="BM27" s="342"/>
      <c r="BN27" s="342"/>
      <c r="BO27" s="342"/>
      <c r="BP27" s="342"/>
      <c r="BQ27" s="342"/>
      <c r="BR27" s="342"/>
      <c r="BS27" s="342"/>
      <c r="BT27" s="342"/>
      <c r="BU27" s="342"/>
      <c r="BV27" s="342"/>
      <c r="BW27" s="342"/>
      <c r="BX27" s="342"/>
      <c r="BY27" s="342"/>
      <c r="BZ27" s="342"/>
      <c r="CA27" s="342"/>
      <c r="CB27" s="342"/>
      <c r="CC27" s="342"/>
      <c r="CD27" s="342"/>
      <c r="CE27" s="342"/>
      <c r="CF27" s="342"/>
      <c r="CG27" s="342"/>
      <c r="CH27" s="342"/>
      <c r="CI27" s="342"/>
      <c r="CJ27" s="342"/>
      <c r="CK27" s="342"/>
      <c r="CL27" s="342"/>
      <c r="CM27" s="342"/>
      <c r="CN27" s="342"/>
      <c r="CO27" s="342"/>
      <c r="CP27" s="342"/>
      <c r="CQ27" s="342"/>
      <c r="CR27" s="342"/>
      <c r="CS27" s="342"/>
      <c r="CT27" s="342"/>
      <c r="CU27" s="342"/>
      <c r="CV27" s="342"/>
      <c r="CW27" s="342"/>
      <c r="CX27" s="342"/>
      <c r="CY27" s="342"/>
      <c r="CZ27" s="342"/>
      <c r="DA27" s="342"/>
      <c r="DB27" s="342"/>
      <c r="DC27" s="342"/>
      <c r="DD27" s="342"/>
      <c r="DE27" s="342"/>
      <c r="DF27" s="342"/>
      <c r="DG27" s="342"/>
      <c r="DH27" s="342"/>
      <c r="DI27" s="342"/>
      <c r="DJ27" s="342"/>
      <c r="DK27" s="342"/>
      <c r="DL27" s="342"/>
      <c r="DM27" s="342"/>
      <c r="DN27" s="342"/>
      <c r="DO27" s="342"/>
      <c r="DP27" s="342"/>
      <c r="DQ27" s="342"/>
      <c r="DR27" s="342"/>
      <c r="DS27" s="342"/>
      <c r="DT27" s="342"/>
      <c r="DU27" s="342"/>
      <c r="DV27" s="342"/>
      <c r="DW27" s="342"/>
      <c r="DX27" s="342"/>
      <c r="DY27" s="342"/>
      <c r="DZ27" s="342"/>
      <c r="EA27" s="342"/>
      <c r="EB27" s="342"/>
      <c r="EC27" s="342"/>
      <c r="ED27" s="342"/>
      <c r="EE27" s="342"/>
      <c r="EF27" s="342"/>
      <c r="EG27" s="342"/>
      <c r="EH27" s="342"/>
      <c r="EI27" s="342"/>
      <c r="EJ27" s="342"/>
      <c r="EK27" s="342"/>
      <c r="EL27" s="342"/>
      <c r="EM27" s="342"/>
      <c r="EN27" s="342"/>
      <c r="EO27" s="342"/>
      <c r="EP27" s="342"/>
      <c r="EQ27" s="342"/>
      <c r="ER27" s="342"/>
      <c r="ES27" s="342"/>
      <c r="ET27" s="342"/>
      <c r="EU27" s="342"/>
      <c r="EV27" s="342"/>
      <c r="EW27" s="342"/>
      <c r="EX27" s="342"/>
      <c r="EY27" s="342"/>
      <c r="EZ27" s="342"/>
      <c r="FA27" s="342"/>
      <c r="FB27" s="342"/>
      <c r="FC27" s="342"/>
      <c r="FD27" s="342"/>
      <c r="FE27" s="342"/>
      <c r="FF27" s="342"/>
      <c r="FG27" s="342"/>
      <c r="FH27" s="342"/>
      <c r="FI27" s="342"/>
      <c r="FJ27" s="342"/>
      <c r="FK27" s="342"/>
      <c r="FL27" s="342"/>
      <c r="FM27" s="342"/>
      <c r="FN27" s="342"/>
      <c r="FO27" s="342"/>
      <c r="FP27" s="342"/>
      <c r="FQ27" s="342"/>
      <c r="FR27" s="342"/>
      <c r="FS27" s="342"/>
      <c r="FT27" s="342"/>
      <c r="FU27" s="342"/>
      <c r="FV27" s="342"/>
      <c r="FW27" s="342"/>
      <c r="FX27" s="342"/>
      <c r="FY27" s="342"/>
      <c r="FZ27" s="342"/>
      <c r="GA27" s="342"/>
      <c r="GB27" s="342"/>
      <c r="GC27" s="342"/>
      <c r="GD27" s="342"/>
      <c r="GE27" s="342"/>
      <c r="GF27" s="342"/>
      <c r="GG27" s="342"/>
      <c r="GH27" s="342"/>
      <c r="GI27" s="342"/>
      <c r="GJ27" s="342"/>
      <c r="GK27" s="342"/>
      <c r="GL27" s="342"/>
      <c r="GM27" s="342"/>
      <c r="GN27" s="342"/>
      <c r="GO27" s="342"/>
      <c r="GP27" s="342"/>
      <c r="GQ27" s="342"/>
      <c r="GR27" s="342"/>
      <c r="GS27" s="342"/>
      <c r="GT27" s="342"/>
      <c r="GU27" s="342"/>
      <c r="GV27" s="342"/>
      <c r="GW27" s="342"/>
      <c r="GX27" s="342"/>
      <c r="GY27" s="342"/>
      <c r="GZ27" s="342"/>
      <c r="HA27" s="342"/>
      <c r="HB27" s="342"/>
      <c r="HC27" s="342"/>
      <c r="HD27" s="342"/>
      <c r="HE27" s="342"/>
      <c r="HF27" s="342"/>
      <c r="HG27" s="342"/>
      <c r="HH27" s="342"/>
      <c r="HI27" s="342"/>
      <c r="HJ27" s="342"/>
      <c r="HK27" s="342"/>
      <c r="KO27" s="342"/>
    </row>
    <row r="28" spans="1:301" s="388" customFormat="1" ht="18.75" customHeight="1">
      <c r="A28" s="260">
        <v>649</v>
      </c>
      <c r="B28" s="388" t="s">
        <v>12</v>
      </c>
      <c r="C28" s="377" t="s">
        <v>1299</v>
      </c>
      <c r="D28" s="325">
        <v>38504</v>
      </c>
      <c r="E28" s="325">
        <v>38657</v>
      </c>
      <c r="F28" s="377" t="s">
        <v>5</v>
      </c>
      <c r="G28" s="252" t="s">
        <v>1451</v>
      </c>
      <c r="H28" s="388" t="s">
        <v>255</v>
      </c>
      <c r="I28" s="254" t="s">
        <v>2331</v>
      </c>
      <c r="J28" s="318">
        <v>15168</v>
      </c>
      <c r="K28" s="327">
        <v>100021</v>
      </c>
      <c r="L28" s="327">
        <v>100021</v>
      </c>
      <c r="M28" s="318">
        <v>100021</v>
      </c>
      <c r="N28" s="256">
        <f t="shared" si="2"/>
        <v>6.5942114978902957</v>
      </c>
      <c r="O28" s="318">
        <v>100</v>
      </c>
      <c r="P28" s="327" t="s">
        <v>75</v>
      </c>
      <c r="Q28" s="327" t="s">
        <v>75</v>
      </c>
      <c r="R28" s="318" t="s">
        <v>75</v>
      </c>
      <c r="S28" s="318" t="s">
        <v>75</v>
      </c>
      <c r="T28" s="327" t="s">
        <v>75</v>
      </c>
      <c r="U28" s="318" t="s">
        <v>75</v>
      </c>
      <c r="V28" s="318" t="s">
        <v>66</v>
      </c>
      <c r="W28" s="318" t="s">
        <v>66</v>
      </c>
      <c r="X28" s="318"/>
      <c r="Y28" s="318" t="s">
        <v>75</v>
      </c>
      <c r="Z28" s="318" t="s">
        <v>75</v>
      </c>
      <c r="AA28" s="318" t="s">
        <v>75</v>
      </c>
      <c r="AB28" s="318" t="s">
        <v>75</v>
      </c>
      <c r="AC28" s="318" t="s">
        <v>75</v>
      </c>
      <c r="AD28" s="318" t="s">
        <v>75</v>
      </c>
      <c r="AE28" s="327">
        <v>300</v>
      </c>
      <c r="AF28" s="318" t="s">
        <v>75</v>
      </c>
      <c r="AG28" s="318" t="s">
        <v>75</v>
      </c>
      <c r="AH28" s="318" t="s">
        <v>75</v>
      </c>
      <c r="AI28" s="318" t="s">
        <v>75</v>
      </c>
      <c r="AJ28" s="301">
        <f t="shared" si="1"/>
        <v>0</v>
      </c>
      <c r="AK28" s="318" t="s">
        <v>66</v>
      </c>
      <c r="AL28" s="318" t="s">
        <v>66</v>
      </c>
      <c r="AM28" s="318"/>
      <c r="AO28" s="342" t="s">
        <v>75</v>
      </c>
      <c r="AP28" s="342" t="s">
        <v>75</v>
      </c>
      <c r="AQ28" s="342" t="s">
        <v>75</v>
      </c>
      <c r="AR28" s="342" t="s">
        <v>75</v>
      </c>
      <c r="AS28" s="342" t="s">
        <v>75</v>
      </c>
      <c r="AT28" s="342" t="s">
        <v>75</v>
      </c>
      <c r="AU28" s="342" t="s">
        <v>75</v>
      </c>
      <c r="AV28" s="377" t="s">
        <v>256</v>
      </c>
      <c r="BN28" s="342"/>
      <c r="BO28" s="342"/>
      <c r="BP28" s="342"/>
      <c r="BQ28" s="342"/>
      <c r="BR28" s="342"/>
      <c r="BS28" s="342"/>
      <c r="BT28" s="342"/>
      <c r="BU28" s="342"/>
      <c r="BV28" s="342"/>
      <c r="BW28" s="342"/>
      <c r="BX28" s="342"/>
      <c r="BY28" s="342"/>
      <c r="BZ28" s="342"/>
      <c r="CA28" s="342"/>
      <c r="CB28" s="342"/>
      <c r="CC28" s="342"/>
      <c r="CD28" s="342"/>
      <c r="CE28" s="342"/>
      <c r="CF28" s="342"/>
      <c r="CG28" s="342"/>
      <c r="CH28" s="342"/>
      <c r="CI28" s="342"/>
      <c r="CJ28" s="342"/>
      <c r="CK28" s="342"/>
      <c r="CL28" s="342"/>
      <c r="CM28" s="342"/>
      <c r="CN28" s="342"/>
      <c r="CO28" s="342"/>
      <c r="CP28" s="342"/>
      <c r="CQ28" s="342"/>
      <c r="CR28" s="342"/>
      <c r="CS28" s="342"/>
      <c r="CT28" s="342"/>
      <c r="CU28" s="342"/>
      <c r="CV28" s="342"/>
      <c r="CW28" s="342"/>
      <c r="CX28" s="342"/>
      <c r="CY28" s="342"/>
      <c r="CZ28" s="342"/>
      <c r="DA28" s="342"/>
      <c r="DB28" s="342"/>
      <c r="DC28" s="342"/>
      <c r="DD28" s="342"/>
      <c r="DE28" s="342"/>
      <c r="DF28" s="342"/>
      <c r="DG28" s="342"/>
      <c r="DH28" s="342"/>
      <c r="DI28" s="342"/>
      <c r="DJ28" s="342"/>
      <c r="DK28" s="342"/>
      <c r="DL28" s="342"/>
      <c r="DM28" s="342"/>
      <c r="DN28" s="342"/>
      <c r="DO28" s="342"/>
      <c r="DP28" s="342"/>
      <c r="DQ28" s="342"/>
      <c r="DR28" s="342"/>
      <c r="DS28" s="342"/>
      <c r="DT28" s="342"/>
      <c r="DU28" s="342"/>
      <c r="DV28" s="342"/>
      <c r="DW28" s="342"/>
      <c r="DX28" s="342"/>
      <c r="DY28" s="342"/>
      <c r="DZ28" s="342"/>
      <c r="EA28" s="342"/>
      <c r="EB28" s="342"/>
      <c r="EC28" s="342"/>
      <c r="ED28" s="342"/>
      <c r="EE28" s="342"/>
      <c r="EF28" s="342"/>
      <c r="EG28" s="342"/>
      <c r="EH28" s="342"/>
      <c r="EI28" s="342"/>
      <c r="EJ28" s="342"/>
      <c r="EK28" s="342"/>
      <c r="EL28" s="342"/>
      <c r="EM28" s="342"/>
      <c r="EN28" s="342"/>
      <c r="EO28" s="342"/>
      <c r="EP28" s="342"/>
      <c r="EQ28" s="342"/>
      <c r="ER28" s="342"/>
      <c r="ES28" s="342"/>
      <c r="ET28" s="342"/>
      <c r="EU28" s="342"/>
      <c r="EV28" s="342"/>
      <c r="EW28" s="342"/>
      <c r="EX28" s="342"/>
      <c r="EY28" s="342"/>
      <c r="EZ28" s="342"/>
      <c r="FA28" s="342"/>
      <c r="FB28" s="342"/>
      <c r="FC28" s="342"/>
      <c r="FD28" s="342"/>
      <c r="FE28" s="342"/>
      <c r="FF28" s="342"/>
      <c r="FG28" s="342"/>
      <c r="FH28" s="342"/>
      <c r="FI28" s="342"/>
      <c r="FJ28" s="342"/>
      <c r="FK28" s="342"/>
      <c r="FL28" s="342"/>
      <c r="FM28" s="342"/>
      <c r="FN28" s="342"/>
      <c r="FO28" s="342"/>
      <c r="FP28" s="342"/>
      <c r="FQ28" s="342"/>
      <c r="FR28" s="342"/>
      <c r="FS28" s="342"/>
      <c r="FT28" s="342"/>
      <c r="FU28" s="342"/>
      <c r="FV28" s="342"/>
      <c r="FW28" s="342"/>
      <c r="FX28" s="342"/>
      <c r="FY28" s="342"/>
      <c r="FZ28" s="342"/>
      <c r="GA28" s="342"/>
      <c r="GB28" s="342"/>
      <c r="GC28" s="342"/>
      <c r="GD28" s="342"/>
      <c r="GE28" s="342"/>
      <c r="GF28" s="342"/>
      <c r="GG28" s="342"/>
      <c r="GH28" s="342"/>
      <c r="GI28" s="342"/>
      <c r="GJ28" s="342"/>
      <c r="GK28" s="342"/>
      <c r="GL28" s="342"/>
      <c r="GM28" s="342"/>
      <c r="GN28" s="342"/>
      <c r="GO28" s="342"/>
      <c r="GP28" s="342"/>
      <c r="GQ28" s="342"/>
      <c r="GR28" s="342"/>
      <c r="GS28" s="342"/>
      <c r="GT28" s="342"/>
      <c r="GU28" s="342"/>
      <c r="GV28" s="342"/>
      <c r="GW28" s="342"/>
      <c r="GX28" s="342"/>
      <c r="GY28" s="342"/>
      <c r="GZ28" s="342"/>
      <c r="HA28" s="342"/>
      <c r="HB28" s="342"/>
      <c r="HC28" s="342"/>
      <c r="HD28" s="342"/>
      <c r="HE28" s="342"/>
      <c r="HF28" s="342"/>
      <c r="HG28" s="342"/>
      <c r="HH28" s="342"/>
      <c r="HI28" s="342"/>
      <c r="HJ28" s="342"/>
      <c r="HK28" s="342"/>
      <c r="KO28" s="342"/>
    </row>
    <row r="29" spans="1:301" s="388" customFormat="1" ht="18.75" customHeight="1">
      <c r="A29" s="260">
        <v>650</v>
      </c>
      <c r="B29" s="261" t="s">
        <v>12</v>
      </c>
      <c r="C29" s="362" t="s">
        <v>1299</v>
      </c>
      <c r="D29" s="262">
        <v>38534</v>
      </c>
      <c r="E29" s="262">
        <v>38687</v>
      </c>
      <c r="F29" s="261" t="s">
        <v>345</v>
      </c>
      <c r="G29" s="252" t="s">
        <v>1452</v>
      </c>
      <c r="H29" s="261" t="s">
        <v>344</v>
      </c>
      <c r="I29" s="254" t="s">
        <v>2331</v>
      </c>
      <c r="J29" s="263">
        <v>7500</v>
      </c>
      <c r="K29" s="263">
        <v>0</v>
      </c>
      <c r="L29" s="263">
        <v>200000</v>
      </c>
      <c r="M29" s="263">
        <v>200000</v>
      </c>
      <c r="N29" s="256">
        <f t="shared" si="2"/>
        <v>26.666666666666668</v>
      </c>
      <c r="O29" s="263" t="s">
        <v>66</v>
      </c>
      <c r="P29" s="263" t="s">
        <v>134</v>
      </c>
      <c r="Q29" s="263" t="s">
        <v>75</v>
      </c>
      <c r="R29" s="263" t="s">
        <v>75</v>
      </c>
      <c r="S29" s="263" t="s">
        <v>233</v>
      </c>
      <c r="T29" s="263" t="s">
        <v>75</v>
      </c>
      <c r="U29" s="263" t="s">
        <v>75</v>
      </c>
      <c r="V29" s="263" t="s">
        <v>66</v>
      </c>
      <c r="W29" s="263" t="s">
        <v>66</v>
      </c>
      <c r="X29" s="263"/>
      <c r="Y29" s="263" t="s">
        <v>134</v>
      </c>
      <c r="Z29" s="263" t="s">
        <v>75</v>
      </c>
      <c r="AA29" s="263" t="s">
        <v>75</v>
      </c>
      <c r="AB29" s="263" t="s">
        <v>134</v>
      </c>
      <c r="AC29" s="263" t="s">
        <v>75</v>
      </c>
      <c r="AD29" s="263" t="s">
        <v>75</v>
      </c>
      <c r="AE29" s="263">
        <v>2260</v>
      </c>
      <c r="AF29" s="263" t="s">
        <v>75</v>
      </c>
      <c r="AG29" s="263" t="s">
        <v>75</v>
      </c>
      <c r="AH29" s="263" t="s">
        <v>267</v>
      </c>
      <c r="AI29" s="263" t="s">
        <v>267</v>
      </c>
      <c r="AJ29" s="301">
        <f t="shared" si="1"/>
        <v>0</v>
      </c>
      <c r="AK29" s="263" t="s">
        <v>66</v>
      </c>
      <c r="AL29" s="263" t="s">
        <v>66</v>
      </c>
      <c r="AM29" s="263"/>
      <c r="AN29" s="261"/>
      <c r="AO29" s="261" t="s">
        <v>75</v>
      </c>
      <c r="AP29" s="261" t="s">
        <v>75</v>
      </c>
      <c r="AQ29" s="261" t="s">
        <v>75</v>
      </c>
      <c r="AR29" s="261" t="s">
        <v>75</v>
      </c>
      <c r="AS29" s="261" t="s">
        <v>75</v>
      </c>
      <c r="AT29" s="261" t="s">
        <v>75</v>
      </c>
      <c r="AU29" s="261" t="s">
        <v>75</v>
      </c>
      <c r="AV29" s="276" t="s">
        <v>346</v>
      </c>
      <c r="AW29" s="261"/>
      <c r="AX29" s="261"/>
      <c r="AY29" s="261"/>
      <c r="AZ29" s="261"/>
      <c r="BA29" s="261"/>
      <c r="BB29" s="261"/>
      <c r="BC29" s="261"/>
      <c r="BD29" s="261"/>
      <c r="BE29" s="261"/>
      <c r="BF29" s="261"/>
      <c r="BG29" s="261"/>
      <c r="BH29" s="261"/>
      <c r="BI29" s="261"/>
      <c r="BJ29" s="261"/>
      <c r="BK29" s="261"/>
      <c r="BL29" s="261"/>
      <c r="BM29" s="261"/>
      <c r="BN29" s="261"/>
      <c r="BO29" s="342"/>
      <c r="BP29" s="342"/>
      <c r="BQ29" s="342"/>
      <c r="BR29" s="342"/>
      <c r="BS29" s="342"/>
      <c r="BT29" s="342"/>
      <c r="BU29" s="342"/>
      <c r="BV29" s="342"/>
      <c r="BW29" s="342"/>
      <c r="BX29" s="342"/>
      <c r="BY29" s="342"/>
      <c r="BZ29" s="342"/>
      <c r="CA29" s="342"/>
      <c r="CB29" s="342"/>
      <c r="CC29" s="342"/>
      <c r="CD29" s="342"/>
      <c r="CE29" s="342"/>
      <c r="CF29" s="342"/>
      <c r="CG29" s="342"/>
      <c r="CH29" s="342"/>
      <c r="CI29" s="342"/>
      <c r="CJ29" s="342"/>
      <c r="CK29" s="342"/>
      <c r="CL29" s="342"/>
      <c r="CM29" s="342"/>
      <c r="CN29" s="342"/>
      <c r="CO29" s="342"/>
      <c r="CP29" s="342"/>
      <c r="CQ29" s="342"/>
      <c r="CR29" s="342"/>
      <c r="CS29" s="342"/>
      <c r="CT29" s="342"/>
      <c r="CU29" s="342"/>
      <c r="CV29" s="342"/>
      <c r="CW29" s="342"/>
      <c r="CX29" s="342"/>
      <c r="CY29" s="342"/>
      <c r="CZ29" s="342"/>
      <c r="DA29" s="342"/>
      <c r="DB29" s="342"/>
      <c r="DC29" s="342"/>
      <c r="DD29" s="342"/>
      <c r="DE29" s="342"/>
      <c r="DF29" s="342"/>
      <c r="DG29" s="342"/>
      <c r="DH29" s="342"/>
      <c r="DI29" s="342"/>
      <c r="DJ29" s="342"/>
      <c r="DK29" s="342"/>
      <c r="DL29" s="342"/>
      <c r="DM29" s="342"/>
      <c r="DN29" s="342"/>
      <c r="DO29" s="342"/>
      <c r="DP29" s="342"/>
      <c r="DQ29" s="342"/>
      <c r="DR29" s="342"/>
      <c r="DS29" s="342"/>
      <c r="DT29" s="342"/>
      <c r="DU29" s="342"/>
      <c r="DV29" s="342"/>
      <c r="DW29" s="342"/>
      <c r="DX29" s="342"/>
      <c r="DY29" s="342"/>
      <c r="DZ29" s="342"/>
      <c r="EA29" s="342"/>
      <c r="EB29" s="342"/>
      <c r="EC29" s="342"/>
      <c r="ED29" s="342"/>
      <c r="EE29" s="342"/>
      <c r="EF29" s="342"/>
      <c r="EG29" s="342"/>
      <c r="EH29" s="342"/>
      <c r="EI29" s="342"/>
      <c r="EJ29" s="342"/>
      <c r="EK29" s="342"/>
      <c r="EL29" s="342"/>
      <c r="EM29" s="342"/>
      <c r="EN29" s="342"/>
      <c r="EO29" s="342"/>
      <c r="EP29" s="342"/>
      <c r="EQ29" s="342"/>
      <c r="ER29" s="342"/>
      <c r="ES29" s="342"/>
      <c r="ET29" s="342"/>
      <c r="EU29" s="342"/>
      <c r="EV29" s="342"/>
      <c r="EW29" s="342"/>
      <c r="EX29" s="342"/>
      <c r="EY29" s="342"/>
      <c r="EZ29" s="342"/>
      <c r="FA29" s="342"/>
      <c r="FB29" s="342"/>
      <c r="FC29" s="342"/>
      <c r="FD29" s="342"/>
      <c r="FE29" s="342"/>
      <c r="FF29" s="342"/>
      <c r="FG29" s="342"/>
      <c r="FH29" s="342"/>
      <c r="FI29" s="342"/>
      <c r="FJ29" s="342"/>
      <c r="FK29" s="342"/>
      <c r="FL29" s="342"/>
      <c r="FM29" s="342"/>
      <c r="FN29" s="342"/>
      <c r="FO29" s="342"/>
      <c r="FP29" s="342"/>
      <c r="FQ29" s="342"/>
      <c r="FR29" s="342"/>
      <c r="FS29" s="342"/>
      <c r="FT29" s="342"/>
      <c r="FU29" s="342"/>
      <c r="FV29" s="342"/>
      <c r="FW29" s="342"/>
      <c r="FX29" s="342"/>
      <c r="FY29" s="342"/>
      <c r="FZ29" s="342"/>
      <c r="GA29" s="342"/>
      <c r="GB29" s="342"/>
      <c r="GC29" s="342"/>
      <c r="GD29" s="342"/>
      <c r="GE29" s="342"/>
      <c r="GF29" s="342"/>
      <c r="GG29" s="342"/>
      <c r="GH29" s="342"/>
      <c r="GI29" s="342"/>
      <c r="GJ29" s="342"/>
      <c r="GK29" s="342"/>
      <c r="GL29" s="342"/>
      <c r="GM29" s="342"/>
      <c r="GN29" s="342"/>
      <c r="GO29" s="342"/>
      <c r="GP29" s="342"/>
      <c r="GQ29" s="342"/>
      <c r="GR29" s="342"/>
      <c r="GS29" s="342"/>
      <c r="GT29" s="342"/>
      <c r="GU29" s="342"/>
      <c r="GV29" s="342"/>
      <c r="GW29" s="342"/>
      <c r="GX29" s="342"/>
      <c r="GY29" s="342"/>
      <c r="GZ29" s="342"/>
      <c r="HA29" s="342"/>
      <c r="HB29" s="342"/>
      <c r="HC29" s="342"/>
      <c r="HD29" s="342"/>
      <c r="HE29" s="342"/>
      <c r="HF29" s="342"/>
      <c r="HG29" s="342"/>
      <c r="HH29" s="342"/>
      <c r="HI29" s="342"/>
      <c r="HJ29" s="342"/>
      <c r="HK29" s="342"/>
      <c r="KO29" s="342"/>
    </row>
    <row r="30" spans="1:301" s="342" customFormat="1" ht="18.75" customHeight="1">
      <c r="A30" s="260">
        <v>651</v>
      </c>
      <c r="B30" s="261" t="s">
        <v>374</v>
      </c>
      <c r="C30" s="388" t="s">
        <v>1278</v>
      </c>
      <c r="D30" s="262">
        <v>38443</v>
      </c>
      <c r="E30" s="262">
        <v>38596</v>
      </c>
      <c r="F30" s="261" t="s">
        <v>426</v>
      </c>
      <c r="G30" s="273" t="s">
        <v>1452</v>
      </c>
      <c r="H30" s="261" t="s">
        <v>427</v>
      </c>
      <c r="I30" s="278" t="s">
        <v>2438</v>
      </c>
      <c r="J30" s="263" t="s">
        <v>75</v>
      </c>
      <c r="K30" s="263">
        <v>387000</v>
      </c>
      <c r="L30" s="263">
        <v>193114</v>
      </c>
      <c r="M30" s="263">
        <v>193114</v>
      </c>
      <c r="N30" s="256"/>
      <c r="O30" s="263">
        <v>49.9</v>
      </c>
      <c r="P30" s="263" t="s">
        <v>75</v>
      </c>
      <c r="Q30" s="263" t="s">
        <v>75</v>
      </c>
      <c r="R30" s="263" t="s">
        <v>75</v>
      </c>
      <c r="S30" s="263" t="s">
        <v>75</v>
      </c>
      <c r="T30" s="263" t="s">
        <v>75</v>
      </c>
      <c r="U30" s="263" t="s">
        <v>75</v>
      </c>
      <c r="V30" s="263" t="s">
        <v>66</v>
      </c>
      <c r="W30" s="263" t="s">
        <v>66</v>
      </c>
      <c r="X30" s="263"/>
      <c r="Y30" s="263" t="s">
        <v>75</v>
      </c>
      <c r="Z30" s="263" t="s">
        <v>75</v>
      </c>
      <c r="AA30" s="263" t="s">
        <v>75</v>
      </c>
      <c r="AB30" s="263" t="s">
        <v>75</v>
      </c>
      <c r="AC30" s="263" t="s">
        <v>75</v>
      </c>
      <c r="AD30" s="263" t="s">
        <v>75</v>
      </c>
      <c r="AE30" s="263" t="s">
        <v>75</v>
      </c>
      <c r="AF30" s="263" t="s">
        <v>75</v>
      </c>
      <c r="AG30" s="263" t="s">
        <v>75</v>
      </c>
      <c r="AH30" s="263" t="s">
        <v>75</v>
      </c>
      <c r="AI30" s="263" t="s">
        <v>75</v>
      </c>
      <c r="AJ30" s="301">
        <f t="shared" si="1"/>
        <v>0</v>
      </c>
      <c r="AK30" s="263">
        <v>18000</v>
      </c>
      <c r="AL30" s="263" t="s">
        <v>66</v>
      </c>
      <c r="AM30" s="263"/>
      <c r="AN30" s="261"/>
      <c r="AO30" s="261" t="s">
        <v>75</v>
      </c>
      <c r="AP30" s="261" t="s">
        <v>75</v>
      </c>
      <c r="AQ30" s="261" t="s">
        <v>75</v>
      </c>
      <c r="AR30" s="261" t="s">
        <v>75</v>
      </c>
      <c r="AS30" s="261" t="s">
        <v>75</v>
      </c>
      <c r="AT30" s="261" t="s">
        <v>75</v>
      </c>
      <c r="AU30" s="261" t="s">
        <v>75</v>
      </c>
      <c r="AV30" s="261" t="s">
        <v>425</v>
      </c>
      <c r="AW30" s="261"/>
      <c r="AX30" s="261"/>
      <c r="AY30" s="261"/>
      <c r="AZ30" s="261"/>
      <c r="BA30" s="261"/>
      <c r="BB30" s="261"/>
      <c r="BC30" s="261"/>
      <c r="BD30" s="261"/>
      <c r="BE30" s="261"/>
      <c r="BF30" s="261"/>
      <c r="BG30" s="261"/>
      <c r="BH30" s="261"/>
      <c r="BI30" s="261"/>
      <c r="BJ30" s="261"/>
      <c r="BK30" s="261"/>
      <c r="BL30" s="261"/>
      <c r="BM30" s="261"/>
      <c r="BN30" s="261"/>
    </row>
    <row r="31" spans="1:301" s="342" customFormat="1" ht="18.75" customHeight="1">
      <c r="A31" s="260">
        <v>652</v>
      </c>
      <c r="B31" s="429" t="s">
        <v>139</v>
      </c>
      <c r="C31" s="304" t="s">
        <v>1299</v>
      </c>
      <c r="D31" s="317">
        <v>38626</v>
      </c>
      <c r="E31" s="317">
        <v>38961</v>
      </c>
      <c r="F31" s="304" t="s">
        <v>116</v>
      </c>
      <c r="G31" s="273" t="s">
        <v>1452</v>
      </c>
      <c r="H31" s="304" t="s">
        <v>132</v>
      </c>
      <c r="I31" s="278" t="s">
        <v>2438</v>
      </c>
      <c r="J31" s="330">
        <v>1500000</v>
      </c>
      <c r="K31" s="330">
        <v>11067382</v>
      </c>
      <c r="L31" s="330">
        <v>11180755</v>
      </c>
      <c r="M31" s="330">
        <v>11181153</v>
      </c>
      <c r="N31" s="256">
        <f t="shared" si="2"/>
        <v>7.4541019999999998</v>
      </c>
      <c r="O31" s="318">
        <v>100</v>
      </c>
      <c r="P31" s="318" t="s">
        <v>2</v>
      </c>
      <c r="Q31" s="318" t="s">
        <v>2</v>
      </c>
      <c r="R31" s="318" t="s">
        <v>134</v>
      </c>
      <c r="S31" s="318" t="s">
        <v>233</v>
      </c>
      <c r="T31" s="318"/>
      <c r="U31" s="318"/>
      <c r="V31" s="330">
        <v>488876</v>
      </c>
      <c r="W31" s="330">
        <v>222562</v>
      </c>
      <c r="X31" s="330"/>
      <c r="Y31" s="318"/>
      <c r="Z31" s="318"/>
      <c r="AA31" s="318"/>
      <c r="AB31" s="318"/>
      <c r="AC31" s="318"/>
      <c r="AD31" s="318"/>
      <c r="AE31" s="318"/>
      <c r="AF31" s="330" t="s">
        <v>75</v>
      </c>
      <c r="AG31" s="330" t="s">
        <v>75</v>
      </c>
      <c r="AH31" s="318"/>
      <c r="AI31" s="318"/>
      <c r="AJ31" s="301">
        <f t="shared" si="1"/>
        <v>0</v>
      </c>
      <c r="AK31" s="330">
        <v>0</v>
      </c>
      <c r="AL31" s="330">
        <v>5836</v>
      </c>
      <c r="AM31" s="263"/>
      <c r="AO31" s="304" t="s">
        <v>75</v>
      </c>
      <c r="AP31" s="304" t="s">
        <v>75</v>
      </c>
      <c r="AQ31" s="304" t="s">
        <v>75</v>
      </c>
      <c r="AR31" s="304" t="s">
        <v>75</v>
      </c>
      <c r="AS31" s="304" t="s">
        <v>75</v>
      </c>
      <c r="AT31" s="304" t="s">
        <v>75</v>
      </c>
      <c r="AU31" s="304" t="s">
        <v>75</v>
      </c>
      <c r="AV31" s="407" t="s">
        <v>137</v>
      </c>
    </row>
    <row r="32" spans="1:301" s="342" customFormat="1" ht="18.75" customHeight="1">
      <c r="A32" s="260">
        <v>653</v>
      </c>
      <c r="B32" s="429" t="s">
        <v>140</v>
      </c>
      <c r="C32" s="304" t="s">
        <v>1299</v>
      </c>
      <c r="D32" s="317">
        <v>38626</v>
      </c>
      <c r="E32" s="317">
        <v>38961</v>
      </c>
      <c r="F32" s="304" t="s">
        <v>116</v>
      </c>
      <c r="G32" s="273" t="s">
        <v>1452</v>
      </c>
      <c r="H32" s="304" t="s">
        <v>132</v>
      </c>
      <c r="I32" s="278" t="s">
        <v>2438</v>
      </c>
      <c r="J32" s="330"/>
      <c r="K32" s="330"/>
      <c r="L32" s="330"/>
      <c r="M32" s="330"/>
      <c r="N32" s="256"/>
      <c r="O32" s="318"/>
      <c r="P32" s="318">
        <v>29000</v>
      </c>
      <c r="Q32" s="318" t="s">
        <v>134</v>
      </c>
      <c r="R32" s="318">
        <v>29000</v>
      </c>
      <c r="S32" s="318" t="s">
        <v>2</v>
      </c>
      <c r="T32" s="318"/>
      <c r="U32" s="318"/>
      <c r="V32" s="330"/>
      <c r="W32" s="330"/>
      <c r="X32" s="349">
        <f>W32/R32</f>
        <v>0</v>
      </c>
      <c r="Y32" s="318"/>
      <c r="Z32" s="318"/>
      <c r="AA32" s="318"/>
      <c r="AB32" s="318"/>
      <c r="AC32" s="318"/>
      <c r="AD32" s="318"/>
      <c r="AE32" s="318"/>
      <c r="AF32" s="330"/>
      <c r="AG32" s="330"/>
      <c r="AH32" s="318"/>
      <c r="AI32" s="318"/>
      <c r="AJ32" s="301">
        <f t="shared" si="1"/>
        <v>0</v>
      </c>
      <c r="AK32" s="330"/>
      <c r="AL32" s="330"/>
      <c r="AM32" s="263"/>
      <c r="AO32" s="304"/>
      <c r="AP32" s="304"/>
      <c r="AQ32" s="304"/>
      <c r="AR32" s="304"/>
      <c r="AS32" s="304"/>
      <c r="AT32" s="304"/>
      <c r="AU32" s="304"/>
      <c r="AV32" s="415" t="s">
        <v>137</v>
      </c>
    </row>
    <row r="33" spans="1:301" s="342" customFormat="1" ht="18.75" customHeight="1">
      <c r="A33" s="260">
        <v>654</v>
      </c>
      <c r="B33" s="429" t="s">
        <v>143</v>
      </c>
      <c r="C33" s="304" t="s">
        <v>1299</v>
      </c>
      <c r="D33" s="317">
        <v>38626</v>
      </c>
      <c r="E33" s="317">
        <v>38961</v>
      </c>
      <c r="F33" s="304" t="s">
        <v>116</v>
      </c>
      <c r="G33" s="273" t="s">
        <v>1452</v>
      </c>
      <c r="H33" s="304" t="s">
        <v>132</v>
      </c>
      <c r="I33" s="278" t="s">
        <v>2438</v>
      </c>
      <c r="J33" s="330"/>
      <c r="K33" s="330"/>
      <c r="L33" s="330"/>
      <c r="M33" s="330"/>
      <c r="N33" s="256"/>
      <c r="O33" s="318"/>
      <c r="P33" s="318">
        <v>8500</v>
      </c>
      <c r="Q33" s="318">
        <v>10000</v>
      </c>
      <c r="R33" s="318">
        <v>10000</v>
      </c>
      <c r="S33" s="318" t="s">
        <v>2</v>
      </c>
      <c r="T33" s="318"/>
      <c r="U33" s="318"/>
      <c r="V33" s="330"/>
      <c r="W33" s="330"/>
      <c r="X33" s="349">
        <f>W33/R33</f>
        <v>0</v>
      </c>
      <c r="Y33" s="318"/>
      <c r="Z33" s="318"/>
      <c r="AA33" s="318"/>
      <c r="AB33" s="318"/>
      <c r="AC33" s="318"/>
      <c r="AD33" s="318"/>
      <c r="AE33" s="318"/>
      <c r="AF33" s="330"/>
      <c r="AG33" s="330"/>
      <c r="AH33" s="318"/>
      <c r="AI33" s="318"/>
      <c r="AJ33" s="301">
        <f t="shared" si="1"/>
        <v>0</v>
      </c>
      <c r="AK33" s="330"/>
      <c r="AL33" s="330"/>
      <c r="AM33" s="263"/>
      <c r="AO33" s="304"/>
      <c r="AP33" s="304"/>
      <c r="AQ33" s="304"/>
      <c r="AR33" s="304"/>
      <c r="AS33" s="304"/>
      <c r="AT33" s="304"/>
      <c r="AU33" s="304"/>
      <c r="AV33" s="407" t="s">
        <v>137</v>
      </c>
    </row>
    <row r="34" spans="1:301" s="342" customFormat="1" ht="18.75" customHeight="1">
      <c r="A34" s="260">
        <v>655</v>
      </c>
      <c r="B34" s="429" t="s">
        <v>144</v>
      </c>
      <c r="C34" s="304" t="s">
        <v>1299</v>
      </c>
      <c r="D34" s="317">
        <v>38626</v>
      </c>
      <c r="E34" s="317">
        <v>38961</v>
      </c>
      <c r="F34" s="304" t="s">
        <v>116</v>
      </c>
      <c r="G34" s="273" t="s">
        <v>1452</v>
      </c>
      <c r="H34" s="304" t="s">
        <v>132</v>
      </c>
      <c r="I34" s="278" t="s">
        <v>2438</v>
      </c>
      <c r="J34" s="330"/>
      <c r="K34" s="330"/>
      <c r="L34" s="330"/>
      <c r="M34" s="330"/>
      <c r="N34" s="256"/>
      <c r="O34" s="318"/>
      <c r="P34" s="318" t="s">
        <v>134</v>
      </c>
      <c r="Q34" s="318" t="s">
        <v>134</v>
      </c>
      <c r="R34" s="318" t="s">
        <v>134</v>
      </c>
      <c r="S34" s="318" t="s">
        <v>233</v>
      </c>
      <c r="T34" s="318"/>
      <c r="U34" s="318"/>
      <c r="V34" s="330"/>
      <c r="W34" s="330"/>
      <c r="X34" s="330"/>
      <c r="Y34" s="318"/>
      <c r="Z34" s="318"/>
      <c r="AA34" s="318"/>
      <c r="AB34" s="318"/>
      <c r="AC34" s="318"/>
      <c r="AD34" s="318"/>
      <c r="AE34" s="318"/>
      <c r="AF34" s="330"/>
      <c r="AG34" s="330"/>
      <c r="AH34" s="318"/>
      <c r="AI34" s="318"/>
      <c r="AJ34" s="301">
        <f t="shared" si="1"/>
        <v>0</v>
      </c>
      <c r="AK34" s="330"/>
      <c r="AL34" s="330"/>
      <c r="AM34" s="263"/>
      <c r="AO34" s="304"/>
      <c r="AP34" s="304"/>
      <c r="AQ34" s="304"/>
      <c r="AR34" s="304"/>
      <c r="AS34" s="304"/>
      <c r="AT34" s="304"/>
      <c r="AU34" s="304"/>
      <c r="AV34" s="407" t="s">
        <v>137</v>
      </c>
    </row>
    <row r="35" spans="1:301" s="261" customFormat="1" ht="18.75" customHeight="1">
      <c r="A35" s="260">
        <v>656</v>
      </c>
      <c r="B35" s="429" t="s">
        <v>138</v>
      </c>
      <c r="C35" s="304" t="s">
        <v>1299</v>
      </c>
      <c r="D35" s="317">
        <v>38626</v>
      </c>
      <c r="E35" s="317">
        <v>38961</v>
      </c>
      <c r="F35" s="304" t="s">
        <v>116</v>
      </c>
      <c r="G35" s="273" t="s">
        <v>1452</v>
      </c>
      <c r="H35" s="304" t="s">
        <v>132</v>
      </c>
      <c r="I35" s="278" t="s">
        <v>2438</v>
      </c>
      <c r="J35" s="330"/>
      <c r="K35" s="330"/>
      <c r="L35" s="330"/>
      <c r="M35" s="330"/>
      <c r="N35" s="256"/>
      <c r="O35" s="318"/>
      <c r="P35" s="318" t="s">
        <v>134</v>
      </c>
      <c r="Q35" s="318" t="s">
        <v>134</v>
      </c>
      <c r="R35" s="318" t="s">
        <v>134</v>
      </c>
      <c r="S35" s="318" t="s">
        <v>233</v>
      </c>
      <c r="T35" s="318"/>
      <c r="U35" s="318"/>
      <c r="V35" s="330"/>
      <c r="W35" s="330"/>
      <c r="X35" s="330"/>
      <c r="Y35" s="318"/>
      <c r="Z35" s="318"/>
      <c r="AA35" s="318"/>
      <c r="AB35" s="318"/>
      <c r="AC35" s="318"/>
      <c r="AD35" s="318"/>
      <c r="AE35" s="318"/>
      <c r="AF35" s="330"/>
      <c r="AG35" s="330"/>
      <c r="AH35" s="318"/>
      <c r="AI35" s="318"/>
      <c r="AJ35" s="301">
        <f t="shared" ref="AJ35:AJ66" si="6">SUM(Z35,AA35,AH35)</f>
        <v>0</v>
      </c>
      <c r="AK35" s="330"/>
      <c r="AL35" s="330"/>
      <c r="AM35" s="263"/>
      <c r="AN35" s="342"/>
      <c r="AO35" s="304"/>
      <c r="AP35" s="304"/>
      <c r="AQ35" s="304"/>
      <c r="AR35" s="304"/>
      <c r="AS35" s="304"/>
      <c r="AT35" s="304"/>
      <c r="AU35" s="304"/>
      <c r="AV35" s="407" t="s">
        <v>137</v>
      </c>
      <c r="AW35" s="342"/>
      <c r="AX35" s="342"/>
      <c r="AY35" s="342"/>
      <c r="AZ35" s="342"/>
      <c r="BA35" s="342"/>
      <c r="BB35" s="342"/>
      <c r="BC35" s="342"/>
      <c r="BD35" s="342"/>
      <c r="BE35" s="342"/>
      <c r="BF35" s="342"/>
      <c r="BG35" s="342"/>
      <c r="BH35" s="342"/>
      <c r="BI35" s="342"/>
      <c r="BJ35" s="342"/>
      <c r="BK35" s="342"/>
      <c r="BL35" s="342"/>
      <c r="BM35" s="342"/>
      <c r="BN35" s="342"/>
    </row>
    <row r="36" spans="1:301" s="284" customFormat="1" ht="18" customHeight="1">
      <c r="A36" s="260">
        <v>657</v>
      </c>
      <c r="B36" s="429" t="s">
        <v>141</v>
      </c>
      <c r="C36" s="304" t="s">
        <v>1299</v>
      </c>
      <c r="D36" s="317">
        <v>38626</v>
      </c>
      <c r="E36" s="317">
        <v>38961</v>
      </c>
      <c r="F36" s="304" t="s">
        <v>116</v>
      </c>
      <c r="G36" s="273" t="s">
        <v>1452</v>
      </c>
      <c r="H36" s="304" t="s">
        <v>132</v>
      </c>
      <c r="I36" s="278" t="s">
        <v>2438</v>
      </c>
      <c r="J36" s="330"/>
      <c r="K36" s="330"/>
      <c r="L36" s="330"/>
      <c r="M36" s="330"/>
      <c r="N36" s="256"/>
      <c r="O36" s="318"/>
      <c r="P36" s="318">
        <v>20000</v>
      </c>
      <c r="Q36" s="318">
        <v>20820</v>
      </c>
      <c r="R36" s="318">
        <v>20820</v>
      </c>
      <c r="S36" s="318" t="s">
        <v>2</v>
      </c>
      <c r="T36" s="318">
        <v>135</v>
      </c>
      <c r="U36" s="318"/>
      <c r="V36" s="330"/>
      <c r="W36" s="330"/>
      <c r="X36" s="349">
        <f>W36/R36</f>
        <v>0</v>
      </c>
      <c r="Y36" s="318"/>
      <c r="Z36" s="318"/>
      <c r="AA36" s="318"/>
      <c r="AB36" s="318"/>
      <c r="AC36" s="318"/>
      <c r="AD36" s="318"/>
      <c r="AE36" s="318"/>
      <c r="AF36" s="330"/>
      <c r="AG36" s="330"/>
      <c r="AH36" s="318"/>
      <c r="AI36" s="318"/>
      <c r="AJ36" s="301">
        <f t="shared" si="6"/>
        <v>0</v>
      </c>
      <c r="AK36" s="330"/>
      <c r="AL36" s="330"/>
      <c r="AM36" s="263"/>
      <c r="AN36" s="342"/>
      <c r="AO36" s="304"/>
      <c r="AP36" s="304"/>
      <c r="AQ36" s="304"/>
      <c r="AR36" s="304"/>
      <c r="AS36" s="304"/>
      <c r="AT36" s="304"/>
      <c r="AU36" s="304"/>
      <c r="AV36" s="407" t="s">
        <v>137</v>
      </c>
      <c r="AW36" s="342"/>
      <c r="AX36" s="342"/>
      <c r="AY36" s="342"/>
      <c r="AZ36" s="342"/>
      <c r="BA36" s="342"/>
      <c r="BB36" s="342"/>
      <c r="BC36" s="342"/>
      <c r="BD36" s="342"/>
      <c r="BE36" s="342"/>
      <c r="BF36" s="342"/>
      <c r="BG36" s="342"/>
      <c r="BH36" s="342"/>
      <c r="BI36" s="342"/>
      <c r="BJ36" s="342"/>
      <c r="BK36" s="342"/>
      <c r="BL36" s="342"/>
      <c r="BM36" s="342"/>
      <c r="BN36" s="342"/>
    </row>
    <row r="37" spans="1:301" s="284" customFormat="1" ht="15" customHeight="1">
      <c r="A37" s="260">
        <v>658</v>
      </c>
      <c r="B37" s="429" t="s">
        <v>142</v>
      </c>
      <c r="C37" s="304" t="s">
        <v>1299</v>
      </c>
      <c r="D37" s="317">
        <v>38626</v>
      </c>
      <c r="E37" s="317">
        <v>38961</v>
      </c>
      <c r="F37" s="304" t="s">
        <v>116</v>
      </c>
      <c r="G37" s="273" t="s">
        <v>1452</v>
      </c>
      <c r="H37" s="304" t="s">
        <v>132</v>
      </c>
      <c r="I37" s="278" t="s">
        <v>2438</v>
      </c>
      <c r="J37" s="330"/>
      <c r="K37" s="330"/>
      <c r="L37" s="330"/>
      <c r="M37" s="330"/>
      <c r="N37" s="256"/>
      <c r="O37" s="318"/>
      <c r="P37" s="318">
        <v>10500</v>
      </c>
      <c r="Q37" s="318">
        <v>5020</v>
      </c>
      <c r="R37" s="318">
        <v>10500</v>
      </c>
      <c r="S37" s="318" t="s">
        <v>2</v>
      </c>
      <c r="T37" s="318">
        <v>130</v>
      </c>
      <c r="U37" s="318"/>
      <c r="V37" s="330"/>
      <c r="W37" s="330"/>
      <c r="X37" s="349">
        <f>W37/R37</f>
        <v>0</v>
      </c>
      <c r="Y37" s="318"/>
      <c r="Z37" s="318"/>
      <c r="AA37" s="318"/>
      <c r="AB37" s="318"/>
      <c r="AC37" s="318"/>
      <c r="AD37" s="318"/>
      <c r="AE37" s="318"/>
      <c r="AF37" s="330"/>
      <c r="AG37" s="330"/>
      <c r="AH37" s="318"/>
      <c r="AI37" s="318"/>
      <c r="AJ37" s="301">
        <f t="shared" si="6"/>
        <v>0</v>
      </c>
      <c r="AK37" s="330"/>
      <c r="AL37" s="330"/>
      <c r="AM37" s="263"/>
      <c r="AN37" s="342"/>
      <c r="AO37" s="304"/>
      <c r="AP37" s="304"/>
      <c r="AQ37" s="304"/>
      <c r="AR37" s="304"/>
      <c r="AS37" s="304"/>
      <c r="AT37" s="304"/>
      <c r="AU37" s="304"/>
      <c r="AV37" s="407" t="s">
        <v>137</v>
      </c>
      <c r="AW37" s="342"/>
      <c r="AX37" s="342"/>
      <c r="AY37" s="342"/>
      <c r="AZ37" s="342"/>
      <c r="BA37" s="342"/>
      <c r="BB37" s="342"/>
      <c r="BC37" s="342"/>
      <c r="BD37" s="342"/>
      <c r="BE37" s="342"/>
      <c r="BF37" s="342"/>
      <c r="BG37" s="342"/>
      <c r="BH37" s="342"/>
      <c r="BI37" s="342"/>
      <c r="BJ37" s="342"/>
      <c r="BK37" s="342"/>
      <c r="BL37" s="342"/>
      <c r="BM37" s="342"/>
      <c r="BN37" s="342"/>
    </row>
    <row r="38" spans="1:301" s="388" customFormat="1" ht="18.75" customHeight="1">
      <c r="A38" s="260">
        <v>659</v>
      </c>
      <c r="B38" s="388" t="s">
        <v>120</v>
      </c>
      <c r="C38" s="377" t="s">
        <v>1299</v>
      </c>
      <c r="D38" s="317">
        <v>38657</v>
      </c>
      <c r="E38" s="325">
        <v>38687</v>
      </c>
      <c r="F38" s="304" t="s">
        <v>228</v>
      </c>
      <c r="G38" s="252" t="s">
        <v>1449</v>
      </c>
      <c r="H38" s="388" t="s">
        <v>304</v>
      </c>
      <c r="I38" s="254" t="s">
        <v>2331</v>
      </c>
      <c r="J38" s="318">
        <v>2000000</v>
      </c>
      <c r="K38" s="327">
        <v>18408</v>
      </c>
      <c r="L38" s="327">
        <v>18409</v>
      </c>
      <c r="M38" s="327">
        <v>18409</v>
      </c>
      <c r="N38" s="256">
        <f t="shared" si="2"/>
        <v>9.2044999999999991E-3</v>
      </c>
      <c r="O38" s="318">
        <v>100</v>
      </c>
      <c r="P38" s="318" t="s">
        <v>75</v>
      </c>
      <c r="Q38" s="318" t="s">
        <v>75</v>
      </c>
      <c r="R38" s="318" t="s">
        <v>75</v>
      </c>
      <c r="S38" s="318" t="s">
        <v>75</v>
      </c>
      <c r="T38" s="318" t="s">
        <v>75</v>
      </c>
      <c r="U38" s="318" t="s">
        <v>75</v>
      </c>
      <c r="V38" s="318" t="s">
        <v>66</v>
      </c>
      <c r="W38" s="318" t="s">
        <v>66</v>
      </c>
      <c r="X38" s="318"/>
      <c r="Y38" s="318"/>
      <c r="Z38" s="318" t="s">
        <v>75</v>
      </c>
      <c r="AA38" s="318">
        <v>2000000</v>
      </c>
      <c r="AB38" s="327">
        <v>800</v>
      </c>
      <c r="AC38" s="318" t="s">
        <v>75</v>
      </c>
      <c r="AD38" s="318" t="s">
        <v>134</v>
      </c>
      <c r="AE38" s="318" t="s">
        <v>206</v>
      </c>
      <c r="AF38" s="318" t="s">
        <v>75</v>
      </c>
      <c r="AG38" s="318" t="s">
        <v>75</v>
      </c>
      <c r="AH38" s="318" t="s">
        <v>75</v>
      </c>
      <c r="AI38" s="318" t="s">
        <v>75</v>
      </c>
      <c r="AJ38" s="301">
        <f t="shared" si="6"/>
        <v>2000000</v>
      </c>
      <c r="AK38" s="318" t="s">
        <v>66</v>
      </c>
      <c r="AL38" s="318" t="s">
        <v>66</v>
      </c>
      <c r="AM38" s="263"/>
      <c r="AO38" s="342" t="s">
        <v>75</v>
      </c>
      <c r="AP38" s="342" t="s">
        <v>75</v>
      </c>
      <c r="AQ38" s="342" t="s">
        <v>75</v>
      </c>
      <c r="AR38" s="342" t="s">
        <v>75</v>
      </c>
      <c r="AS38" s="342" t="s">
        <v>75</v>
      </c>
      <c r="AT38" s="342" t="s">
        <v>75</v>
      </c>
      <c r="AU38" s="342" t="s">
        <v>75</v>
      </c>
      <c r="AV38" s="377" t="s">
        <v>303</v>
      </c>
      <c r="BN38" s="342"/>
      <c r="BO38" s="342"/>
      <c r="BP38" s="342"/>
      <c r="BQ38" s="342"/>
      <c r="BR38" s="342"/>
      <c r="BS38" s="342"/>
      <c r="BT38" s="342"/>
      <c r="BU38" s="342"/>
      <c r="BV38" s="342"/>
      <c r="BW38" s="342"/>
      <c r="BX38" s="342"/>
      <c r="BY38" s="342"/>
      <c r="BZ38" s="342"/>
      <c r="CA38" s="342"/>
      <c r="CB38" s="342"/>
      <c r="CC38" s="342"/>
      <c r="CD38" s="342"/>
      <c r="CE38" s="342"/>
      <c r="CF38" s="342"/>
      <c r="CG38" s="342"/>
      <c r="CH38" s="342"/>
      <c r="CI38" s="342"/>
      <c r="CJ38" s="342"/>
      <c r="CK38" s="342"/>
      <c r="CL38" s="342"/>
      <c r="CM38" s="342"/>
      <c r="CN38" s="342"/>
      <c r="CO38" s="342"/>
      <c r="CP38" s="342"/>
      <c r="CQ38" s="342"/>
      <c r="CR38" s="342"/>
      <c r="CS38" s="342"/>
      <c r="CT38" s="342"/>
      <c r="CU38" s="342"/>
      <c r="CV38" s="342"/>
      <c r="CW38" s="342"/>
      <c r="CX38" s="342"/>
      <c r="CY38" s="342"/>
      <c r="CZ38" s="342"/>
      <c r="DA38" s="342"/>
      <c r="DB38" s="342"/>
      <c r="DC38" s="342"/>
      <c r="DD38" s="342"/>
      <c r="DE38" s="342"/>
      <c r="DF38" s="342"/>
      <c r="DG38" s="342"/>
      <c r="DH38" s="342"/>
      <c r="DI38" s="342"/>
      <c r="DJ38" s="342"/>
      <c r="DK38" s="342"/>
      <c r="DL38" s="342"/>
      <c r="DM38" s="342"/>
      <c r="DN38" s="342"/>
      <c r="DO38" s="342"/>
      <c r="DP38" s="342"/>
      <c r="DQ38" s="342"/>
      <c r="DR38" s="342"/>
      <c r="DS38" s="342"/>
      <c r="DT38" s="342"/>
      <c r="DU38" s="342"/>
      <c r="DV38" s="342"/>
      <c r="DW38" s="342"/>
      <c r="DX38" s="342"/>
      <c r="DY38" s="342"/>
      <c r="DZ38" s="342"/>
      <c r="EA38" s="342"/>
      <c r="EB38" s="342"/>
      <c r="EC38" s="342"/>
      <c r="ED38" s="342"/>
      <c r="EE38" s="342"/>
      <c r="EF38" s="342"/>
      <c r="EG38" s="342"/>
      <c r="EH38" s="342"/>
      <c r="EI38" s="342"/>
      <c r="EJ38" s="342"/>
      <c r="EK38" s="342"/>
      <c r="EL38" s="342"/>
      <c r="EM38" s="342"/>
      <c r="EN38" s="342"/>
      <c r="EO38" s="342"/>
      <c r="EP38" s="342"/>
      <c r="EQ38" s="342"/>
      <c r="ER38" s="342"/>
      <c r="ES38" s="342"/>
      <c r="ET38" s="342"/>
      <c r="EU38" s="342"/>
      <c r="EV38" s="342"/>
      <c r="EW38" s="342"/>
      <c r="EX38" s="342"/>
      <c r="EY38" s="342"/>
      <c r="EZ38" s="342"/>
      <c r="FA38" s="342"/>
      <c r="FB38" s="342"/>
      <c r="FC38" s="342"/>
      <c r="FD38" s="342"/>
      <c r="FE38" s="342"/>
      <c r="FF38" s="342"/>
      <c r="FG38" s="342"/>
      <c r="FH38" s="342"/>
      <c r="FI38" s="342"/>
      <c r="FJ38" s="342"/>
      <c r="FK38" s="342"/>
      <c r="FL38" s="342"/>
      <c r="FM38" s="342"/>
      <c r="FN38" s="342"/>
      <c r="FO38" s="342"/>
      <c r="FP38" s="342"/>
      <c r="FQ38" s="342"/>
      <c r="FR38" s="342"/>
      <c r="FS38" s="342"/>
      <c r="FT38" s="342"/>
      <c r="FU38" s="342"/>
      <c r="FV38" s="342"/>
      <c r="FW38" s="342"/>
      <c r="FX38" s="342"/>
      <c r="FY38" s="342"/>
      <c r="FZ38" s="342"/>
      <c r="GA38" s="342"/>
      <c r="GB38" s="342"/>
      <c r="GC38" s="342"/>
      <c r="GD38" s="342"/>
      <c r="GE38" s="342"/>
      <c r="GF38" s="342"/>
      <c r="GG38" s="342"/>
      <c r="GH38" s="342"/>
      <c r="GI38" s="342"/>
      <c r="GJ38" s="342"/>
      <c r="GK38" s="342"/>
      <c r="GL38" s="342"/>
      <c r="GM38" s="342"/>
      <c r="GN38" s="342"/>
      <c r="GO38" s="342"/>
      <c r="GP38" s="342"/>
      <c r="GQ38" s="342"/>
      <c r="GR38" s="342"/>
      <c r="GS38" s="342"/>
      <c r="GT38" s="342"/>
      <c r="GU38" s="342"/>
      <c r="GV38" s="342"/>
      <c r="GW38" s="342"/>
      <c r="GX38" s="342"/>
      <c r="GY38" s="342"/>
      <c r="GZ38" s="342"/>
      <c r="HA38" s="342"/>
      <c r="HB38" s="342"/>
      <c r="HC38" s="342"/>
      <c r="HD38" s="342"/>
      <c r="HE38" s="342"/>
      <c r="HF38" s="342"/>
      <c r="HG38" s="342"/>
      <c r="HH38" s="342"/>
      <c r="HI38" s="342"/>
      <c r="HJ38" s="342"/>
      <c r="HK38" s="342"/>
      <c r="KO38" s="342"/>
    </row>
    <row r="39" spans="1:301" s="388" customFormat="1" ht="18.75" customHeight="1">
      <c r="A39" s="260">
        <v>660</v>
      </c>
      <c r="B39" s="261" t="s">
        <v>934</v>
      </c>
      <c r="C39" s="261" t="s">
        <v>1260</v>
      </c>
      <c r="D39" s="485">
        <v>38565</v>
      </c>
      <c r="E39" s="262">
        <v>38687</v>
      </c>
      <c r="F39" s="261" t="s">
        <v>5</v>
      </c>
      <c r="G39" s="252" t="s">
        <v>1451</v>
      </c>
      <c r="H39" s="261" t="s">
        <v>559</v>
      </c>
      <c r="I39" s="254" t="s">
        <v>2331</v>
      </c>
      <c r="J39" s="263">
        <v>3000</v>
      </c>
      <c r="K39" s="263">
        <v>50000</v>
      </c>
      <c r="L39" s="263">
        <v>50000</v>
      </c>
      <c r="M39" s="263">
        <v>50000</v>
      </c>
      <c r="N39" s="256">
        <f t="shared" si="2"/>
        <v>16.666666666666668</v>
      </c>
      <c r="O39" s="263">
        <v>100</v>
      </c>
      <c r="P39" s="263">
        <v>2390</v>
      </c>
      <c r="Q39" s="263" t="s">
        <v>75</v>
      </c>
      <c r="R39" s="263">
        <v>2390</v>
      </c>
      <c r="S39" s="263" t="s">
        <v>233</v>
      </c>
      <c r="T39" s="263" t="s">
        <v>75</v>
      </c>
      <c r="U39" s="263" t="s">
        <v>75</v>
      </c>
      <c r="V39" s="263" t="s">
        <v>66</v>
      </c>
      <c r="W39" s="263" t="s">
        <v>66</v>
      </c>
      <c r="X39" s="349"/>
      <c r="Y39" s="263" t="s">
        <v>75</v>
      </c>
      <c r="Z39" s="263" t="s">
        <v>75</v>
      </c>
      <c r="AA39" s="263" t="s">
        <v>75</v>
      </c>
      <c r="AB39" s="263" t="s">
        <v>75</v>
      </c>
      <c r="AC39" s="263" t="s">
        <v>75</v>
      </c>
      <c r="AD39" s="263" t="s">
        <v>75</v>
      </c>
      <c r="AE39" s="263" t="s">
        <v>75</v>
      </c>
      <c r="AF39" s="263" t="s">
        <v>75</v>
      </c>
      <c r="AG39" s="263" t="s">
        <v>75</v>
      </c>
      <c r="AH39" s="263" t="s">
        <v>75</v>
      </c>
      <c r="AI39" s="263" t="s">
        <v>75</v>
      </c>
      <c r="AJ39" s="301">
        <f t="shared" si="6"/>
        <v>0</v>
      </c>
      <c r="AK39" s="263" t="s">
        <v>66</v>
      </c>
      <c r="AL39" s="263" t="s">
        <v>66</v>
      </c>
      <c r="AM39" s="263"/>
      <c r="AN39" s="261"/>
      <c r="AO39" s="261"/>
      <c r="AP39" s="261"/>
      <c r="AQ39" s="261"/>
      <c r="AR39" s="261"/>
      <c r="AS39" s="261"/>
      <c r="AT39" s="261" t="s">
        <v>75</v>
      </c>
      <c r="AU39" s="261" t="s">
        <v>75</v>
      </c>
      <c r="AV39" s="261" t="s">
        <v>556</v>
      </c>
      <c r="AW39" s="261"/>
      <c r="AX39" s="261"/>
      <c r="AY39" s="261"/>
      <c r="AZ39" s="261"/>
      <c r="BA39" s="261"/>
      <c r="BB39" s="261"/>
      <c r="BC39" s="261"/>
      <c r="BD39" s="261"/>
      <c r="BE39" s="261"/>
      <c r="BF39" s="261"/>
      <c r="BG39" s="261"/>
      <c r="BH39" s="261"/>
      <c r="BI39" s="261"/>
      <c r="BJ39" s="261"/>
      <c r="BK39" s="261"/>
      <c r="BL39" s="261"/>
      <c r="BM39" s="261"/>
      <c r="BN39" s="261"/>
      <c r="BO39" s="342"/>
      <c r="BP39" s="342"/>
      <c r="BQ39" s="342"/>
      <c r="BR39" s="342"/>
      <c r="BS39" s="342"/>
      <c r="BT39" s="342"/>
      <c r="BU39" s="342"/>
      <c r="BV39" s="342"/>
      <c r="BW39" s="342"/>
      <c r="BX39" s="342"/>
      <c r="BY39" s="342"/>
      <c r="BZ39" s="342"/>
      <c r="CA39" s="342"/>
      <c r="CB39" s="342"/>
      <c r="CC39" s="342"/>
      <c r="CD39" s="342"/>
      <c r="CE39" s="342"/>
      <c r="CF39" s="342"/>
      <c r="CG39" s="342"/>
      <c r="CH39" s="342"/>
      <c r="CI39" s="342"/>
      <c r="CJ39" s="342"/>
      <c r="CK39" s="342"/>
      <c r="CL39" s="342"/>
      <c r="CM39" s="342"/>
      <c r="CN39" s="342"/>
      <c r="CO39" s="342"/>
      <c r="CP39" s="342"/>
      <c r="CQ39" s="342"/>
      <c r="CR39" s="342"/>
      <c r="CS39" s="342"/>
      <c r="CT39" s="342"/>
      <c r="CU39" s="342"/>
      <c r="CV39" s="342"/>
      <c r="CW39" s="342"/>
      <c r="CX39" s="342"/>
      <c r="CY39" s="342"/>
      <c r="CZ39" s="342"/>
      <c r="DA39" s="342"/>
      <c r="DB39" s="342"/>
      <c r="DC39" s="342"/>
      <c r="DD39" s="342"/>
      <c r="DE39" s="342"/>
      <c r="DF39" s="342"/>
      <c r="DG39" s="342"/>
      <c r="DH39" s="342"/>
      <c r="DI39" s="342"/>
      <c r="DJ39" s="342"/>
      <c r="DK39" s="342"/>
      <c r="DL39" s="342"/>
      <c r="DM39" s="342"/>
      <c r="DN39" s="342"/>
      <c r="DO39" s="342"/>
      <c r="DP39" s="342"/>
      <c r="DQ39" s="342"/>
      <c r="DR39" s="342"/>
      <c r="DS39" s="342"/>
      <c r="DT39" s="342"/>
      <c r="DU39" s="342"/>
      <c r="DV39" s="342"/>
      <c r="DW39" s="342"/>
      <c r="DX39" s="342"/>
      <c r="DY39" s="342"/>
      <c r="DZ39" s="342"/>
      <c r="EA39" s="342"/>
      <c r="EB39" s="342"/>
      <c r="EC39" s="342"/>
      <c r="ED39" s="342"/>
      <c r="EE39" s="342"/>
      <c r="EF39" s="342"/>
      <c r="EG39" s="342"/>
      <c r="EH39" s="342"/>
      <c r="EI39" s="342"/>
      <c r="EJ39" s="342"/>
      <c r="EK39" s="342"/>
      <c r="EL39" s="342"/>
      <c r="EM39" s="342"/>
      <c r="EN39" s="342"/>
      <c r="EO39" s="342"/>
      <c r="EP39" s="342"/>
      <c r="EQ39" s="342"/>
      <c r="ER39" s="342"/>
      <c r="ES39" s="342"/>
      <c r="ET39" s="342"/>
      <c r="EU39" s="342"/>
      <c r="EV39" s="342"/>
      <c r="EW39" s="342"/>
      <c r="EX39" s="342"/>
      <c r="EY39" s="342"/>
      <c r="EZ39" s="342"/>
      <c r="FA39" s="342"/>
      <c r="FB39" s="342"/>
      <c r="FC39" s="342"/>
      <c r="FD39" s="342"/>
      <c r="FE39" s="342"/>
      <c r="FF39" s="342"/>
      <c r="FG39" s="342"/>
      <c r="FH39" s="342"/>
      <c r="FI39" s="342"/>
      <c r="FJ39" s="342"/>
      <c r="FK39" s="342"/>
      <c r="FL39" s="342"/>
      <c r="FM39" s="342"/>
      <c r="FN39" s="342"/>
      <c r="FO39" s="342"/>
      <c r="FP39" s="342"/>
      <c r="FQ39" s="342"/>
      <c r="FR39" s="342"/>
      <c r="FS39" s="342"/>
      <c r="FT39" s="342"/>
      <c r="FU39" s="342"/>
      <c r="FV39" s="342"/>
      <c r="FW39" s="342"/>
      <c r="FX39" s="342"/>
      <c r="FY39" s="342"/>
      <c r="FZ39" s="342"/>
      <c r="GA39" s="342"/>
      <c r="GB39" s="342"/>
      <c r="GC39" s="342"/>
      <c r="GD39" s="342"/>
      <c r="GE39" s="342"/>
      <c r="GF39" s="342"/>
      <c r="GG39" s="342"/>
      <c r="GH39" s="342"/>
      <c r="GI39" s="342"/>
      <c r="GJ39" s="342"/>
      <c r="GK39" s="342"/>
      <c r="GL39" s="342"/>
      <c r="GM39" s="342"/>
      <c r="GN39" s="342"/>
      <c r="GO39" s="342"/>
      <c r="GP39" s="342"/>
      <c r="GQ39" s="342"/>
      <c r="GR39" s="342"/>
      <c r="GS39" s="342"/>
      <c r="GT39" s="342"/>
      <c r="GU39" s="342"/>
      <c r="GV39" s="342"/>
      <c r="GW39" s="342"/>
      <c r="GX39" s="342"/>
      <c r="GY39" s="342"/>
      <c r="GZ39" s="342"/>
      <c r="HA39" s="342"/>
      <c r="HB39" s="342"/>
      <c r="HC39" s="342"/>
      <c r="HD39" s="342"/>
      <c r="HE39" s="342"/>
      <c r="HF39" s="342"/>
      <c r="HG39" s="342"/>
      <c r="HH39" s="342"/>
      <c r="HI39" s="342"/>
      <c r="HJ39" s="342"/>
      <c r="HK39" s="342"/>
      <c r="KO39" s="342"/>
    </row>
    <row r="40" spans="1:301" s="261" customFormat="1" ht="105">
      <c r="A40" s="260">
        <v>661</v>
      </c>
      <c r="B40" s="388" t="s">
        <v>145</v>
      </c>
      <c r="C40" s="377" t="s">
        <v>1299</v>
      </c>
      <c r="D40" s="325">
        <v>38565</v>
      </c>
      <c r="E40" s="325">
        <v>38657</v>
      </c>
      <c r="F40" s="377" t="s">
        <v>5</v>
      </c>
      <c r="G40" s="252" t="s">
        <v>1451</v>
      </c>
      <c r="H40" s="388" t="s">
        <v>269</v>
      </c>
      <c r="I40" s="254" t="s">
        <v>2331</v>
      </c>
      <c r="J40" s="318">
        <v>50000</v>
      </c>
      <c r="K40" s="327">
        <v>0</v>
      </c>
      <c r="L40" s="327">
        <v>100000</v>
      </c>
      <c r="M40" s="318">
        <v>100000</v>
      </c>
      <c r="N40" s="256">
        <f t="shared" si="2"/>
        <v>2</v>
      </c>
      <c r="O40" s="327" t="s">
        <v>66</v>
      </c>
      <c r="P40" s="327" t="s">
        <v>75</v>
      </c>
      <c r="Q40" s="327" t="s">
        <v>75</v>
      </c>
      <c r="R40" s="318" t="s">
        <v>75</v>
      </c>
      <c r="S40" s="318" t="s">
        <v>233</v>
      </c>
      <c r="T40" s="327">
        <v>50</v>
      </c>
      <c r="U40" s="318">
        <v>50000</v>
      </c>
      <c r="V40" s="318" t="s">
        <v>66</v>
      </c>
      <c r="W40" s="318" t="s">
        <v>66</v>
      </c>
      <c r="X40" s="318"/>
      <c r="Y40" s="318" t="s">
        <v>75</v>
      </c>
      <c r="Z40" s="318" t="s">
        <v>75</v>
      </c>
      <c r="AA40" s="318" t="s">
        <v>75</v>
      </c>
      <c r="AB40" s="318" t="s">
        <v>75</v>
      </c>
      <c r="AC40" s="318" t="s">
        <v>75</v>
      </c>
      <c r="AD40" s="318" t="s">
        <v>75</v>
      </c>
      <c r="AE40" s="318" t="s">
        <v>75</v>
      </c>
      <c r="AF40" s="318" t="s">
        <v>75</v>
      </c>
      <c r="AG40" s="318" t="s">
        <v>75</v>
      </c>
      <c r="AH40" s="318" t="s">
        <v>75</v>
      </c>
      <c r="AI40" s="318" t="s">
        <v>75</v>
      </c>
      <c r="AJ40" s="301">
        <f t="shared" si="6"/>
        <v>0</v>
      </c>
      <c r="AK40" s="318">
        <v>0</v>
      </c>
      <c r="AL40" s="318">
        <v>3856</v>
      </c>
      <c r="AM40" s="263"/>
      <c r="AN40" s="388"/>
      <c r="AO40" s="342" t="s">
        <v>75</v>
      </c>
      <c r="AP40" s="342" t="s">
        <v>75</v>
      </c>
      <c r="AQ40" s="342" t="s">
        <v>75</v>
      </c>
      <c r="AR40" s="342" t="s">
        <v>75</v>
      </c>
      <c r="AS40" s="342" t="s">
        <v>75</v>
      </c>
      <c r="AT40" s="342" t="s">
        <v>75</v>
      </c>
      <c r="AU40" s="342" t="s">
        <v>75</v>
      </c>
      <c r="AV40" s="404" t="s">
        <v>268</v>
      </c>
      <c r="AW40" s="388"/>
      <c r="AX40" s="388"/>
      <c r="AY40" s="388"/>
      <c r="AZ40" s="388"/>
      <c r="BA40" s="388"/>
      <c r="BB40" s="388"/>
      <c r="BC40" s="388"/>
      <c r="BD40" s="388"/>
      <c r="BE40" s="388"/>
      <c r="BF40" s="388"/>
      <c r="BG40" s="388"/>
      <c r="BH40" s="388"/>
      <c r="BI40" s="388"/>
      <c r="BJ40" s="388"/>
      <c r="BK40" s="388"/>
      <c r="BL40" s="388"/>
      <c r="BM40" s="388"/>
      <c r="BN40" s="342"/>
    </row>
    <row r="41" spans="1:301" s="261" customFormat="1" ht="15">
      <c r="A41" s="260">
        <v>662</v>
      </c>
      <c r="B41" s="261" t="s">
        <v>28</v>
      </c>
      <c r="C41" s="261" t="s">
        <v>1261</v>
      </c>
      <c r="D41" s="262">
        <v>38384</v>
      </c>
      <c r="E41" s="262">
        <v>38596</v>
      </c>
      <c r="F41" s="261" t="s">
        <v>558</v>
      </c>
      <c r="G41" s="252" t="s">
        <v>1451</v>
      </c>
      <c r="H41" s="261" t="s">
        <v>850</v>
      </c>
      <c r="I41" s="254" t="s">
        <v>2331</v>
      </c>
      <c r="J41" s="263">
        <v>10000</v>
      </c>
      <c r="K41" s="263">
        <v>100000</v>
      </c>
      <c r="L41" s="263">
        <v>100000</v>
      </c>
      <c r="M41" s="263">
        <v>100000</v>
      </c>
      <c r="N41" s="256">
        <f t="shared" si="2"/>
        <v>10</v>
      </c>
      <c r="O41" s="263">
        <v>100</v>
      </c>
      <c r="P41" s="263" t="s">
        <v>134</v>
      </c>
      <c r="Q41" s="263" t="s">
        <v>75</v>
      </c>
      <c r="R41" s="263" t="s">
        <v>75</v>
      </c>
      <c r="S41" s="263" t="s">
        <v>233</v>
      </c>
      <c r="T41" s="263" t="s">
        <v>75</v>
      </c>
      <c r="U41" s="263" t="s">
        <v>75</v>
      </c>
      <c r="V41" s="263" t="s">
        <v>66</v>
      </c>
      <c r="W41" s="263" t="s">
        <v>66</v>
      </c>
      <c r="X41" s="263"/>
      <c r="Y41" s="263" t="s">
        <v>75</v>
      </c>
      <c r="Z41" s="263" t="s">
        <v>75</v>
      </c>
      <c r="AA41" s="263" t="s">
        <v>75</v>
      </c>
      <c r="AB41" s="263" t="s">
        <v>75</v>
      </c>
      <c r="AC41" s="263" t="s">
        <v>75</v>
      </c>
      <c r="AD41" s="263" t="s">
        <v>75</v>
      </c>
      <c r="AE41" s="263" t="s">
        <v>75</v>
      </c>
      <c r="AF41" s="263" t="s">
        <v>75</v>
      </c>
      <c r="AG41" s="263" t="s">
        <v>75</v>
      </c>
      <c r="AH41" s="263" t="s">
        <v>75</v>
      </c>
      <c r="AI41" s="263" t="s">
        <v>75</v>
      </c>
      <c r="AJ41" s="301">
        <f t="shared" si="6"/>
        <v>0</v>
      </c>
      <c r="AK41" s="263" t="s">
        <v>66</v>
      </c>
      <c r="AL41" s="263" t="s">
        <v>66</v>
      </c>
      <c r="AM41" s="263"/>
      <c r="AT41" s="261" t="s">
        <v>75</v>
      </c>
      <c r="AU41" s="261" t="s">
        <v>75</v>
      </c>
      <c r="AV41" s="261" t="s">
        <v>557</v>
      </c>
    </row>
    <row r="42" spans="1:301" s="261" customFormat="1" ht="15">
      <c r="A42" s="260">
        <v>663</v>
      </c>
      <c r="B42" s="261" t="s">
        <v>28</v>
      </c>
      <c r="C42" s="261" t="s">
        <v>1261</v>
      </c>
      <c r="D42" s="255">
        <v>38626</v>
      </c>
      <c r="E42" s="255">
        <v>40878</v>
      </c>
      <c r="F42" s="261" t="s">
        <v>24</v>
      </c>
      <c r="G42" s="273" t="s">
        <v>1454</v>
      </c>
      <c r="H42" s="430" t="s">
        <v>2009</v>
      </c>
      <c r="I42" s="278" t="s">
        <v>2438</v>
      </c>
      <c r="J42" s="256">
        <v>1085000</v>
      </c>
      <c r="K42" s="256">
        <v>167680883</v>
      </c>
      <c r="L42" s="256">
        <v>159683680</v>
      </c>
      <c r="M42" s="256">
        <v>152009472</v>
      </c>
      <c r="N42" s="256">
        <f t="shared" si="2"/>
        <v>140.10089585253456</v>
      </c>
      <c r="O42" s="256">
        <f>(L42*100)/K42</f>
        <v>95.230700806841526</v>
      </c>
      <c r="P42" s="256">
        <v>128100</v>
      </c>
      <c r="Q42" s="256">
        <v>129725</v>
      </c>
      <c r="R42" s="256">
        <v>152476</v>
      </c>
      <c r="S42" s="256" t="s">
        <v>2</v>
      </c>
      <c r="T42" s="256">
        <v>203</v>
      </c>
      <c r="U42" s="256">
        <v>93000</v>
      </c>
      <c r="V42" s="256">
        <v>1884256</v>
      </c>
      <c r="W42" s="256">
        <v>8908953</v>
      </c>
      <c r="X42" s="349">
        <f>W42/R42</f>
        <v>58.428559248668641</v>
      </c>
      <c r="Y42" s="256">
        <v>416916</v>
      </c>
      <c r="Z42" s="256">
        <v>32000</v>
      </c>
      <c r="AA42" s="256">
        <v>241500</v>
      </c>
      <c r="AB42" s="256">
        <v>3266</v>
      </c>
      <c r="AC42" s="256">
        <v>150</v>
      </c>
      <c r="AD42" s="256"/>
      <c r="AE42" s="256"/>
      <c r="AF42" s="256"/>
      <c r="AG42" s="256"/>
      <c r="AH42" s="256"/>
      <c r="AI42" s="256"/>
      <c r="AJ42" s="301">
        <f t="shared" si="6"/>
        <v>273500</v>
      </c>
      <c r="AK42" s="256">
        <v>3518166</v>
      </c>
      <c r="AL42" s="256">
        <v>2704108</v>
      </c>
      <c r="AM42" s="263">
        <f t="shared" ref="AM42" si="7">AL42/AJ42</f>
        <v>9.8870493601462517</v>
      </c>
      <c r="AN42" s="372"/>
      <c r="AO42" s="378">
        <v>1</v>
      </c>
      <c r="AP42" s="378">
        <v>1</v>
      </c>
      <c r="AQ42" s="378">
        <v>1</v>
      </c>
      <c r="AR42" s="372">
        <v>1</v>
      </c>
      <c r="AS42" s="372">
        <v>6</v>
      </c>
      <c r="AT42" s="372" t="s">
        <v>2010</v>
      </c>
      <c r="AU42" s="372"/>
      <c r="AV42" s="284" t="s">
        <v>2008</v>
      </c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4"/>
      <c r="BJ42" s="284"/>
      <c r="BK42" s="284"/>
      <c r="BL42" s="284"/>
      <c r="BM42" s="284"/>
      <c r="BN42" s="284"/>
    </row>
    <row r="43" spans="1:301" s="261" customFormat="1" ht="16.5" customHeight="1">
      <c r="A43" s="260">
        <v>664</v>
      </c>
      <c r="B43" s="353" t="s">
        <v>393</v>
      </c>
      <c r="C43" s="304" t="s">
        <v>1261</v>
      </c>
      <c r="D43" s="317">
        <v>38504</v>
      </c>
      <c r="E43" s="317">
        <v>38777</v>
      </c>
      <c r="F43" s="342" t="s">
        <v>392</v>
      </c>
      <c r="G43" s="252" t="s">
        <v>1454</v>
      </c>
      <c r="H43" s="342" t="s">
        <v>394</v>
      </c>
      <c r="I43" s="278" t="s">
        <v>2438</v>
      </c>
      <c r="J43" s="318">
        <v>11500</v>
      </c>
      <c r="K43" s="318">
        <v>747377</v>
      </c>
      <c r="L43" s="318">
        <v>833852</v>
      </c>
      <c r="M43" s="318">
        <v>833852</v>
      </c>
      <c r="N43" s="256">
        <f t="shared" si="2"/>
        <v>72.508869565217395</v>
      </c>
      <c r="O43" s="318">
        <v>112</v>
      </c>
      <c r="P43" s="318" t="s">
        <v>75</v>
      </c>
      <c r="Q43" s="318" t="s">
        <v>75</v>
      </c>
      <c r="R43" s="318" t="s">
        <v>75</v>
      </c>
      <c r="S43" s="318" t="s">
        <v>849</v>
      </c>
      <c r="T43" s="318" t="s">
        <v>75</v>
      </c>
      <c r="U43" s="318" t="s">
        <v>75</v>
      </c>
      <c r="V43" s="318">
        <v>5000</v>
      </c>
      <c r="W43" s="318">
        <v>42343</v>
      </c>
      <c r="X43" s="318"/>
      <c r="Y43" s="318" t="s">
        <v>75</v>
      </c>
      <c r="Z43" s="318" t="s">
        <v>75</v>
      </c>
      <c r="AA43" s="318" t="s">
        <v>75</v>
      </c>
      <c r="AB43" s="318" t="s">
        <v>75</v>
      </c>
      <c r="AC43" s="318" t="s">
        <v>75</v>
      </c>
      <c r="AD43" s="318" t="s">
        <v>75</v>
      </c>
      <c r="AE43" s="318" t="s">
        <v>75</v>
      </c>
      <c r="AF43" s="318" t="s">
        <v>75</v>
      </c>
      <c r="AG43" s="318" t="s">
        <v>75</v>
      </c>
      <c r="AH43" s="318" t="s">
        <v>75</v>
      </c>
      <c r="AI43" s="318" t="s">
        <v>75</v>
      </c>
      <c r="AJ43" s="301">
        <f t="shared" si="6"/>
        <v>0</v>
      </c>
      <c r="AK43" s="318" t="s">
        <v>75</v>
      </c>
      <c r="AL43" s="318">
        <v>146</v>
      </c>
      <c r="AM43" s="263"/>
      <c r="AN43" s="319"/>
      <c r="AO43" s="319" t="s">
        <v>75</v>
      </c>
      <c r="AP43" s="319" t="s">
        <v>75</v>
      </c>
      <c r="AQ43" s="319" t="s">
        <v>75</v>
      </c>
      <c r="AR43" s="319" t="s">
        <v>75</v>
      </c>
      <c r="AS43" s="319" t="s">
        <v>75</v>
      </c>
      <c r="AT43" s="319" t="s">
        <v>75</v>
      </c>
      <c r="AU43" s="319" t="s">
        <v>75</v>
      </c>
      <c r="AV43" s="356" t="s">
        <v>760</v>
      </c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</row>
    <row r="44" spans="1:301" s="362" customFormat="1" ht="15">
      <c r="A44" s="260">
        <v>665</v>
      </c>
      <c r="B44" s="362" t="s">
        <v>355</v>
      </c>
      <c r="C44" s="362" t="s">
        <v>1260</v>
      </c>
      <c r="D44" s="262">
        <v>38443</v>
      </c>
      <c r="E44" s="485">
        <v>38838</v>
      </c>
      <c r="F44" s="362" t="s">
        <v>5</v>
      </c>
      <c r="G44" s="252" t="s">
        <v>1451</v>
      </c>
      <c r="H44" s="362" t="s">
        <v>369</v>
      </c>
      <c r="I44" s="278" t="s">
        <v>2438</v>
      </c>
      <c r="J44" s="263">
        <v>30000</v>
      </c>
      <c r="K44" s="402">
        <v>1055000</v>
      </c>
      <c r="L44" s="402">
        <v>622274</v>
      </c>
      <c r="M44" s="402">
        <v>622167</v>
      </c>
      <c r="N44" s="256">
        <f t="shared" si="2"/>
        <v>20.738900000000001</v>
      </c>
      <c r="O44" s="402">
        <v>59</v>
      </c>
      <c r="P44" s="402">
        <v>10000</v>
      </c>
      <c r="Q44" s="402" t="s">
        <v>75</v>
      </c>
      <c r="R44" s="402" t="s">
        <v>75</v>
      </c>
      <c r="S44" s="402" t="s">
        <v>233</v>
      </c>
      <c r="T44" s="402" t="s">
        <v>75</v>
      </c>
      <c r="U44" s="402" t="s">
        <v>75</v>
      </c>
      <c r="V44" s="263">
        <v>8000</v>
      </c>
      <c r="W44" s="402">
        <v>645</v>
      </c>
      <c r="X44" s="263"/>
      <c r="Y44" s="402" t="s">
        <v>75</v>
      </c>
      <c r="Z44" s="402" t="s">
        <v>75</v>
      </c>
      <c r="AA44" s="402" t="s">
        <v>75</v>
      </c>
      <c r="AB44" s="402" t="s">
        <v>75</v>
      </c>
      <c r="AC44" s="402" t="s">
        <v>75</v>
      </c>
      <c r="AD44" s="402" t="s">
        <v>75</v>
      </c>
      <c r="AE44" s="402" t="s">
        <v>75</v>
      </c>
      <c r="AF44" s="402" t="s">
        <v>75</v>
      </c>
      <c r="AG44" s="402" t="s">
        <v>75</v>
      </c>
      <c r="AH44" s="402" t="s">
        <v>75</v>
      </c>
      <c r="AI44" s="402" t="s">
        <v>75</v>
      </c>
      <c r="AJ44" s="301">
        <f t="shared" si="6"/>
        <v>0</v>
      </c>
      <c r="AK44" s="263" t="s">
        <v>66</v>
      </c>
      <c r="AL44" s="402" t="s">
        <v>66</v>
      </c>
      <c r="AM44" s="263"/>
      <c r="AO44" s="362" t="s">
        <v>75</v>
      </c>
      <c r="AP44" s="362" t="s">
        <v>75</v>
      </c>
      <c r="AQ44" s="362" t="s">
        <v>75</v>
      </c>
      <c r="AR44" s="362" t="s">
        <v>75</v>
      </c>
      <c r="AS44" s="362" t="s">
        <v>75</v>
      </c>
      <c r="AT44" s="362" t="s">
        <v>371</v>
      </c>
      <c r="AU44" s="362" t="s">
        <v>75</v>
      </c>
      <c r="AV44" s="362" t="s">
        <v>370</v>
      </c>
      <c r="BN44" s="261"/>
      <c r="BO44" s="261"/>
      <c r="BP44" s="261"/>
      <c r="BQ44" s="261"/>
      <c r="BR44" s="261"/>
      <c r="BS44" s="261"/>
      <c r="BT44" s="261"/>
      <c r="BU44" s="261"/>
      <c r="BV44" s="261"/>
      <c r="BW44" s="261"/>
      <c r="BX44" s="261"/>
      <c r="BY44" s="261"/>
      <c r="BZ44" s="261"/>
      <c r="CA44" s="261"/>
      <c r="CB44" s="261"/>
      <c r="CC44" s="261"/>
      <c r="CD44" s="261"/>
      <c r="CE44" s="261"/>
      <c r="CF44" s="261"/>
      <c r="CG44" s="261"/>
      <c r="CH44" s="261"/>
      <c r="CI44" s="261"/>
      <c r="CJ44" s="261"/>
      <c r="CK44" s="261"/>
      <c r="CL44" s="261"/>
      <c r="CM44" s="261"/>
      <c r="CN44" s="261"/>
      <c r="CO44" s="261"/>
      <c r="CP44" s="261"/>
      <c r="CQ44" s="261"/>
      <c r="CR44" s="261"/>
      <c r="CS44" s="261"/>
      <c r="CT44" s="261"/>
      <c r="CU44" s="261"/>
      <c r="CV44" s="261"/>
      <c r="CW44" s="261"/>
      <c r="CX44" s="261"/>
      <c r="CY44" s="261"/>
      <c r="CZ44" s="261"/>
      <c r="DA44" s="261"/>
      <c r="DB44" s="261"/>
      <c r="DC44" s="261"/>
      <c r="DD44" s="261"/>
      <c r="DE44" s="261"/>
      <c r="DF44" s="261"/>
      <c r="DG44" s="261"/>
      <c r="DH44" s="261"/>
      <c r="DI44" s="261"/>
      <c r="DJ44" s="261"/>
      <c r="DK44" s="261"/>
      <c r="DL44" s="261"/>
      <c r="DM44" s="261"/>
      <c r="DN44" s="261"/>
      <c r="DO44" s="261"/>
      <c r="DP44" s="261"/>
      <c r="DQ44" s="261"/>
      <c r="DR44" s="261"/>
      <c r="DS44" s="261"/>
      <c r="DT44" s="261"/>
      <c r="DU44" s="261"/>
      <c r="DV44" s="261"/>
      <c r="DW44" s="261"/>
      <c r="DX44" s="261"/>
      <c r="DY44" s="261"/>
      <c r="DZ44" s="261"/>
      <c r="EA44" s="261"/>
      <c r="EB44" s="261"/>
      <c r="EC44" s="261"/>
      <c r="ED44" s="261"/>
      <c r="EE44" s="261"/>
      <c r="EF44" s="261"/>
      <c r="EG44" s="261"/>
      <c r="EH44" s="261"/>
      <c r="EI44" s="261"/>
      <c r="EJ44" s="261"/>
      <c r="EK44" s="261"/>
      <c r="EL44" s="261"/>
      <c r="EM44" s="261"/>
      <c r="EN44" s="261"/>
      <c r="EO44" s="261"/>
      <c r="EP44" s="261"/>
      <c r="EQ44" s="261"/>
      <c r="ER44" s="261"/>
      <c r="ES44" s="261"/>
      <c r="ET44" s="261"/>
      <c r="EU44" s="261"/>
      <c r="EV44" s="261"/>
      <c r="EW44" s="261"/>
      <c r="EX44" s="261"/>
      <c r="EY44" s="261"/>
      <c r="EZ44" s="261"/>
      <c r="FA44" s="261"/>
      <c r="FB44" s="261"/>
      <c r="FC44" s="261"/>
      <c r="FD44" s="261"/>
      <c r="FE44" s="261"/>
      <c r="FF44" s="261"/>
      <c r="FG44" s="261"/>
      <c r="FH44" s="261"/>
      <c r="FI44" s="261"/>
      <c r="FJ44" s="261"/>
      <c r="FK44" s="261"/>
      <c r="FL44" s="261"/>
      <c r="FM44" s="261"/>
      <c r="FN44" s="261"/>
      <c r="FO44" s="261"/>
      <c r="FP44" s="261"/>
      <c r="FQ44" s="261"/>
      <c r="FR44" s="261"/>
      <c r="FS44" s="261"/>
      <c r="FT44" s="261"/>
      <c r="FU44" s="261"/>
      <c r="FV44" s="261"/>
      <c r="FW44" s="261"/>
      <c r="FX44" s="261"/>
      <c r="FY44" s="261"/>
      <c r="FZ44" s="261"/>
      <c r="GA44" s="261"/>
      <c r="GB44" s="261"/>
      <c r="GC44" s="261"/>
      <c r="GD44" s="261"/>
      <c r="GE44" s="261"/>
      <c r="GF44" s="261"/>
      <c r="GG44" s="261"/>
      <c r="GH44" s="261"/>
      <c r="GI44" s="261"/>
      <c r="GJ44" s="261"/>
      <c r="GK44" s="261"/>
      <c r="GL44" s="261"/>
      <c r="GM44" s="261"/>
      <c r="GN44" s="261"/>
      <c r="GO44" s="261"/>
      <c r="GP44" s="261"/>
      <c r="GQ44" s="261"/>
      <c r="GR44" s="261"/>
      <c r="GS44" s="261"/>
      <c r="GT44" s="261"/>
      <c r="GU44" s="261"/>
      <c r="GV44" s="261"/>
      <c r="GW44" s="261"/>
      <c r="GX44" s="261"/>
      <c r="GY44" s="261"/>
      <c r="GZ44" s="261"/>
      <c r="HA44" s="261"/>
      <c r="HB44" s="261"/>
      <c r="HC44" s="261"/>
      <c r="HD44" s="261"/>
      <c r="HE44" s="261"/>
      <c r="HF44" s="261"/>
      <c r="HG44" s="261"/>
      <c r="HH44" s="261"/>
      <c r="HI44" s="261"/>
      <c r="HJ44" s="261"/>
      <c r="HK44" s="261"/>
      <c r="KO44" s="261"/>
    </row>
    <row r="45" spans="1:301" s="362" customFormat="1" ht="15">
      <c r="A45" s="260">
        <v>666</v>
      </c>
      <c r="B45" s="362" t="s">
        <v>355</v>
      </c>
      <c r="C45" s="362" t="s">
        <v>1260</v>
      </c>
      <c r="D45" s="262">
        <v>38534</v>
      </c>
      <c r="E45" s="485">
        <v>38749</v>
      </c>
      <c r="F45" s="362" t="s">
        <v>5</v>
      </c>
      <c r="G45" s="252" t="s">
        <v>1455</v>
      </c>
      <c r="H45" s="362" t="s">
        <v>380</v>
      </c>
      <c r="I45" s="254" t="s">
        <v>2331</v>
      </c>
      <c r="J45" s="263">
        <v>10000</v>
      </c>
      <c r="K45" s="402">
        <v>240938</v>
      </c>
      <c r="L45" s="402">
        <v>240938</v>
      </c>
      <c r="M45" s="402">
        <v>240650</v>
      </c>
      <c r="N45" s="256">
        <f t="shared" si="2"/>
        <v>24.065000000000001</v>
      </c>
      <c r="O45" s="402">
        <v>100</v>
      </c>
      <c r="P45" s="402" t="s">
        <v>134</v>
      </c>
      <c r="Q45" s="402" t="s">
        <v>134</v>
      </c>
      <c r="R45" s="402" t="s">
        <v>75</v>
      </c>
      <c r="S45" s="402" t="s">
        <v>233</v>
      </c>
      <c r="T45" s="402" t="s">
        <v>75</v>
      </c>
      <c r="U45" s="402" t="s">
        <v>75</v>
      </c>
      <c r="V45" s="263">
        <v>0</v>
      </c>
      <c r="W45" s="402">
        <v>134</v>
      </c>
      <c r="X45" s="263"/>
      <c r="Y45" s="402" t="s">
        <v>75</v>
      </c>
      <c r="Z45" s="402" t="s">
        <v>75</v>
      </c>
      <c r="AA45" s="402" t="s">
        <v>75</v>
      </c>
      <c r="AB45" s="402" t="s">
        <v>75</v>
      </c>
      <c r="AC45" s="402" t="s">
        <v>75</v>
      </c>
      <c r="AD45" s="402" t="s">
        <v>75</v>
      </c>
      <c r="AE45" s="402" t="s">
        <v>75</v>
      </c>
      <c r="AF45" s="402" t="s">
        <v>75</v>
      </c>
      <c r="AG45" s="402" t="s">
        <v>75</v>
      </c>
      <c r="AH45" s="402" t="s">
        <v>75</v>
      </c>
      <c r="AI45" s="402" t="s">
        <v>75</v>
      </c>
      <c r="AJ45" s="301">
        <f t="shared" si="6"/>
        <v>0</v>
      </c>
      <c r="AK45" s="263">
        <v>360</v>
      </c>
      <c r="AL45" s="402">
        <v>359</v>
      </c>
      <c r="AM45" s="263"/>
      <c r="AO45" s="362" t="s">
        <v>75</v>
      </c>
      <c r="AP45" s="362" t="s">
        <v>75</v>
      </c>
      <c r="AQ45" s="362" t="s">
        <v>75</v>
      </c>
      <c r="AR45" s="362" t="s">
        <v>75</v>
      </c>
      <c r="AS45" s="362" t="s">
        <v>75</v>
      </c>
      <c r="AT45" s="431" t="s">
        <v>382</v>
      </c>
      <c r="AU45" s="362" t="s">
        <v>75</v>
      </c>
      <c r="AV45" s="362" t="s">
        <v>381</v>
      </c>
      <c r="BN45" s="261"/>
      <c r="BO45" s="261"/>
      <c r="BP45" s="261"/>
      <c r="BQ45" s="261"/>
      <c r="BR45" s="261"/>
      <c r="BS45" s="261"/>
      <c r="BT45" s="261"/>
      <c r="BU45" s="261"/>
      <c r="BV45" s="261"/>
      <c r="BW45" s="261"/>
      <c r="BX45" s="261"/>
      <c r="BY45" s="261"/>
      <c r="BZ45" s="261"/>
      <c r="CA45" s="261"/>
      <c r="CB45" s="261"/>
      <c r="CC45" s="261"/>
      <c r="CD45" s="261"/>
      <c r="CE45" s="261"/>
      <c r="CF45" s="261"/>
      <c r="CG45" s="261"/>
      <c r="CH45" s="261"/>
      <c r="CI45" s="261"/>
      <c r="CJ45" s="261"/>
      <c r="CK45" s="261"/>
      <c r="CL45" s="261"/>
      <c r="CM45" s="261"/>
      <c r="CN45" s="261"/>
      <c r="CO45" s="261"/>
      <c r="CP45" s="261"/>
      <c r="CQ45" s="261"/>
      <c r="CR45" s="261"/>
      <c r="CS45" s="261"/>
      <c r="CT45" s="261"/>
      <c r="CU45" s="261"/>
      <c r="CV45" s="261"/>
      <c r="CW45" s="261"/>
      <c r="CX45" s="261"/>
      <c r="CY45" s="261"/>
      <c r="CZ45" s="261"/>
      <c r="DA45" s="261"/>
      <c r="DB45" s="261"/>
      <c r="DC45" s="261"/>
      <c r="DD45" s="261"/>
      <c r="DE45" s="261"/>
      <c r="DF45" s="261"/>
      <c r="DG45" s="261"/>
      <c r="DH45" s="261"/>
      <c r="DI45" s="261"/>
      <c r="DJ45" s="261"/>
      <c r="DK45" s="261"/>
      <c r="DL45" s="261"/>
      <c r="DM45" s="261"/>
      <c r="DN45" s="261"/>
      <c r="DO45" s="261"/>
      <c r="DP45" s="261"/>
      <c r="DQ45" s="261"/>
      <c r="DR45" s="261"/>
      <c r="DS45" s="261"/>
      <c r="DT45" s="261"/>
      <c r="DU45" s="261"/>
      <c r="DV45" s="261"/>
      <c r="DW45" s="261"/>
      <c r="DX45" s="261"/>
      <c r="DY45" s="261"/>
      <c r="DZ45" s="261"/>
      <c r="EA45" s="261"/>
      <c r="EB45" s="261"/>
      <c r="EC45" s="261"/>
      <c r="ED45" s="261"/>
      <c r="EE45" s="261"/>
      <c r="EF45" s="261"/>
      <c r="EG45" s="261"/>
      <c r="EH45" s="261"/>
      <c r="EI45" s="261"/>
      <c r="EJ45" s="261"/>
      <c r="EK45" s="261"/>
      <c r="EL45" s="261"/>
      <c r="EM45" s="261"/>
      <c r="EN45" s="261"/>
      <c r="EO45" s="261"/>
      <c r="EP45" s="261"/>
      <c r="EQ45" s="261"/>
      <c r="ER45" s="261"/>
      <c r="ES45" s="261"/>
      <c r="ET45" s="261"/>
      <c r="EU45" s="261"/>
      <c r="EV45" s="261"/>
      <c r="EW45" s="261"/>
      <c r="EX45" s="261"/>
      <c r="EY45" s="261"/>
      <c r="EZ45" s="261"/>
      <c r="FA45" s="261"/>
      <c r="FB45" s="261"/>
      <c r="FC45" s="261"/>
      <c r="FD45" s="261"/>
      <c r="FE45" s="261"/>
      <c r="FF45" s="261"/>
      <c r="FG45" s="261"/>
      <c r="FH45" s="261"/>
      <c r="FI45" s="261"/>
      <c r="FJ45" s="261"/>
      <c r="FK45" s="261"/>
      <c r="FL45" s="261"/>
      <c r="FM45" s="261"/>
      <c r="FN45" s="261"/>
      <c r="FO45" s="261"/>
      <c r="FP45" s="261"/>
      <c r="FQ45" s="261"/>
      <c r="FR45" s="261"/>
      <c r="FS45" s="261"/>
      <c r="FT45" s="261"/>
      <c r="FU45" s="261"/>
      <c r="FV45" s="261"/>
      <c r="FW45" s="261"/>
      <c r="FX45" s="261"/>
      <c r="FY45" s="261"/>
      <c r="FZ45" s="261"/>
      <c r="GA45" s="261"/>
      <c r="GB45" s="261"/>
      <c r="GC45" s="261"/>
      <c r="GD45" s="261"/>
      <c r="GE45" s="261"/>
      <c r="GF45" s="261"/>
      <c r="GG45" s="261"/>
      <c r="GH45" s="261"/>
      <c r="GI45" s="261"/>
      <c r="GJ45" s="261"/>
      <c r="GK45" s="261"/>
      <c r="GL45" s="261"/>
      <c r="GM45" s="261"/>
      <c r="GN45" s="261"/>
      <c r="GO45" s="261"/>
      <c r="GP45" s="261"/>
      <c r="GQ45" s="261"/>
      <c r="GR45" s="261"/>
      <c r="GS45" s="261"/>
      <c r="GT45" s="261"/>
      <c r="GU45" s="261"/>
      <c r="GV45" s="261"/>
      <c r="GW45" s="261"/>
      <c r="GX45" s="261"/>
      <c r="GY45" s="261"/>
      <c r="GZ45" s="261"/>
      <c r="HA45" s="261"/>
      <c r="HB45" s="261"/>
      <c r="HC45" s="261"/>
      <c r="HD45" s="261"/>
      <c r="HE45" s="261"/>
      <c r="HF45" s="261"/>
      <c r="HG45" s="261"/>
      <c r="HH45" s="261"/>
      <c r="HI45" s="261"/>
      <c r="HJ45" s="261"/>
      <c r="HK45" s="261"/>
      <c r="KO45" s="261"/>
    </row>
    <row r="46" spans="1:301" s="362" customFormat="1" ht="17.25" customHeight="1">
      <c r="A46" s="260">
        <v>667</v>
      </c>
      <c r="B46" s="388" t="s">
        <v>248</v>
      </c>
      <c r="C46" s="377" t="s">
        <v>1299</v>
      </c>
      <c r="D46" s="325">
        <v>38596</v>
      </c>
      <c r="E46" s="325">
        <v>38687</v>
      </c>
      <c r="F46" s="377" t="s">
        <v>5</v>
      </c>
      <c r="G46" s="252" t="s">
        <v>1451</v>
      </c>
      <c r="H46" s="388" t="s">
        <v>247</v>
      </c>
      <c r="I46" s="254" t="s">
        <v>2331</v>
      </c>
      <c r="J46" s="318">
        <v>7547</v>
      </c>
      <c r="K46" s="327">
        <v>31715</v>
      </c>
      <c r="L46" s="327">
        <v>29158</v>
      </c>
      <c r="M46" s="318">
        <v>29158</v>
      </c>
      <c r="N46" s="256">
        <f t="shared" si="2"/>
        <v>3.863521929243408</v>
      </c>
      <c r="O46" s="318">
        <v>92</v>
      </c>
      <c r="P46" s="327" t="s">
        <v>75</v>
      </c>
      <c r="Q46" s="327">
        <v>4120</v>
      </c>
      <c r="R46" s="318">
        <v>4120</v>
      </c>
      <c r="S46" s="318" t="s">
        <v>233</v>
      </c>
      <c r="T46" s="327">
        <v>61</v>
      </c>
      <c r="U46" s="318">
        <v>4120</v>
      </c>
      <c r="V46" s="318" t="s">
        <v>66</v>
      </c>
      <c r="W46" s="318" t="s">
        <v>66</v>
      </c>
      <c r="X46" s="349"/>
      <c r="Y46" s="318">
        <v>1464</v>
      </c>
      <c r="Z46" s="318" t="s">
        <v>206</v>
      </c>
      <c r="AA46" s="318" t="s">
        <v>134</v>
      </c>
      <c r="AB46" s="327">
        <v>46</v>
      </c>
      <c r="AC46" s="318" t="s">
        <v>206</v>
      </c>
      <c r="AD46" s="318" t="s">
        <v>206</v>
      </c>
      <c r="AE46" s="318" t="s">
        <v>75</v>
      </c>
      <c r="AF46" s="318" t="s">
        <v>75</v>
      </c>
      <c r="AG46" s="318" t="s">
        <v>75</v>
      </c>
      <c r="AH46" s="318" t="s">
        <v>134</v>
      </c>
      <c r="AI46" s="318" t="s">
        <v>75</v>
      </c>
      <c r="AJ46" s="301">
        <f t="shared" si="6"/>
        <v>0</v>
      </c>
      <c r="AK46" s="318" t="s">
        <v>66</v>
      </c>
      <c r="AL46" s="318" t="s">
        <v>66</v>
      </c>
      <c r="AM46" s="263"/>
      <c r="AN46" s="388"/>
      <c r="AO46" s="342" t="s">
        <v>75</v>
      </c>
      <c r="AP46" s="342" t="s">
        <v>75</v>
      </c>
      <c r="AQ46" s="342" t="s">
        <v>75</v>
      </c>
      <c r="AR46" s="342" t="s">
        <v>75</v>
      </c>
      <c r="AS46" s="342" t="s">
        <v>75</v>
      </c>
      <c r="AT46" s="342" t="s">
        <v>75</v>
      </c>
      <c r="AU46" s="342" t="s">
        <v>75</v>
      </c>
      <c r="AV46" s="404" t="s">
        <v>249</v>
      </c>
      <c r="AW46" s="388"/>
      <c r="AX46" s="388"/>
      <c r="AY46" s="388"/>
      <c r="AZ46" s="388"/>
      <c r="BA46" s="388"/>
      <c r="BB46" s="388"/>
      <c r="BC46" s="388"/>
      <c r="BD46" s="388"/>
      <c r="BE46" s="388"/>
      <c r="BF46" s="388"/>
      <c r="BG46" s="388"/>
      <c r="BH46" s="388"/>
      <c r="BI46" s="388"/>
      <c r="BJ46" s="388"/>
      <c r="BK46" s="388"/>
      <c r="BL46" s="388"/>
      <c r="BM46" s="388"/>
      <c r="BN46" s="342"/>
      <c r="BO46" s="261"/>
      <c r="BP46" s="261"/>
      <c r="BQ46" s="261"/>
      <c r="BR46" s="261"/>
      <c r="BS46" s="261"/>
      <c r="BT46" s="261"/>
      <c r="BU46" s="261"/>
      <c r="BV46" s="261"/>
      <c r="BW46" s="261"/>
      <c r="BX46" s="261"/>
      <c r="BY46" s="261"/>
      <c r="BZ46" s="261"/>
      <c r="CA46" s="261"/>
      <c r="CB46" s="261"/>
      <c r="CC46" s="261"/>
      <c r="CD46" s="261"/>
      <c r="CE46" s="261"/>
      <c r="CF46" s="261"/>
      <c r="CG46" s="261"/>
      <c r="CH46" s="261"/>
      <c r="CI46" s="261"/>
      <c r="CJ46" s="261"/>
      <c r="CK46" s="261"/>
      <c r="CL46" s="261"/>
      <c r="CM46" s="261"/>
      <c r="CN46" s="261"/>
      <c r="CO46" s="261"/>
      <c r="CP46" s="261"/>
      <c r="CQ46" s="261"/>
      <c r="CR46" s="261"/>
      <c r="CS46" s="261"/>
      <c r="CT46" s="261"/>
      <c r="CU46" s="261"/>
      <c r="CV46" s="261"/>
      <c r="CW46" s="261"/>
      <c r="CX46" s="261"/>
      <c r="CY46" s="261"/>
      <c r="CZ46" s="261"/>
      <c r="DA46" s="261"/>
      <c r="DB46" s="261"/>
      <c r="DC46" s="261"/>
      <c r="DD46" s="261"/>
      <c r="DE46" s="261"/>
      <c r="DF46" s="261"/>
      <c r="DG46" s="261"/>
      <c r="DH46" s="261"/>
      <c r="DI46" s="261"/>
      <c r="DJ46" s="261"/>
      <c r="DK46" s="261"/>
      <c r="DL46" s="261"/>
      <c r="DM46" s="261"/>
      <c r="DN46" s="261"/>
      <c r="DO46" s="261"/>
      <c r="DP46" s="261"/>
      <c r="DQ46" s="261"/>
      <c r="DR46" s="261"/>
      <c r="DS46" s="261"/>
      <c r="DT46" s="261"/>
      <c r="DU46" s="261"/>
      <c r="DV46" s="261"/>
      <c r="DW46" s="261"/>
      <c r="DX46" s="261"/>
      <c r="DY46" s="261"/>
      <c r="DZ46" s="261"/>
      <c r="EA46" s="261"/>
      <c r="EB46" s="261"/>
      <c r="EC46" s="261"/>
      <c r="ED46" s="261"/>
      <c r="EE46" s="261"/>
      <c r="EF46" s="261"/>
      <c r="EG46" s="261"/>
      <c r="EH46" s="261"/>
      <c r="EI46" s="261"/>
      <c r="EJ46" s="261"/>
      <c r="EK46" s="261"/>
      <c r="EL46" s="261"/>
      <c r="EM46" s="261"/>
      <c r="EN46" s="261"/>
      <c r="EO46" s="261"/>
      <c r="EP46" s="261"/>
      <c r="EQ46" s="261"/>
      <c r="ER46" s="261"/>
      <c r="ES46" s="261"/>
      <c r="ET46" s="261"/>
      <c r="EU46" s="261"/>
      <c r="EV46" s="261"/>
      <c r="EW46" s="261"/>
      <c r="EX46" s="261"/>
      <c r="EY46" s="261"/>
      <c r="EZ46" s="261"/>
      <c r="FA46" s="261"/>
      <c r="FB46" s="261"/>
      <c r="FC46" s="261"/>
      <c r="FD46" s="261"/>
      <c r="FE46" s="261"/>
      <c r="FF46" s="261"/>
      <c r="FG46" s="261"/>
      <c r="FH46" s="261"/>
      <c r="FI46" s="261"/>
      <c r="FJ46" s="261"/>
      <c r="FK46" s="261"/>
      <c r="FL46" s="261"/>
      <c r="FM46" s="261"/>
      <c r="FN46" s="261"/>
      <c r="FO46" s="261"/>
      <c r="FP46" s="261"/>
      <c r="FQ46" s="261"/>
      <c r="FR46" s="261"/>
      <c r="FS46" s="261"/>
      <c r="FT46" s="261"/>
      <c r="FU46" s="261"/>
      <c r="FV46" s="261"/>
      <c r="FW46" s="261"/>
      <c r="FX46" s="261"/>
      <c r="FY46" s="261"/>
      <c r="FZ46" s="261"/>
      <c r="GA46" s="261"/>
      <c r="GB46" s="261"/>
      <c r="GC46" s="261"/>
      <c r="GD46" s="261"/>
      <c r="GE46" s="261"/>
      <c r="GF46" s="261"/>
      <c r="GG46" s="261"/>
      <c r="GH46" s="261"/>
      <c r="GI46" s="261"/>
      <c r="GJ46" s="261"/>
      <c r="GK46" s="261"/>
      <c r="GL46" s="261"/>
      <c r="GM46" s="261"/>
      <c r="GN46" s="261"/>
      <c r="GO46" s="261"/>
      <c r="GP46" s="261"/>
      <c r="GQ46" s="261"/>
      <c r="GR46" s="261"/>
      <c r="GS46" s="261"/>
      <c r="GT46" s="261"/>
      <c r="GU46" s="261"/>
      <c r="GV46" s="261"/>
      <c r="GW46" s="261"/>
      <c r="GX46" s="261"/>
      <c r="GY46" s="261"/>
      <c r="GZ46" s="261"/>
      <c r="HA46" s="261"/>
      <c r="HB46" s="261"/>
      <c r="HC46" s="261"/>
      <c r="HD46" s="261"/>
      <c r="HE46" s="261"/>
      <c r="HF46" s="261"/>
      <c r="HG46" s="261"/>
      <c r="HH46" s="261"/>
      <c r="HI46" s="261"/>
      <c r="HJ46" s="261"/>
      <c r="HK46" s="261"/>
      <c r="KO46" s="261"/>
    </row>
    <row r="47" spans="1:301" s="362" customFormat="1" ht="16.5" customHeight="1">
      <c r="A47" s="260">
        <v>668</v>
      </c>
      <c r="B47" s="388" t="s">
        <v>248</v>
      </c>
      <c r="C47" s="377" t="s">
        <v>1299</v>
      </c>
      <c r="D47" s="325">
        <v>38412</v>
      </c>
      <c r="E47" s="325">
        <v>38534</v>
      </c>
      <c r="F47" s="377" t="s">
        <v>168</v>
      </c>
      <c r="G47" s="252" t="s">
        <v>1449</v>
      </c>
      <c r="H47" s="388" t="s">
        <v>253</v>
      </c>
      <c r="I47" s="254" t="s">
        <v>2331</v>
      </c>
      <c r="J47" s="318">
        <v>5400</v>
      </c>
      <c r="K47" s="327">
        <v>52096</v>
      </c>
      <c r="L47" s="327">
        <v>52058</v>
      </c>
      <c r="M47" s="318">
        <v>52058</v>
      </c>
      <c r="N47" s="256">
        <f t="shared" si="2"/>
        <v>9.6403703703703698</v>
      </c>
      <c r="O47" s="318">
        <v>100</v>
      </c>
      <c r="P47" s="327" t="s">
        <v>75</v>
      </c>
      <c r="Q47" s="327" t="s">
        <v>75</v>
      </c>
      <c r="R47" s="318" t="s">
        <v>134</v>
      </c>
      <c r="S47" s="318" t="s">
        <v>233</v>
      </c>
      <c r="T47" s="327" t="s">
        <v>134</v>
      </c>
      <c r="U47" s="318" t="s">
        <v>134</v>
      </c>
      <c r="V47" s="318" t="s">
        <v>66</v>
      </c>
      <c r="W47" s="318" t="s">
        <v>66</v>
      </c>
      <c r="X47" s="318"/>
      <c r="Y47" s="318" t="s">
        <v>206</v>
      </c>
      <c r="Z47" s="318" t="s">
        <v>75</v>
      </c>
      <c r="AA47" s="318" t="s">
        <v>206</v>
      </c>
      <c r="AB47" s="318" t="s">
        <v>206</v>
      </c>
      <c r="AC47" s="318" t="s">
        <v>75</v>
      </c>
      <c r="AD47" s="318" t="s">
        <v>134</v>
      </c>
      <c r="AE47" s="318" t="s">
        <v>75</v>
      </c>
      <c r="AF47" s="318" t="s">
        <v>75</v>
      </c>
      <c r="AG47" s="318" t="s">
        <v>75</v>
      </c>
      <c r="AH47" s="318" t="s">
        <v>75</v>
      </c>
      <c r="AI47" s="318" t="s">
        <v>75</v>
      </c>
      <c r="AJ47" s="301">
        <f t="shared" si="6"/>
        <v>0</v>
      </c>
      <c r="AK47" s="318" t="s">
        <v>66</v>
      </c>
      <c r="AL47" s="318" t="s">
        <v>66</v>
      </c>
      <c r="AM47" s="263"/>
      <c r="AN47" s="388"/>
      <c r="AO47" s="342" t="s">
        <v>75</v>
      </c>
      <c r="AP47" s="342" t="s">
        <v>75</v>
      </c>
      <c r="AQ47" s="342" t="s">
        <v>75</v>
      </c>
      <c r="AR47" s="342" t="s">
        <v>75</v>
      </c>
      <c r="AS47" s="342" t="s">
        <v>75</v>
      </c>
      <c r="AT47" s="342" t="s">
        <v>75</v>
      </c>
      <c r="AU47" s="342" t="s">
        <v>75</v>
      </c>
      <c r="AV47" s="404" t="s">
        <v>254</v>
      </c>
      <c r="AW47" s="388"/>
      <c r="AX47" s="388"/>
      <c r="AY47" s="388"/>
      <c r="AZ47" s="388"/>
      <c r="BA47" s="388"/>
      <c r="BB47" s="388"/>
      <c r="BC47" s="388"/>
      <c r="BD47" s="388"/>
      <c r="BE47" s="388"/>
      <c r="BF47" s="388"/>
      <c r="BG47" s="388"/>
      <c r="BH47" s="388"/>
      <c r="BI47" s="388"/>
      <c r="BJ47" s="388"/>
      <c r="BK47" s="388"/>
      <c r="BL47" s="388"/>
      <c r="BM47" s="388"/>
      <c r="BN47" s="342"/>
      <c r="BO47" s="261"/>
      <c r="BP47" s="261"/>
      <c r="BQ47" s="261"/>
      <c r="BR47" s="261"/>
      <c r="BS47" s="261"/>
      <c r="BT47" s="261"/>
      <c r="BU47" s="261"/>
      <c r="BV47" s="261"/>
      <c r="BW47" s="261"/>
      <c r="BX47" s="261"/>
      <c r="BY47" s="261"/>
      <c r="BZ47" s="261"/>
      <c r="CA47" s="261"/>
      <c r="CB47" s="261"/>
      <c r="CC47" s="261"/>
      <c r="CD47" s="261"/>
      <c r="CE47" s="261"/>
      <c r="CF47" s="261"/>
      <c r="CG47" s="261"/>
      <c r="CH47" s="261"/>
      <c r="CI47" s="261"/>
      <c r="CJ47" s="261"/>
      <c r="CK47" s="261"/>
      <c r="CL47" s="261"/>
      <c r="CM47" s="261"/>
      <c r="CN47" s="261"/>
      <c r="CO47" s="261"/>
      <c r="CP47" s="261"/>
      <c r="CQ47" s="261"/>
      <c r="CR47" s="261"/>
      <c r="CS47" s="261"/>
      <c r="CT47" s="261"/>
      <c r="CU47" s="261"/>
      <c r="CV47" s="261"/>
      <c r="CW47" s="261"/>
      <c r="CX47" s="261"/>
      <c r="CY47" s="261"/>
      <c r="CZ47" s="261"/>
      <c r="DA47" s="261"/>
      <c r="DB47" s="261"/>
      <c r="DC47" s="261"/>
      <c r="DD47" s="261"/>
      <c r="DE47" s="261"/>
      <c r="DF47" s="261"/>
      <c r="DG47" s="261"/>
      <c r="DH47" s="261"/>
      <c r="DI47" s="261"/>
      <c r="DJ47" s="261"/>
      <c r="DK47" s="261"/>
      <c r="DL47" s="261"/>
      <c r="DM47" s="261"/>
      <c r="DN47" s="261"/>
      <c r="DO47" s="261"/>
      <c r="DP47" s="261"/>
      <c r="DQ47" s="261"/>
      <c r="DR47" s="261"/>
      <c r="DS47" s="261"/>
      <c r="DT47" s="261"/>
      <c r="DU47" s="261"/>
      <c r="DV47" s="261"/>
      <c r="DW47" s="261"/>
      <c r="DX47" s="261"/>
      <c r="DY47" s="261"/>
      <c r="DZ47" s="261"/>
      <c r="EA47" s="261"/>
      <c r="EB47" s="261"/>
      <c r="EC47" s="261"/>
      <c r="ED47" s="261"/>
      <c r="EE47" s="261"/>
      <c r="EF47" s="261"/>
      <c r="EG47" s="261"/>
      <c r="EH47" s="261"/>
      <c r="EI47" s="261"/>
      <c r="EJ47" s="261"/>
      <c r="EK47" s="261"/>
      <c r="EL47" s="261"/>
      <c r="EM47" s="261"/>
      <c r="EN47" s="261"/>
      <c r="EO47" s="261"/>
      <c r="EP47" s="261"/>
      <c r="EQ47" s="261"/>
      <c r="ER47" s="261"/>
      <c r="ES47" s="261"/>
      <c r="ET47" s="261"/>
      <c r="EU47" s="261"/>
      <c r="EV47" s="261"/>
      <c r="EW47" s="261"/>
      <c r="EX47" s="261"/>
      <c r="EY47" s="261"/>
      <c r="EZ47" s="261"/>
      <c r="FA47" s="261"/>
      <c r="FB47" s="261"/>
      <c r="FC47" s="261"/>
      <c r="FD47" s="261"/>
      <c r="FE47" s="261"/>
      <c r="FF47" s="261"/>
      <c r="FG47" s="261"/>
      <c r="FH47" s="261"/>
      <c r="FI47" s="261"/>
      <c r="FJ47" s="261"/>
      <c r="FK47" s="261"/>
      <c r="FL47" s="261"/>
      <c r="FM47" s="261"/>
      <c r="FN47" s="261"/>
      <c r="FO47" s="261"/>
      <c r="FP47" s="261"/>
      <c r="FQ47" s="261"/>
      <c r="FR47" s="261"/>
      <c r="FS47" s="261"/>
      <c r="FT47" s="261"/>
      <c r="FU47" s="261"/>
      <c r="FV47" s="261"/>
      <c r="FW47" s="261"/>
      <c r="FX47" s="261"/>
      <c r="FY47" s="261"/>
      <c r="FZ47" s="261"/>
      <c r="GA47" s="261"/>
      <c r="GB47" s="261"/>
      <c r="GC47" s="261"/>
      <c r="GD47" s="261"/>
      <c r="GE47" s="261"/>
      <c r="GF47" s="261"/>
      <c r="GG47" s="261"/>
      <c r="GH47" s="261"/>
      <c r="GI47" s="261"/>
      <c r="GJ47" s="261"/>
      <c r="GK47" s="261"/>
      <c r="GL47" s="261"/>
      <c r="GM47" s="261"/>
      <c r="GN47" s="261"/>
      <c r="GO47" s="261"/>
      <c r="GP47" s="261"/>
      <c r="GQ47" s="261"/>
      <c r="GR47" s="261"/>
      <c r="GS47" s="261"/>
      <c r="GT47" s="261"/>
      <c r="GU47" s="261"/>
      <c r="GV47" s="261"/>
      <c r="GW47" s="261"/>
      <c r="GX47" s="261"/>
      <c r="GY47" s="261"/>
      <c r="GZ47" s="261"/>
      <c r="HA47" s="261"/>
      <c r="HB47" s="261"/>
      <c r="HC47" s="261"/>
      <c r="HD47" s="261"/>
      <c r="HE47" s="261"/>
      <c r="HF47" s="261"/>
      <c r="HG47" s="261"/>
      <c r="HH47" s="261"/>
      <c r="HI47" s="261"/>
      <c r="HJ47" s="261"/>
      <c r="HK47" s="261"/>
      <c r="KO47" s="261"/>
    </row>
    <row r="48" spans="1:301" s="362" customFormat="1" ht="15" customHeight="1">
      <c r="A48" s="260">
        <v>669</v>
      </c>
      <c r="B48" s="362" t="s">
        <v>421</v>
      </c>
      <c r="C48" s="362" t="s">
        <v>1260</v>
      </c>
      <c r="D48" s="262">
        <v>38443</v>
      </c>
      <c r="E48" s="485">
        <v>38749</v>
      </c>
      <c r="F48" s="362" t="s">
        <v>5</v>
      </c>
      <c r="G48" s="252" t="s">
        <v>1451</v>
      </c>
      <c r="H48" s="362" t="s">
        <v>422</v>
      </c>
      <c r="I48" s="278" t="s">
        <v>2438</v>
      </c>
      <c r="J48" s="263">
        <v>4000</v>
      </c>
      <c r="K48" s="402">
        <v>496310</v>
      </c>
      <c r="L48" s="402">
        <v>321313</v>
      </c>
      <c r="M48" s="402">
        <v>188138</v>
      </c>
      <c r="N48" s="256">
        <f t="shared" si="2"/>
        <v>47.034500000000001</v>
      </c>
      <c r="O48" s="402">
        <v>63.1</v>
      </c>
      <c r="P48" s="402" t="s">
        <v>75</v>
      </c>
      <c r="Q48" s="402" t="s">
        <v>75</v>
      </c>
      <c r="R48" s="402" t="s">
        <v>75</v>
      </c>
      <c r="S48" s="402" t="s">
        <v>233</v>
      </c>
      <c r="T48" s="402" t="s">
        <v>75</v>
      </c>
      <c r="U48" s="402" t="s">
        <v>75</v>
      </c>
      <c r="V48" s="263" t="s">
        <v>66</v>
      </c>
      <c r="W48" s="402" t="s">
        <v>66</v>
      </c>
      <c r="X48" s="263"/>
      <c r="Y48" s="402" t="s">
        <v>134</v>
      </c>
      <c r="Z48" s="402" t="s">
        <v>2</v>
      </c>
      <c r="AA48" s="402" t="s">
        <v>75</v>
      </c>
      <c r="AB48" s="402" t="s">
        <v>75</v>
      </c>
      <c r="AC48" s="402" t="s">
        <v>75</v>
      </c>
      <c r="AD48" s="402" t="s">
        <v>75</v>
      </c>
      <c r="AE48" s="402" t="s">
        <v>75</v>
      </c>
      <c r="AF48" s="402" t="s">
        <v>75</v>
      </c>
      <c r="AG48" s="402" t="s">
        <v>75</v>
      </c>
      <c r="AH48" s="402" t="s">
        <v>75</v>
      </c>
      <c r="AI48" s="402" t="s">
        <v>75</v>
      </c>
      <c r="AJ48" s="301">
        <f t="shared" si="6"/>
        <v>0</v>
      </c>
      <c r="AK48" s="263" t="s">
        <v>66</v>
      </c>
      <c r="AL48" s="402" t="s">
        <v>66</v>
      </c>
      <c r="AM48" s="263"/>
      <c r="AT48" s="362" t="s">
        <v>75</v>
      </c>
      <c r="AU48" s="362" t="s">
        <v>75</v>
      </c>
      <c r="AV48" s="362" t="s">
        <v>420</v>
      </c>
      <c r="BN48" s="261"/>
      <c r="BO48" s="261"/>
      <c r="BP48" s="261"/>
      <c r="BQ48" s="261"/>
      <c r="BR48" s="261"/>
      <c r="BS48" s="261"/>
      <c r="BT48" s="261"/>
      <c r="BU48" s="261"/>
      <c r="BV48" s="261"/>
      <c r="BW48" s="261"/>
      <c r="BX48" s="261"/>
      <c r="BY48" s="261"/>
      <c r="BZ48" s="261"/>
      <c r="CA48" s="261"/>
      <c r="CB48" s="261"/>
      <c r="CC48" s="261"/>
      <c r="CD48" s="261"/>
      <c r="CE48" s="261"/>
      <c r="CF48" s="261"/>
      <c r="CG48" s="261"/>
      <c r="CH48" s="261"/>
      <c r="CI48" s="261"/>
      <c r="CJ48" s="261"/>
      <c r="CK48" s="261"/>
      <c r="CL48" s="261"/>
      <c r="CM48" s="261"/>
      <c r="CN48" s="261"/>
      <c r="CO48" s="261"/>
      <c r="CP48" s="261"/>
      <c r="CQ48" s="261"/>
      <c r="CR48" s="261"/>
      <c r="CS48" s="261"/>
      <c r="CT48" s="261"/>
      <c r="CU48" s="261"/>
      <c r="CV48" s="261"/>
      <c r="CW48" s="261"/>
      <c r="CX48" s="261"/>
      <c r="CY48" s="261"/>
      <c r="CZ48" s="261"/>
      <c r="DA48" s="261"/>
      <c r="DB48" s="261"/>
      <c r="DC48" s="261"/>
      <c r="DD48" s="261"/>
      <c r="DE48" s="261"/>
      <c r="DF48" s="261"/>
      <c r="DG48" s="261"/>
      <c r="DH48" s="261"/>
      <c r="DI48" s="261"/>
      <c r="DJ48" s="261"/>
      <c r="DK48" s="261"/>
      <c r="DL48" s="261"/>
      <c r="DM48" s="261"/>
      <c r="DN48" s="261"/>
      <c r="DO48" s="261"/>
      <c r="DP48" s="261"/>
      <c r="DQ48" s="261"/>
      <c r="DR48" s="261"/>
      <c r="DS48" s="261"/>
      <c r="DT48" s="261"/>
      <c r="DU48" s="261"/>
      <c r="DV48" s="261"/>
      <c r="DW48" s="261"/>
      <c r="DX48" s="261"/>
      <c r="DY48" s="261"/>
      <c r="DZ48" s="261"/>
      <c r="EA48" s="261"/>
      <c r="EB48" s="261"/>
      <c r="EC48" s="261"/>
      <c r="ED48" s="261"/>
      <c r="EE48" s="261"/>
      <c r="EF48" s="261"/>
      <c r="EG48" s="261"/>
      <c r="EH48" s="261"/>
      <c r="EI48" s="261"/>
      <c r="EJ48" s="261"/>
      <c r="EK48" s="261"/>
      <c r="EL48" s="261"/>
      <c r="EM48" s="261"/>
      <c r="EN48" s="261"/>
      <c r="EO48" s="261"/>
      <c r="EP48" s="261"/>
      <c r="EQ48" s="261"/>
      <c r="ER48" s="261"/>
      <c r="ES48" s="261"/>
      <c r="ET48" s="261"/>
      <c r="EU48" s="261"/>
      <c r="EV48" s="261"/>
      <c r="EW48" s="261"/>
      <c r="EX48" s="261"/>
      <c r="EY48" s="261"/>
      <c r="EZ48" s="261"/>
      <c r="FA48" s="261"/>
      <c r="FB48" s="261"/>
      <c r="FC48" s="261"/>
      <c r="FD48" s="261"/>
      <c r="FE48" s="261"/>
      <c r="FF48" s="261"/>
      <c r="FG48" s="261"/>
      <c r="FH48" s="261"/>
      <c r="FI48" s="261"/>
      <c r="FJ48" s="261"/>
      <c r="FK48" s="261"/>
      <c r="FL48" s="261"/>
      <c r="FM48" s="261"/>
      <c r="FN48" s="261"/>
      <c r="FO48" s="261"/>
      <c r="FP48" s="261"/>
      <c r="FQ48" s="261"/>
      <c r="FR48" s="261"/>
      <c r="FS48" s="261"/>
      <c r="FT48" s="261"/>
      <c r="FU48" s="261"/>
      <c r="FV48" s="261"/>
      <c r="FW48" s="261"/>
      <c r="FX48" s="261"/>
      <c r="FY48" s="261"/>
      <c r="FZ48" s="261"/>
      <c r="GA48" s="261"/>
      <c r="GB48" s="261"/>
      <c r="GC48" s="261"/>
      <c r="GD48" s="261"/>
      <c r="GE48" s="261"/>
      <c r="GF48" s="261"/>
      <c r="GG48" s="261"/>
      <c r="GH48" s="261"/>
      <c r="GI48" s="261"/>
      <c r="GJ48" s="261"/>
      <c r="GK48" s="261"/>
      <c r="GL48" s="261"/>
      <c r="GM48" s="261"/>
      <c r="GN48" s="261"/>
      <c r="GO48" s="261"/>
      <c r="GP48" s="261"/>
      <c r="GQ48" s="261"/>
      <c r="GR48" s="261"/>
      <c r="GS48" s="261"/>
      <c r="GT48" s="261"/>
      <c r="GU48" s="261"/>
      <c r="GV48" s="261"/>
      <c r="GW48" s="261"/>
      <c r="GX48" s="261"/>
      <c r="GY48" s="261"/>
      <c r="GZ48" s="261"/>
      <c r="HA48" s="261"/>
      <c r="HB48" s="261"/>
      <c r="HC48" s="261"/>
      <c r="HD48" s="261"/>
      <c r="HE48" s="261"/>
      <c r="HF48" s="261"/>
      <c r="HG48" s="261"/>
      <c r="HH48" s="261"/>
      <c r="HI48" s="261"/>
      <c r="HJ48" s="261"/>
      <c r="HK48" s="261"/>
      <c r="KO48" s="261"/>
    </row>
    <row r="49" spans="1:301" s="362" customFormat="1" ht="15">
      <c r="A49" s="260">
        <v>670</v>
      </c>
      <c r="B49" s="362" t="s">
        <v>385</v>
      </c>
      <c r="C49" s="362" t="s">
        <v>1260</v>
      </c>
      <c r="D49" s="485">
        <v>38657</v>
      </c>
      <c r="E49" s="485">
        <v>38838</v>
      </c>
      <c r="F49" s="362" t="s">
        <v>386</v>
      </c>
      <c r="G49" s="252" t="s">
        <v>1453</v>
      </c>
      <c r="H49" s="362" t="s">
        <v>387</v>
      </c>
      <c r="I49" s="254" t="s">
        <v>2331</v>
      </c>
      <c r="J49" s="263">
        <v>1009</v>
      </c>
      <c r="K49" s="402">
        <v>123879</v>
      </c>
      <c r="L49" s="402">
        <v>91863</v>
      </c>
      <c r="M49" s="402">
        <v>91863</v>
      </c>
      <c r="N49" s="256">
        <f t="shared" si="2"/>
        <v>91.043607532210103</v>
      </c>
      <c r="O49" s="402">
        <v>74.099999999999994</v>
      </c>
      <c r="P49" s="402" t="s">
        <v>75</v>
      </c>
      <c r="Q49" s="402" t="s">
        <v>75</v>
      </c>
      <c r="R49" s="402" t="s">
        <v>75</v>
      </c>
      <c r="S49" s="402" t="s">
        <v>233</v>
      </c>
      <c r="T49" s="402" t="s">
        <v>75</v>
      </c>
      <c r="U49" s="402" t="s">
        <v>75</v>
      </c>
      <c r="V49" s="263" t="s">
        <v>66</v>
      </c>
      <c r="W49" s="402" t="s">
        <v>66</v>
      </c>
      <c r="X49" s="263"/>
      <c r="Y49" s="402" t="s">
        <v>75</v>
      </c>
      <c r="Z49" s="402" t="s">
        <v>75</v>
      </c>
      <c r="AA49" s="402" t="s">
        <v>75</v>
      </c>
      <c r="AB49" s="402" t="s">
        <v>75</v>
      </c>
      <c r="AC49" s="402" t="s">
        <v>75</v>
      </c>
      <c r="AD49" s="402" t="s">
        <v>75</v>
      </c>
      <c r="AE49" s="402" t="s">
        <v>75</v>
      </c>
      <c r="AF49" s="402" t="s">
        <v>75</v>
      </c>
      <c r="AG49" s="402" t="s">
        <v>75</v>
      </c>
      <c r="AH49" s="402" t="s">
        <v>75</v>
      </c>
      <c r="AI49" s="402" t="s">
        <v>75</v>
      </c>
      <c r="AJ49" s="301">
        <f t="shared" si="6"/>
        <v>0</v>
      </c>
      <c r="AK49" s="263">
        <v>4000</v>
      </c>
      <c r="AL49" s="402">
        <v>3477</v>
      </c>
      <c r="AM49" s="263"/>
      <c r="AO49" s="362" t="s">
        <v>75</v>
      </c>
      <c r="AP49" s="362" t="s">
        <v>75</v>
      </c>
      <c r="AQ49" s="362" t="s">
        <v>75</v>
      </c>
      <c r="AR49" s="362" t="s">
        <v>75</v>
      </c>
      <c r="AS49" s="362" t="s">
        <v>75</v>
      </c>
      <c r="AT49" s="362" t="s">
        <v>75</v>
      </c>
      <c r="AU49" s="362" t="s">
        <v>75</v>
      </c>
      <c r="AV49" s="403" t="s">
        <v>388</v>
      </c>
      <c r="BN49" s="261"/>
      <c r="BO49" s="261"/>
      <c r="BP49" s="261"/>
      <c r="BQ49" s="261"/>
      <c r="BR49" s="261"/>
      <c r="BS49" s="261"/>
      <c r="BT49" s="261"/>
      <c r="BU49" s="261"/>
      <c r="BV49" s="261"/>
      <c r="BW49" s="261"/>
      <c r="BX49" s="261"/>
      <c r="BY49" s="261"/>
      <c r="BZ49" s="261"/>
      <c r="CA49" s="261"/>
      <c r="CB49" s="261"/>
      <c r="CC49" s="261"/>
      <c r="CD49" s="261"/>
      <c r="CE49" s="261"/>
      <c r="CF49" s="261"/>
      <c r="CG49" s="261"/>
      <c r="CH49" s="261"/>
      <c r="CI49" s="261"/>
      <c r="CJ49" s="261"/>
      <c r="CK49" s="261"/>
      <c r="CL49" s="261"/>
      <c r="CM49" s="261"/>
      <c r="CN49" s="261"/>
      <c r="CO49" s="261"/>
      <c r="CP49" s="261"/>
      <c r="CQ49" s="261"/>
      <c r="CR49" s="261"/>
      <c r="CS49" s="261"/>
      <c r="CT49" s="261"/>
      <c r="CU49" s="261"/>
      <c r="CV49" s="261"/>
      <c r="CW49" s="261"/>
      <c r="CX49" s="261"/>
      <c r="CY49" s="261"/>
      <c r="CZ49" s="261"/>
      <c r="DA49" s="261"/>
      <c r="DB49" s="261"/>
      <c r="DC49" s="261"/>
      <c r="DD49" s="261"/>
      <c r="DE49" s="261"/>
      <c r="DF49" s="261"/>
      <c r="DG49" s="261"/>
      <c r="DH49" s="261"/>
      <c r="DI49" s="261"/>
      <c r="DJ49" s="261"/>
      <c r="DK49" s="261"/>
      <c r="DL49" s="261"/>
      <c r="DM49" s="261"/>
      <c r="DN49" s="261"/>
      <c r="DO49" s="261"/>
      <c r="DP49" s="261"/>
      <c r="DQ49" s="261"/>
      <c r="DR49" s="261"/>
      <c r="DS49" s="261"/>
      <c r="DT49" s="261"/>
      <c r="DU49" s="261"/>
      <c r="DV49" s="261"/>
      <c r="DW49" s="261"/>
      <c r="DX49" s="261"/>
      <c r="DY49" s="261"/>
      <c r="DZ49" s="261"/>
      <c r="EA49" s="261"/>
      <c r="EB49" s="261"/>
      <c r="EC49" s="261"/>
      <c r="ED49" s="261"/>
      <c r="EE49" s="261"/>
      <c r="EF49" s="261"/>
      <c r="EG49" s="261"/>
      <c r="EH49" s="261"/>
      <c r="EI49" s="261"/>
      <c r="EJ49" s="261"/>
      <c r="EK49" s="261"/>
      <c r="EL49" s="261"/>
      <c r="EM49" s="261"/>
      <c r="EN49" s="261"/>
      <c r="EO49" s="261"/>
      <c r="EP49" s="261"/>
      <c r="EQ49" s="261"/>
      <c r="ER49" s="261"/>
      <c r="ES49" s="261"/>
      <c r="ET49" s="261"/>
      <c r="EU49" s="261"/>
      <c r="EV49" s="261"/>
      <c r="EW49" s="261"/>
      <c r="EX49" s="261"/>
      <c r="EY49" s="261"/>
      <c r="EZ49" s="261"/>
      <c r="FA49" s="261"/>
      <c r="FB49" s="261"/>
      <c r="FC49" s="261"/>
      <c r="FD49" s="261"/>
      <c r="FE49" s="261"/>
      <c r="FF49" s="261"/>
      <c r="FG49" s="261"/>
      <c r="FH49" s="261"/>
      <c r="FI49" s="261"/>
      <c r="FJ49" s="261"/>
      <c r="FK49" s="261"/>
      <c r="FL49" s="261"/>
      <c r="FM49" s="261"/>
      <c r="FN49" s="261"/>
      <c r="FO49" s="261"/>
      <c r="FP49" s="261"/>
      <c r="FQ49" s="261"/>
      <c r="FR49" s="261"/>
      <c r="FS49" s="261"/>
      <c r="FT49" s="261"/>
      <c r="FU49" s="261"/>
      <c r="FV49" s="261"/>
      <c r="FW49" s="261"/>
      <c r="FX49" s="261"/>
      <c r="FY49" s="261"/>
      <c r="FZ49" s="261"/>
      <c r="GA49" s="261"/>
      <c r="GB49" s="261"/>
      <c r="GC49" s="261"/>
      <c r="GD49" s="261"/>
      <c r="GE49" s="261"/>
      <c r="GF49" s="261"/>
      <c r="GG49" s="261"/>
      <c r="GH49" s="261"/>
      <c r="GI49" s="261"/>
      <c r="GJ49" s="261"/>
      <c r="GK49" s="261"/>
      <c r="GL49" s="261"/>
      <c r="GM49" s="261"/>
      <c r="GN49" s="261"/>
      <c r="GO49" s="261"/>
      <c r="GP49" s="261"/>
      <c r="GQ49" s="261"/>
      <c r="GR49" s="261"/>
      <c r="GS49" s="261"/>
      <c r="GT49" s="261"/>
      <c r="GU49" s="261"/>
      <c r="GV49" s="261"/>
      <c r="GW49" s="261"/>
      <c r="GX49" s="261"/>
      <c r="GY49" s="261"/>
      <c r="GZ49" s="261"/>
      <c r="HA49" s="261"/>
      <c r="HB49" s="261"/>
      <c r="HC49" s="261"/>
      <c r="HD49" s="261"/>
      <c r="HE49" s="261"/>
      <c r="HF49" s="261"/>
      <c r="HG49" s="261"/>
      <c r="HH49" s="261"/>
      <c r="HI49" s="261"/>
      <c r="HJ49" s="261"/>
      <c r="HK49" s="261"/>
      <c r="KO49" s="261"/>
    </row>
    <row r="50" spans="1:301" s="362" customFormat="1" ht="30">
      <c r="A50" s="260">
        <v>671</v>
      </c>
      <c r="B50" s="304" t="s">
        <v>2367</v>
      </c>
      <c r="C50" s="362" t="s">
        <v>1299</v>
      </c>
      <c r="D50" s="262">
        <v>38596</v>
      </c>
      <c r="E50" s="262">
        <v>38718</v>
      </c>
      <c r="F50" s="261" t="s">
        <v>338</v>
      </c>
      <c r="G50" s="252" t="s">
        <v>1451</v>
      </c>
      <c r="H50" s="261" t="s">
        <v>336</v>
      </c>
      <c r="I50" s="278" t="s">
        <v>2438</v>
      </c>
      <c r="J50" s="263">
        <v>7000</v>
      </c>
      <c r="K50" s="263">
        <v>234869</v>
      </c>
      <c r="L50" s="263">
        <v>116678</v>
      </c>
      <c r="M50" s="263">
        <v>116678</v>
      </c>
      <c r="N50" s="256">
        <f t="shared" si="2"/>
        <v>16.668285714285716</v>
      </c>
      <c r="O50" s="263">
        <v>49</v>
      </c>
      <c r="P50" s="263" t="s">
        <v>134</v>
      </c>
      <c r="Q50" s="263" t="s">
        <v>75</v>
      </c>
      <c r="R50" s="263" t="s">
        <v>134</v>
      </c>
      <c r="S50" s="263" t="s">
        <v>2</v>
      </c>
      <c r="T50" s="263">
        <v>50</v>
      </c>
      <c r="U50" s="263" t="s">
        <v>134</v>
      </c>
      <c r="V50" s="263">
        <v>889</v>
      </c>
      <c r="W50" s="263">
        <v>0</v>
      </c>
      <c r="X50" s="263"/>
      <c r="Y50" s="263" t="s">
        <v>339</v>
      </c>
      <c r="Z50" s="263" t="s">
        <v>75</v>
      </c>
      <c r="AA50" s="263" t="s">
        <v>134</v>
      </c>
      <c r="AB50" s="263">
        <v>50</v>
      </c>
      <c r="AC50" s="263" t="s">
        <v>75</v>
      </c>
      <c r="AD50" s="263" t="s">
        <v>75</v>
      </c>
      <c r="AE50" s="263" t="s">
        <v>75</v>
      </c>
      <c r="AF50" s="263" t="s">
        <v>75</v>
      </c>
      <c r="AG50" s="263" t="s">
        <v>75</v>
      </c>
      <c r="AH50" s="263" t="s">
        <v>75</v>
      </c>
      <c r="AI50" s="263" t="s">
        <v>75</v>
      </c>
      <c r="AJ50" s="301">
        <f t="shared" si="6"/>
        <v>0</v>
      </c>
      <c r="AK50" s="263">
        <v>32329</v>
      </c>
      <c r="AL50" s="263">
        <v>1980</v>
      </c>
      <c r="AM50" s="263"/>
      <c r="AN50" s="261"/>
      <c r="AO50" s="261" t="s">
        <v>75</v>
      </c>
      <c r="AP50" s="261" t="s">
        <v>75</v>
      </c>
      <c r="AQ50" s="261" t="s">
        <v>75</v>
      </c>
      <c r="AR50" s="261" t="s">
        <v>75</v>
      </c>
      <c r="AS50" s="261" t="s">
        <v>75</v>
      </c>
      <c r="AT50" s="261" t="s">
        <v>75</v>
      </c>
      <c r="AU50" s="261" t="s">
        <v>75</v>
      </c>
      <c r="AV50" s="261" t="s">
        <v>337</v>
      </c>
      <c r="AW50" s="261"/>
      <c r="AX50" s="261"/>
      <c r="AY50" s="261"/>
      <c r="AZ50" s="261"/>
      <c r="BA50" s="261"/>
      <c r="BB50" s="261"/>
      <c r="BC50" s="261"/>
      <c r="BD50" s="261"/>
      <c r="BE50" s="261"/>
      <c r="BF50" s="261"/>
      <c r="BG50" s="261"/>
      <c r="BH50" s="261"/>
      <c r="BI50" s="261"/>
      <c r="BJ50" s="261"/>
      <c r="BK50" s="261"/>
      <c r="BL50" s="261"/>
      <c r="BM50" s="261"/>
      <c r="BN50" s="261"/>
      <c r="BO50" s="261"/>
      <c r="BP50" s="261"/>
      <c r="BQ50" s="261"/>
      <c r="BR50" s="261"/>
      <c r="BS50" s="261"/>
      <c r="BT50" s="261"/>
      <c r="BU50" s="261"/>
      <c r="BV50" s="261"/>
      <c r="BW50" s="261"/>
      <c r="BX50" s="261"/>
      <c r="BY50" s="261"/>
      <c r="BZ50" s="261"/>
      <c r="CA50" s="261"/>
      <c r="CB50" s="261"/>
      <c r="CC50" s="261"/>
      <c r="CD50" s="261"/>
      <c r="CE50" s="261"/>
      <c r="CF50" s="261"/>
      <c r="CG50" s="261"/>
      <c r="CH50" s="261"/>
      <c r="CI50" s="261"/>
      <c r="CJ50" s="261"/>
      <c r="CK50" s="261"/>
      <c r="CL50" s="261"/>
      <c r="CM50" s="261"/>
      <c r="CN50" s="261"/>
      <c r="CO50" s="261"/>
      <c r="CP50" s="261"/>
      <c r="CQ50" s="261"/>
      <c r="CR50" s="261"/>
      <c r="CS50" s="261"/>
      <c r="CT50" s="261"/>
      <c r="CU50" s="261"/>
      <c r="CV50" s="261"/>
      <c r="CW50" s="261"/>
      <c r="CX50" s="261"/>
      <c r="CY50" s="261"/>
      <c r="CZ50" s="261"/>
      <c r="DA50" s="261"/>
      <c r="DB50" s="261"/>
      <c r="DC50" s="261"/>
      <c r="DD50" s="261"/>
      <c r="DE50" s="261"/>
      <c r="DF50" s="261"/>
      <c r="DG50" s="261"/>
      <c r="DH50" s="261"/>
      <c r="DI50" s="261"/>
      <c r="DJ50" s="261"/>
      <c r="DK50" s="261"/>
      <c r="DL50" s="261"/>
      <c r="DM50" s="261"/>
      <c r="DN50" s="261"/>
      <c r="DO50" s="261"/>
      <c r="DP50" s="261"/>
      <c r="DQ50" s="261"/>
      <c r="DR50" s="261"/>
      <c r="DS50" s="261"/>
      <c r="DT50" s="261"/>
      <c r="DU50" s="261"/>
      <c r="DV50" s="261"/>
      <c r="DW50" s="261"/>
      <c r="DX50" s="261"/>
      <c r="DY50" s="261"/>
      <c r="DZ50" s="261"/>
      <c r="EA50" s="261"/>
      <c r="EB50" s="261"/>
      <c r="EC50" s="261"/>
      <c r="ED50" s="261"/>
      <c r="EE50" s="261"/>
      <c r="EF50" s="261"/>
      <c r="EG50" s="261"/>
      <c r="EH50" s="261"/>
      <c r="EI50" s="261"/>
      <c r="EJ50" s="261"/>
      <c r="EK50" s="261"/>
      <c r="EL50" s="261"/>
      <c r="EM50" s="261"/>
      <c r="EN50" s="261"/>
      <c r="EO50" s="261"/>
      <c r="EP50" s="261"/>
      <c r="EQ50" s="261"/>
      <c r="ER50" s="261"/>
      <c r="ES50" s="261"/>
      <c r="ET50" s="261"/>
      <c r="EU50" s="261"/>
      <c r="EV50" s="261"/>
      <c r="EW50" s="261"/>
      <c r="EX50" s="261"/>
      <c r="EY50" s="261"/>
      <c r="EZ50" s="261"/>
      <c r="FA50" s="261"/>
      <c r="FB50" s="261"/>
      <c r="FC50" s="261"/>
      <c r="FD50" s="261"/>
      <c r="FE50" s="261"/>
      <c r="FF50" s="261"/>
      <c r="FG50" s="261"/>
      <c r="FH50" s="261"/>
      <c r="FI50" s="261"/>
      <c r="FJ50" s="261"/>
      <c r="FK50" s="261"/>
      <c r="FL50" s="261"/>
      <c r="FM50" s="261"/>
      <c r="FN50" s="261"/>
      <c r="FO50" s="261"/>
      <c r="FP50" s="261"/>
      <c r="FQ50" s="261"/>
      <c r="FR50" s="261"/>
      <c r="FS50" s="261"/>
      <c r="FT50" s="261"/>
      <c r="FU50" s="261"/>
      <c r="FV50" s="261"/>
      <c r="FW50" s="261"/>
      <c r="FX50" s="261"/>
      <c r="FY50" s="261"/>
      <c r="FZ50" s="261"/>
      <c r="GA50" s="261"/>
      <c r="GB50" s="261"/>
      <c r="GC50" s="261"/>
      <c r="GD50" s="261"/>
      <c r="GE50" s="261"/>
      <c r="GF50" s="261"/>
      <c r="GG50" s="261"/>
      <c r="GH50" s="261"/>
      <c r="GI50" s="261"/>
      <c r="GJ50" s="261"/>
      <c r="GK50" s="261"/>
      <c r="GL50" s="261"/>
      <c r="GM50" s="261"/>
      <c r="GN50" s="261"/>
      <c r="GO50" s="261"/>
      <c r="GP50" s="261"/>
      <c r="GQ50" s="261"/>
      <c r="GR50" s="261"/>
      <c r="GS50" s="261"/>
      <c r="GT50" s="261"/>
      <c r="GU50" s="261"/>
      <c r="GV50" s="261"/>
      <c r="GW50" s="261"/>
      <c r="GX50" s="261"/>
      <c r="GY50" s="261"/>
      <c r="GZ50" s="261"/>
      <c r="HA50" s="261"/>
      <c r="HB50" s="261"/>
      <c r="HC50" s="261"/>
      <c r="HD50" s="261"/>
      <c r="HE50" s="261"/>
      <c r="HF50" s="261"/>
      <c r="HG50" s="261"/>
      <c r="HH50" s="261"/>
      <c r="HI50" s="261"/>
      <c r="HJ50" s="261"/>
      <c r="HK50" s="261"/>
      <c r="KO50" s="261"/>
    </row>
    <row r="51" spans="1:301" s="362" customFormat="1" ht="18.75" customHeight="1">
      <c r="A51" s="260">
        <v>672</v>
      </c>
      <c r="B51" s="388" t="s">
        <v>2375</v>
      </c>
      <c r="C51" s="377" t="s">
        <v>1299</v>
      </c>
      <c r="D51" s="317">
        <v>38412</v>
      </c>
      <c r="E51" s="325">
        <v>38687</v>
      </c>
      <c r="F51" s="304" t="s">
        <v>309</v>
      </c>
      <c r="G51" s="252" t="s">
        <v>1454</v>
      </c>
      <c r="H51" s="388" t="s">
        <v>308</v>
      </c>
      <c r="I51" s="254" t="s">
        <v>2331</v>
      </c>
      <c r="J51" s="318" t="s">
        <v>75</v>
      </c>
      <c r="K51" s="327">
        <v>69971</v>
      </c>
      <c r="L51" s="327">
        <v>69978</v>
      </c>
      <c r="M51" s="327">
        <v>69978</v>
      </c>
      <c r="N51" s="256"/>
      <c r="O51" s="318">
        <v>100</v>
      </c>
      <c r="P51" s="318" t="s">
        <v>75</v>
      </c>
      <c r="Q51" s="318" t="s">
        <v>75</v>
      </c>
      <c r="R51" s="318" t="s">
        <v>75</v>
      </c>
      <c r="S51" s="318" t="s">
        <v>75</v>
      </c>
      <c r="T51" s="318" t="s">
        <v>75</v>
      </c>
      <c r="U51" s="318" t="s">
        <v>75</v>
      </c>
      <c r="V51" s="318" t="s">
        <v>66</v>
      </c>
      <c r="W51" s="318" t="s">
        <v>66</v>
      </c>
      <c r="X51" s="318"/>
      <c r="Y51" s="318" t="s">
        <v>75</v>
      </c>
      <c r="Z51" s="318" t="s">
        <v>75</v>
      </c>
      <c r="AA51" s="318" t="s">
        <v>75</v>
      </c>
      <c r="AB51" s="318" t="s">
        <v>75</v>
      </c>
      <c r="AC51" s="318" t="s">
        <v>75</v>
      </c>
      <c r="AD51" s="318" t="s">
        <v>75</v>
      </c>
      <c r="AE51" s="318" t="s">
        <v>75</v>
      </c>
      <c r="AF51" s="318" t="s">
        <v>75</v>
      </c>
      <c r="AG51" s="318" t="s">
        <v>75</v>
      </c>
      <c r="AH51" s="318" t="s">
        <v>75</v>
      </c>
      <c r="AI51" s="318" t="s">
        <v>75</v>
      </c>
      <c r="AJ51" s="301">
        <f t="shared" si="6"/>
        <v>0</v>
      </c>
      <c r="AK51" s="318" t="s">
        <v>66</v>
      </c>
      <c r="AL51" s="318" t="s">
        <v>66</v>
      </c>
      <c r="AM51" s="263"/>
      <c r="AN51" s="388"/>
      <c r="AO51" s="342" t="s">
        <v>75</v>
      </c>
      <c r="AP51" s="342" t="s">
        <v>75</v>
      </c>
      <c r="AQ51" s="342" t="s">
        <v>75</v>
      </c>
      <c r="AR51" s="342" t="s">
        <v>75</v>
      </c>
      <c r="AS51" s="342" t="s">
        <v>75</v>
      </c>
      <c r="AT51" s="342" t="s">
        <v>1292</v>
      </c>
      <c r="AU51" s="342"/>
      <c r="AV51" s="404" t="s">
        <v>307</v>
      </c>
      <c r="AW51" s="388"/>
      <c r="AX51" s="388"/>
      <c r="AY51" s="388"/>
      <c r="AZ51" s="388"/>
      <c r="BA51" s="388"/>
      <c r="BB51" s="388"/>
      <c r="BC51" s="388"/>
      <c r="BD51" s="388"/>
      <c r="BE51" s="388"/>
      <c r="BF51" s="388"/>
      <c r="BG51" s="388"/>
      <c r="BH51" s="388"/>
      <c r="BI51" s="388"/>
      <c r="BJ51" s="388"/>
      <c r="BK51" s="388"/>
      <c r="BL51" s="388"/>
      <c r="BM51" s="388"/>
      <c r="BN51" s="342"/>
      <c r="BO51" s="261"/>
      <c r="BP51" s="261"/>
      <c r="BQ51" s="261"/>
      <c r="BR51" s="261"/>
      <c r="BS51" s="261"/>
      <c r="BT51" s="261"/>
      <c r="BU51" s="261"/>
      <c r="BV51" s="261"/>
      <c r="BW51" s="261"/>
      <c r="BX51" s="261"/>
      <c r="BY51" s="261"/>
      <c r="BZ51" s="261"/>
      <c r="CA51" s="261"/>
      <c r="CB51" s="261"/>
      <c r="CC51" s="261"/>
      <c r="CD51" s="261"/>
      <c r="CE51" s="261"/>
      <c r="CF51" s="261"/>
      <c r="CG51" s="261"/>
      <c r="CH51" s="261"/>
      <c r="CI51" s="261"/>
      <c r="CJ51" s="261"/>
      <c r="CK51" s="261"/>
      <c r="CL51" s="261"/>
      <c r="CM51" s="261"/>
      <c r="CN51" s="261"/>
      <c r="CO51" s="261"/>
      <c r="CP51" s="261"/>
      <c r="CQ51" s="261"/>
      <c r="CR51" s="261"/>
      <c r="CS51" s="261"/>
      <c r="CT51" s="261"/>
      <c r="CU51" s="261"/>
      <c r="CV51" s="261"/>
      <c r="CW51" s="261"/>
      <c r="CX51" s="261"/>
      <c r="CY51" s="261"/>
      <c r="CZ51" s="261"/>
      <c r="DA51" s="261"/>
      <c r="DB51" s="261"/>
      <c r="DC51" s="261"/>
      <c r="DD51" s="261"/>
      <c r="DE51" s="261"/>
      <c r="DF51" s="261"/>
      <c r="DG51" s="261"/>
      <c r="DH51" s="261"/>
      <c r="DI51" s="261"/>
      <c r="DJ51" s="261"/>
      <c r="DK51" s="261"/>
      <c r="DL51" s="261"/>
      <c r="DM51" s="261"/>
      <c r="DN51" s="261"/>
      <c r="DO51" s="261"/>
      <c r="DP51" s="261"/>
      <c r="DQ51" s="261"/>
      <c r="DR51" s="261"/>
      <c r="DS51" s="261"/>
      <c r="DT51" s="261"/>
      <c r="DU51" s="261"/>
      <c r="DV51" s="261"/>
      <c r="DW51" s="261"/>
      <c r="DX51" s="261"/>
      <c r="DY51" s="261"/>
      <c r="DZ51" s="261"/>
      <c r="EA51" s="261"/>
      <c r="EB51" s="261"/>
      <c r="EC51" s="261"/>
      <c r="ED51" s="261"/>
      <c r="EE51" s="261"/>
      <c r="EF51" s="261"/>
      <c r="EG51" s="261"/>
      <c r="EH51" s="261"/>
      <c r="EI51" s="261"/>
      <c r="EJ51" s="261"/>
      <c r="EK51" s="261"/>
      <c r="EL51" s="261"/>
      <c r="EM51" s="261"/>
      <c r="EN51" s="261"/>
      <c r="EO51" s="261"/>
      <c r="EP51" s="261"/>
      <c r="EQ51" s="261"/>
      <c r="ER51" s="261"/>
      <c r="ES51" s="261"/>
      <c r="ET51" s="261"/>
      <c r="EU51" s="261"/>
      <c r="EV51" s="261"/>
      <c r="EW51" s="261"/>
      <c r="EX51" s="261"/>
      <c r="EY51" s="261"/>
      <c r="EZ51" s="261"/>
      <c r="FA51" s="261"/>
      <c r="FB51" s="261"/>
      <c r="FC51" s="261"/>
      <c r="FD51" s="261"/>
      <c r="FE51" s="261"/>
      <c r="FF51" s="261"/>
      <c r="FG51" s="261"/>
      <c r="FH51" s="261"/>
      <c r="FI51" s="261"/>
      <c r="FJ51" s="261"/>
      <c r="FK51" s="261"/>
      <c r="FL51" s="261"/>
      <c r="FM51" s="261"/>
      <c r="FN51" s="261"/>
      <c r="FO51" s="261"/>
      <c r="FP51" s="261"/>
      <c r="FQ51" s="261"/>
      <c r="FR51" s="261"/>
      <c r="FS51" s="261"/>
      <c r="FT51" s="261"/>
      <c r="FU51" s="261"/>
      <c r="FV51" s="261"/>
      <c r="FW51" s="261"/>
      <c r="FX51" s="261"/>
      <c r="FY51" s="261"/>
      <c r="FZ51" s="261"/>
      <c r="GA51" s="261"/>
      <c r="GB51" s="261"/>
      <c r="GC51" s="261"/>
      <c r="GD51" s="261"/>
      <c r="GE51" s="261"/>
      <c r="GF51" s="261"/>
      <c r="GG51" s="261"/>
      <c r="GH51" s="261"/>
      <c r="GI51" s="261"/>
      <c r="GJ51" s="261"/>
      <c r="GK51" s="261"/>
      <c r="GL51" s="261"/>
      <c r="GM51" s="261"/>
      <c r="GN51" s="261"/>
      <c r="GO51" s="261"/>
      <c r="GP51" s="261"/>
      <c r="GQ51" s="261"/>
      <c r="GR51" s="261"/>
      <c r="GS51" s="261"/>
      <c r="GT51" s="261"/>
      <c r="GU51" s="261"/>
      <c r="GV51" s="261"/>
      <c r="GW51" s="261"/>
      <c r="GX51" s="261"/>
      <c r="GY51" s="261"/>
      <c r="GZ51" s="261"/>
      <c r="HA51" s="261"/>
      <c r="HB51" s="261"/>
      <c r="HC51" s="261"/>
      <c r="HD51" s="261"/>
      <c r="HE51" s="261"/>
      <c r="HF51" s="261"/>
      <c r="HG51" s="261"/>
      <c r="HH51" s="261"/>
      <c r="HI51" s="261"/>
      <c r="HJ51" s="261"/>
      <c r="HK51" s="261"/>
      <c r="KO51" s="261"/>
    </row>
    <row r="52" spans="1:301" s="362" customFormat="1" ht="17.25" customHeight="1">
      <c r="A52" s="260">
        <v>673</v>
      </c>
      <c r="B52" s="388" t="s">
        <v>26</v>
      </c>
      <c r="C52" s="377" t="s">
        <v>1299</v>
      </c>
      <c r="D52" s="325">
        <v>38687</v>
      </c>
      <c r="E52" s="325">
        <v>38930</v>
      </c>
      <c r="F52" s="377" t="s">
        <v>228</v>
      </c>
      <c r="G52" s="252" t="s">
        <v>1449</v>
      </c>
      <c r="H52" s="388" t="s">
        <v>229</v>
      </c>
      <c r="I52" s="254" t="s">
        <v>2331</v>
      </c>
      <c r="J52" s="318">
        <v>556</v>
      </c>
      <c r="K52" s="327">
        <v>200000</v>
      </c>
      <c r="L52" s="327">
        <v>199946</v>
      </c>
      <c r="M52" s="318">
        <v>199946</v>
      </c>
      <c r="N52" s="256">
        <f t="shared" ref="N52:N64" si="8">M52/J52</f>
        <v>359.61510791366908</v>
      </c>
      <c r="O52" s="318">
        <v>100</v>
      </c>
      <c r="P52" s="327" t="s">
        <v>75</v>
      </c>
      <c r="Q52" s="327" t="s">
        <v>75</v>
      </c>
      <c r="R52" s="318" t="s">
        <v>75</v>
      </c>
      <c r="S52" s="318" t="s">
        <v>233</v>
      </c>
      <c r="T52" s="327" t="s">
        <v>75</v>
      </c>
      <c r="U52" s="318" t="s">
        <v>75</v>
      </c>
      <c r="V52" s="318" t="s">
        <v>66</v>
      </c>
      <c r="W52" s="318" t="s">
        <v>66</v>
      </c>
      <c r="X52" s="318"/>
      <c r="Y52" s="318" t="s">
        <v>206</v>
      </c>
      <c r="Z52" s="318" t="s">
        <v>75</v>
      </c>
      <c r="AA52" s="318" t="s">
        <v>134</v>
      </c>
      <c r="AB52" s="327">
        <v>850</v>
      </c>
      <c r="AC52" s="318" t="s">
        <v>2</v>
      </c>
      <c r="AD52" s="318" t="s">
        <v>134</v>
      </c>
      <c r="AE52" s="327" t="s">
        <v>2</v>
      </c>
      <c r="AF52" s="318" t="s">
        <v>75</v>
      </c>
      <c r="AG52" s="318" t="s">
        <v>75</v>
      </c>
      <c r="AH52" s="318" t="s">
        <v>75</v>
      </c>
      <c r="AI52" s="327" t="s">
        <v>75</v>
      </c>
      <c r="AJ52" s="301">
        <f t="shared" si="6"/>
        <v>0</v>
      </c>
      <c r="AK52" s="330" t="s">
        <v>66</v>
      </c>
      <c r="AL52" s="318" t="s">
        <v>66</v>
      </c>
      <c r="AM52" s="263"/>
      <c r="AN52" s="388"/>
      <c r="AO52" s="342" t="s">
        <v>75</v>
      </c>
      <c r="AP52" s="342" t="s">
        <v>75</v>
      </c>
      <c r="AQ52" s="342" t="s">
        <v>75</v>
      </c>
      <c r="AR52" s="342" t="s">
        <v>75</v>
      </c>
      <c r="AS52" s="342" t="s">
        <v>75</v>
      </c>
      <c r="AT52" s="342" t="s">
        <v>75</v>
      </c>
      <c r="AU52" s="342" t="s">
        <v>75</v>
      </c>
      <c r="AV52" s="404" t="s">
        <v>231</v>
      </c>
      <c r="AW52" s="388"/>
      <c r="AX52" s="388"/>
      <c r="AY52" s="388"/>
      <c r="AZ52" s="388"/>
      <c r="BA52" s="388"/>
      <c r="BB52" s="388"/>
      <c r="BC52" s="388"/>
      <c r="BD52" s="388"/>
      <c r="BE52" s="388"/>
      <c r="BF52" s="388"/>
      <c r="BG52" s="388"/>
      <c r="BH52" s="388"/>
      <c r="BI52" s="388"/>
      <c r="BJ52" s="388"/>
      <c r="BK52" s="388"/>
      <c r="BL52" s="388"/>
      <c r="BM52" s="388"/>
      <c r="BN52" s="342"/>
      <c r="BO52" s="261"/>
      <c r="BP52" s="261"/>
      <c r="BQ52" s="261"/>
      <c r="BR52" s="261"/>
      <c r="BS52" s="261"/>
      <c r="BT52" s="261"/>
      <c r="BU52" s="261"/>
      <c r="BV52" s="261"/>
      <c r="BW52" s="261"/>
      <c r="BX52" s="261"/>
      <c r="BY52" s="261"/>
      <c r="BZ52" s="261"/>
      <c r="CA52" s="261"/>
      <c r="CB52" s="261"/>
      <c r="CC52" s="261"/>
      <c r="CD52" s="261"/>
      <c r="CE52" s="261"/>
      <c r="CF52" s="261"/>
      <c r="CG52" s="261"/>
      <c r="CH52" s="261"/>
      <c r="CI52" s="261"/>
      <c r="CJ52" s="261"/>
      <c r="CK52" s="261"/>
      <c r="CL52" s="261"/>
      <c r="CM52" s="261"/>
      <c r="CN52" s="261"/>
      <c r="CO52" s="261"/>
      <c r="CP52" s="261"/>
      <c r="CQ52" s="261"/>
      <c r="CR52" s="261"/>
      <c r="CS52" s="261"/>
      <c r="CT52" s="261"/>
      <c r="CU52" s="261"/>
      <c r="CV52" s="261"/>
      <c r="CW52" s="261"/>
      <c r="CX52" s="261"/>
      <c r="CY52" s="261"/>
      <c r="CZ52" s="261"/>
      <c r="DA52" s="261"/>
      <c r="DB52" s="261"/>
      <c r="DC52" s="261"/>
      <c r="DD52" s="261"/>
      <c r="DE52" s="261"/>
      <c r="DF52" s="261"/>
      <c r="DG52" s="261"/>
      <c r="DH52" s="261"/>
      <c r="DI52" s="261"/>
      <c r="DJ52" s="261"/>
      <c r="DK52" s="261"/>
      <c r="DL52" s="261"/>
      <c r="DM52" s="261"/>
      <c r="DN52" s="261"/>
      <c r="DO52" s="261"/>
      <c r="DP52" s="261"/>
      <c r="DQ52" s="261"/>
      <c r="DR52" s="261"/>
      <c r="DS52" s="261"/>
      <c r="DT52" s="261"/>
      <c r="DU52" s="261"/>
      <c r="DV52" s="261"/>
      <c r="DW52" s="261"/>
      <c r="DX52" s="261"/>
      <c r="DY52" s="261"/>
      <c r="DZ52" s="261"/>
      <c r="EA52" s="261"/>
      <c r="EB52" s="261"/>
      <c r="EC52" s="261"/>
      <c r="ED52" s="261"/>
      <c r="EE52" s="261"/>
      <c r="EF52" s="261"/>
      <c r="EG52" s="261"/>
      <c r="EH52" s="261"/>
      <c r="EI52" s="261"/>
      <c r="EJ52" s="261"/>
      <c r="EK52" s="261"/>
      <c r="EL52" s="261"/>
      <c r="EM52" s="261"/>
      <c r="EN52" s="261"/>
      <c r="EO52" s="261"/>
      <c r="EP52" s="261"/>
      <c r="EQ52" s="261"/>
      <c r="ER52" s="261"/>
      <c r="ES52" s="261"/>
      <c r="ET52" s="261"/>
      <c r="EU52" s="261"/>
      <c r="EV52" s="261"/>
      <c r="EW52" s="261"/>
      <c r="EX52" s="261"/>
      <c r="EY52" s="261"/>
      <c r="EZ52" s="261"/>
      <c r="FA52" s="261"/>
      <c r="FB52" s="261"/>
      <c r="FC52" s="261"/>
      <c r="FD52" s="261"/>
      <c r="FE52" s="261"/>
      <c r="FF52" s="261"/>
      <c r="FG52" s="261"/>
      <c r="FH52" s="261"/>
      <c r="FI52" s="261"/>
      <c r="FJ52" s="261"/>
      <c r="FK52" s="261"/>
      <c r="FL52" s="261"/>
      <c r="FM52" s="261"/>
      <c r="FN52" s="261"/>
      <c r="FO52" s="261"/>
      <c r="FP52" s="261"/>
      <c r="FQ52" s="261"/>
      <c r="FR52" s="261"/>
      <c r="FS52" s="261"/>
      <c r="FT52" s="261"/>
      <c r="FU52" s="261"/>
      <c r="FV52" s="261"/>
      <c r="FW52" s="261"/>
      <c r="FX52" s="261"/>
      <c r="FY52" s="261"/>
      <c r="FZ52" s="261"/>
      <c r="GA52" s="261"/>
      <c r="GB52" s="261"/>
      <c r="GC52" s="261"/>
      <c r="GD52" s="261"/>
      <c r="GE52" s="261"/>
      <c r="GF52" s="261"/>
      <c r="GG52" s="261"/>
      <c r="GH52" s="261"/>
      <c r="GI52" s="261"/>
      <c r="GJ52" s="261"/>
      <c r="GK52" s="261"/>
      <c r="GL52" s="261"/>
      <c r="GM52" s="261"/>
      <c r="GN52" s="261"/>
      <c r="GO52" s="261"/>
      <c r="GP52" s="261"/>
      <c r="GQ52" s="261"/>
      <c r="GR52" s="261"/>
      <c r="GS52" s="261"/>
      <c r="GT52" s="261"/>
      <c r="GU52" s="261"/>
      <c r="GV52" s="261"/>
      <c r="GW52" s="261"/>
      <c r="GX52" s="261"/>
      <c r="GY52" s="261"/>
      <c r="GZ52" s="261"/>
      <c r="HA52" s="261"/>
      <c r="HB52" s="261"/>
      <c r="HC52" s="261"/>
      <c r="HD52" s="261"/>
      <c r="HE52" s="261"/>
      <c r="HF52" s="261"/>
      <c r="HG52" s="261"/>
      <c r="HH52" s="261"/>
      <c r="HI52" s="261"/>
      <c r="HJ52" s="261"/>
      <c r="HK52" s="261"/>
      <c r="KO52" s="261"/>
    </row>
    <row r="53" spans="1:301" s="362" customFormat="1" ht="15">
      <c r="A53" s="260">
        <v>674</v>
      </c>
      <c r="B53" s="261" t="s">
        <v>26</v>
      </c>
      <c r="C53" s="362" t="s">
        <v>1299</v>
      </c>
      <c r="D53" s="262">
        <v>38412</v>
      </c>
      <c r="E53" s="262">
        <v>38687</v>
      </c>
      <c r="F53" s="261" t="s">
        <v>331</v>
      </c>
      <c r="G53" s="252" t="s">
        <v>1471</v>
      </c>
      <c r="H53" s="261" t="s">
        <v>334</v>
      </c>
      <c r="I53" s="254" t="s">
        <v>2331</v>
      </c>
      <c r="J53" s="263">
        <v>4500</v>
      </c>
      <c r="K53" s="263">
        <v>0</v>
      </c>
      <c r="L53" s="263">
        <v>199995</v>
      </c>
      <c r="M53" s="263">
        <v>199995</v>
      </c>
      <c r="N53" s="256">
        <f t="shared" si="8"/>
        <v>44.443333333333335</v>
      </c>
      <c r="O53" s="263" t="s">
        <v>66</v>
      </c>
      <c r="P53" s="263" t="s">
        <v>75</v>
      </c>
      <c r="Q53" s="263" t="s">
        <v>75</v>
      </c>
      <c r="R53" s="263" t="s">
        <v>75</v>
      </c>
      <c r="S53" s="263" t="s">
        <v>233</v>
      </c>
      <c r="T53" s="263" t="s">
        <v>75</v>
      </c>
      <c r="U53" s="263" t="s">
        <v>75</v>
      </c>
      <c r="V53" s="263" t="s">
        <v>66</v>
      </c>
      <c r="W53" s="263" t="s">
        <v>66</v>
      </c>
      <c r="X53" s="263"/>
      <c r="Y53" s="263" t="s">
        <v>75</v>
      </c>
      <c r="Z53" s="263" t="s">
        <v>75</v>
      </c>
      <c r="AA53" s="263" t="s">
        <v>75</v>
      </c>
      <c r="AB53" s="263" t="s">
        <v>75</v>
      </c>
      <c r="AC53" s="263" t="s">
        <v>75</v>
      </c>
      <c r="AD53" s="263" t="s">
        <v>75</v>
      </c>
      <c r="AE53" s="263" t="s">
        <v>75</v>
      </c>
      <c r="AF53" s="263" t="s">
        <v>75</v>
      </c>
      <c r="AG53" s="263" t="s">
        <v>75</v>
      </c>
      <c r="AH53" s="263" t="s">
        <v>75</v>
      </c>
      <c r="AI53" s="263" t="s">
        <v>75</v>
      </c>
      <c r="AJ53" s="301">
        <f t="shared" si="6"/>
        <v>0</v>
      </c>
      <c r="AK53" s="263">
        <v>0</v>
      </c>
      <c r="AL53" s="263">
        <v>28295</v>
      </c>
      <c r="AM53" s="263"/>
      <c r="AN53" s="261"/>
      <c r="AO53" s="261" t="s">
        <v>75</v>
      </c>
      <c r="AP53" s="261" t="s">
        <v>75</v>
      </c>
      <c r="AQ53" s="261" t="s">
        <v>75</v>
      </c>
      <c r="AR53" s="261" t="s">
        <v>75</v>
      </c>
      <c r="AS53" s="261" t="s">
        <v>75</v>
      </c>
      <c r="AT53" s="261" t="s">
        <v>75</v>
      </c>
      <c r="AU53" s="261" t="s">
        <v>75</v>
      </c>
      <c r="AV53" s="293" t="s">
        <v>335</v>
      </c>
      <c r="AW53" s="261"/>
      <c r="AX53" s="261"/>
      <c r="AY53" s="261"/>
      <c r="AZ53" s="261"/>
      <c r="BA53" s="261"/>
      <c r="BB53" s="261"/>
      <c r="BC53" s="261"/>
      <c r="BD53" s="261"/>
      <c r="BE53" s="261"/>
      <c r="BF53" s="261"/>
      <c r="BG53" s="261"/>
      <c r="BH53" s="261"/>
      <c r="BI53" s="261"/>
      <c r="BJ53" s="261"/>
      <c r="BK53" s="261"/>
      <c r="BL53" s="261"/>
      <c r="BM53" s="261"/>
      <c r="BN53" s="261"/>
      <c r="BO53" s="261"/>
      <c r="BP53" s="261"/>
      <c r="BQ53" s="261"/>
      <c r="BR53" s="261"/>
      <c r="BS53" s="261"/>
      <c r="BT53" s="261"/>
      <c r="BU53" s="261"/>
      <c r="BV53" s="261"/>
      <c r="BW53" s="261"/>
      <c r="BX53" s="261"/>
      <c r="BY53" s="261"/>
      <c r="BZ53" s="261"/>
      <c r="CA53" s="261"/>
      <c r="CB53" s="261"/>
      <c r="CC53" s="261"/>
      <c r="CD53" s="261"/>
      <c r="CE53" s="261"/>
      <c r="CF53" s="261"/>
      <c r="CG53" s="261"/>
      <c r="CH53" s="261"/>
      <c r="CI53" s="261"/>
      <c r="CJ53" s="261"/>
      <c r="CK53" s="261"/>
      <c r="CL53" s="261"/>
      <c r="CM53" s="261"/>
      <c r="CN53" s="261"/>
      <c r="CO53" s="261"/>
      <c r="CP53" s="261"/>
      <c r="CQ53" s="261"/>
      <c r="CR53" s="261"/>
      <c r="CS53" s="261"/>
      <c r="CT53" s="261"/>
      <c r="CU53" s="261"/>
      <c r="CV53" s="261"/>
      <c r="CW53" s="261"/>
      <c r="CX53" s="261"/>
      <c r="CY53" s="261"/>
      <c r="CZ53" s="261"/>
      <c r="DA53" s="261"/>
      <c r="DB53" s="261"/>
      <c r="DC53" s="261"/>
      <c r="DD53" s="261"/>
      <c r="DE53" s="261"/>
      <c r="DF53" s="261"/>
      <c r="DG53" s="261"/>
      <c r="DH53" s="261"/>
      <c r="DI53" s="261"/>
      <c r="DJ53" s="261"/>
      <c r="DK53" s="261"/>
      <c r="DL53" s="261"/>
      <c r="DM53" s="261"/>
      <c r="DN53" s="261"/>
      <c r="DO53" s="261"/>
      <c r="DP53" s="261"/>
      <c r="DQ53" s="261"/>
      <c r="DR53" s="261"/>
      <c r="DS53" s="261"/>
      <c r="DT53" s="261"/>
      <c r="DU53" s="261"/>
      <c r="DV53" s="261"/>
      <c r="DW53" s="261"/>
      <c r="DX53" s="261"/>
      <c r="DY53" s="261"/>
      <c r="DZ53" s="261"/>
      <c r="EA53" s="261"/>
      <c r="EB53" s="261"/>
      <c r="EC53" s="261"/>
      <c r="ED53" s="261"/>
      <c r="EE53" s="261"/>
      <c r="EF53" s="261"/>
      <c r="EG53" s="261"/>
      <c r="EH53" s="261"/>
      <c r="EI53" s="261"/>
      <c r="EJ53" s="261"/>
      <c r="EK53" s="261"/>
      <c r="EL53" s="261"/>
      <c r="EM53" s="261"/>
      <c r="EN53" s="261"/>
      <c r="EO53" s="261"/>
      <c r="EP53" s="261"/>
      <c r="EQ53" s="261"/>
      <c r="ER53" s="261"/>
      <c r="ES53" s="261"/>
      <c r="ET53" s="261"/>
      <c r="EU53" s="261"/>
      <c r="EV53" s="261"/>
      <c r="EW53" s="261"/>
      <c r="EX53" s="261"/>
      <c r="EY53" s="261"/>
      <c r="EZ53" s="261"/>
      <c r="FA53" s="261"/>
      <c r="FB53" s="261"/>
      <c r="FC53" s="261"/>
      <c r="FD53" s="261"/>
      <c r="FE53" s="261"/>
      <c r="FF53" s="261"/>
      <c r="FG53" s="261"/>
      <c r="FH53" s="261"/>
      <c r="FI53" s="261"/>
      <c r="FJ53" s="261"/>
      <c r="FK53" s="261"/>
      <c r="FL53" s="261"/>
      <c r="FM53" s="261"/>
      <c r="FN53" s="261"/>
      <c r="FO53" s="261"/>
      <c r="FP53" s="261"/>
      <c r="FQ53" s="261"/>
      <c r="FR53" s="261"/>
      <c r="FS53" s="261"/>
      <c r="FT53" s="261"/>
      <c r="FU53" s="261"/>
      <c r="FV53" s="261"/>
      <c r="FW53" s="261"/>
      <c r="FX53" s="261"/>
      <c r="FY53" s="261"/>
      <c r="FZ53" s="261"/>
      <c r="GA53" s="261"/>
      <c r="GB53" s="261"/>
      <c r="GC53" s="261"/>
      <c r="GD53" s="261"/>
      <c r="GE53" s="261"/>
      <c r="GF53" s="261"/>
      <c r="GG53" s="261"/>
      <c r="GH53" s="261"/>
      <c r="GI53" s="261"/>
      <c r="GJ53" s="261"/>
      <c r="GK53" s="261"/>
      <c r="GL53" s="261"/>
      <c r="GM53" s="261"/>
      <c r="GN53" s="261"/>
      <c r="GO53" s="261"/>
      <c r="GP53" s="261"/>
      <c r="GQ53" s="261"/>
      <c r="GR53" s="261"/>
      <c r="GS53" s="261"/>
      <c r="GT53" s="261"/>
      <c r="GU53" s="261"/>
      <c r="GV53" s="261"/>
      <c r="GW53" s="261"/>
      <c r="GX53" s="261"/>
      <c r="GY53" s="261"/>
      <c r="GZ53" s="261"/>
      <c r="HA53" s="261"/>
      <c r="HB53" s="261"/>
      <c r="HC53" s="261"/>
      <c r="HD53" s="261"/>
      <c r="HE53" s="261"/>
      <c r="HF53" s="261"/>
      <c r="HG53" s="261"/>
      <c r="HH53" s="261"/>
      <c r="HI53" s="261"/>
      <c r="HJ53" s="261"/>
      <c r="HK53" s="261"/>
      <c r="KO53" s="261"/>
    </row>
    <row r="54" spans="1:301" s="261" customFormat="1" ht="15">
      <c r="A54" s="260">
        <v>675</v>
      </c>
      <c r="B54" s="261" t="s">
        <v>26</v>
      </c>
      <c r="C54" s="261" t="s">
        <v>1299</v>
      </c>
      <c r="D54" s="262">
        <v>38565</v>
      </c>
      <c r="E54" s="262">
        <v>38808</v>
      </c>
      <c r="F54" s="261" t="s">
        <v>5</v>
      </c>
      <c r="G54" s="273" t="s">
        <v>1451</v>
      </c>
      <c r="H54" s="261" t="s">
        <v>412</v>
      </c>
      <c r="I54" s="254" t="s">
        <v>2331</v>
      </c>
      <c r="J54" s="263">
        <v>3675</v>
      </c>
      <c r="K54" s="263">
        <v>200000</v>
      </c>
      <c r="L54" s="263">
        <v>200000</v>
      </c>
      <c r="M54" s="263">
        <v>201000</v>
      </c>
      <c r="N54" s="256">
        <f t="shared" si="8"/>
        <v>54.693877551020407</v>
      </c>
      <c r="O54" s="263" t="s">
        <v>66</v>
      </c>
      <c r="P54" s="263">
        <v>3675</v>
      </c>
      <c r="Q54" s="263">
        <v>3675</v>
      </c>
      <c r="R54" s="263">
        <v>3675</v>
      </c>
      <c r="S54" s="263" t="s">
        <v>233</v>
      </c>
      <c r="T54" s="263" t="s">
        <v>134</v>
      </c>
      <c r="U54" s="263" t="s">
        <v>75</v>
      </c>
      <c r="V54" s="263" t="s">
        <v>66</v>
      </c>
      <c r="W54" s="263" t="s">
        <v>66</v>
      </c>
      <c r="X54" s="349"/>
      <c r="Y54" s="263">
        <v>3675</v>
      </c>
      <c r="Z54" s="263" t="s">
        <v>75</v>
      </c>
      <c r="AA54" s="263" t="s">
        <v>75</v>
      </c>
      <c r="AB54" s="263" t="s">
        <v>134</v>
      </c>
      <c r="AC54" s="263" t="s">
        <v>75</v>
      </c>
      <c r="AD54" s="263" t="s">
        <v>75</v>
      </c>
      <c r="AE54" s="263">
        <v>1470</v>
      </c>
      <c r="AF54" s="263" t="s">
        <v>75</v>
      </c>
      <c r="AG54" s="263" t="s">
        <v>75</v>
      </c>
      <c r="AH54" s="263" t="s">
        <v>75</v>
      </c>
      <c r="AI54" s="263" t="s">
        <v>75</v>
      </c>
      <c r="AJ54" s="288">
        <f t="shared" si="6"/>
        <v>0</v>
      </c>
      <c r="AK54" s="263" t="s">
        <v>66</v>
      </c>
      <c r="AL54" s="263" t="s">
        <v>66</v>
      </c>
      <c r="AM54" s="263"/>
      <c r="AT54" s="261" t="s">
        <v>75</v>
      </c>
      <c r="AU54" s="261" t="s">
        <v>75</v>
      </c>
      <c r="AV54" s="293" t="s">
        <v>411</v>
      </c>
    </row>
    <row r="55" spans="1:301" s="261" customFormat="1" ht="26.25" customHeight="1">
      <c r="A55" s="260">
        <v>676</v>
      </c>
      <c r="B55" s="388" t="s">
        <v>138</v>
      </c>
      <c r="C55" s="377" t="s">
        <v>1299</v>
      </c>
      <c r="D55" s="317">
        <v>38353</v>
      </c>
      <c r="E55" s="317">
        <v>38443</v>
      </c>
      <c r="F55" s="304" t="s">
        <v>300</v>
      </c>
      <c r="G55" s="252" t="s">
        <v>1450</v>
      </c>
      <c r="H55" s="388" t="s">
        <v>298</v>
      </c>
      <c r="I55" s="254" t="s">
        <v>2331</v>
      </c>
      <c r="J55" s="318">
        <v>7117</v>
      </c>
      <c r="K55" s="327">
        <v>35535</v>
      </c>
      <c r="L55" s="327">
        <v>35550</v>
      </c>
      <c r="M55" s="327">
        <v>35550</v>
      </c>
      <c r="N55" s="256">
        <f t="shared" si="8"/>
        <v>4.99508219755515</v>
      </c>
      <c r="O55" s="318">
        <v>100</v>
      </c>
      <c r="P55" s="318" t="s">
        <v>75</v>
      </c>
      <c r="Q55" s="318" t="s">
        <v>75</v>
      </c>
      <c r="R55" s="318" t="s">
        <v>75</v>
      </c>
      <c r="S55" s="318" t="s">
        <v>233</v>
      </c>
      <c r="T55" s="318" t="s">
        <v>75</v>
      </c>
      <c r="U55" s="318" t="s">
        <v>75</v>
      </c>
      <c r="V55" s="318" t="s">
        <v>66</v>
      </c>
      <c r="W55" s="318" t="s">
        <v>66</v>
      </c>
      <c r="X55" s="318"/>
      <c r="Y55" s="318" t="s">
        <v>75</v>
      </c>
      <c r="Z55" s="318" t="s">
        <v>75</v>
      </c>
      <c r="AA55" s="318" t="s">
        <v>75</v>
      </c>
      <c r="AB55" s="318" t="s">
        <v>75</v>
      </c>
      <c r="AC55" s="318" t="s">
        <v>75</v>
      </c>
      <c r="AD55" s="318" t="s">
        <v>75</v>
      </c>
      <c r="AE55" s="318" t="s">
        <v>75</v>
      </c>
      <c r="AF55" s="318" t="s">
        <v>75</v>
      </c>
      <c r="AG55" s="318" t="s">
        <v>75</v>
      </c>
      <c r="AH55" s="318" t="s">
        <v>75</v>
      </c>
      <c r="AI55" s="318" t="s">
        <v>75</v>
      </c>
      <c r="AJ55" s="301">
        <f t="shared" si="6"/>
        <v>0</v>
      </c>
      <c r="AK55" s="318" t="s">
        <v>66</v>
      </c>
      <c r="AL55" s="318" t="s">
        <v>66</v>
      </c>
      <c r="AM55" s="263"/>
      <c r="AN55" s="388"/>
      <c r="AO55" s="342" t="s">
        <v>75</v>
      </c>
      <c r="AP55" s="342" t="s">
        <v>75</v>
      </c>
      <c r="AQ55" s="342" t="s">
        <v>75</v>
      </c>
      <c r="AR55" s="342" t="s">
        <v>75</v>
      </c>
      <c r="AS55" s="342" t="s">
        <v>75</v>
      </c>
      <c r="AT55" s="342" t="s">
        <v>75</v>
      </c>
      <c r="AU55" s="342" t="s">
        <v>75</v>
      </c>
      <c r="AV55" s="377" t="s">
        <v>299</v>
      </c>
      <c r="AW55" s="388"/>
      <c r="AX55" s="388"/>
      <c r="AY55" s="388"/>
      <c r="AZ55" s="388"/>
      <c r="BA55" s="388"/>
      <c r="BB55" s="388"/>
      <c r="BC55" s="388"/>
      <c r="BD55" s="388"/>
      <c r="BE55" s="388"/>
      <c r="BF55" s="388"/>
      <c r="BG55" s="388"/>
      <c r="BH55" s="388"/>
      <c r="BI55" s="388"/>
      <c r="BJ55" s="388"/>
      <c r="BK55" s="388"/>
      <c r="BL55" s="388"/>
      <c r="BM55" s="388"/>
      <c r="BN55" s="342"/>
    </row>
    <row r="56" spans="1:301" s="261" customFormat="1" ht="21" customHeight="1">
      <c r="A56" s="260">
        <v>677</v>
      </c>
      <c r="B56" s="388" t="s">
        <v>171</v>
      </c>
      <c r="C56" s="377" t="s">
        <v>1299</v>
      </c>
      <c r="D56" s="325">
        <v>38473</v>
      </c>
      <c r="E56" s="325">
        <v>38565</v>
      </c>
      <c r="F56" s="377" t="s">
        <v>263</v>
      </c>
      <c r="G56" s="252" t="s">
        <v>1451</v>
      </c>
      <c r="H56" s="388" t="s">
        <v>264</v>
      </c>
      <c r="I56" s="254" t="s">
        <v>2331</v>
      </c>
      <c r="J56" s="318">
        <v>6000</v>
      </c>
      <c r="K56" s="327">
        <v>0</v>
      </c>
      <c r="L56" s="327">
        <v>109937</v>
      </c>
      <c r="M56" s="318">
        <v>109937</v>
      </c>
      <c r="N56" s="256">
        <f t="shared" si="8"/>
        <v>18.322833333333332</v>
      </c>
      <c r="O56" s="327" t="s">
        <v>66</v>
      </c>
      <c r="P56" s="327" t="s">
        <v>134</v>
      </c>
      <c r="Q56" s="327" t="s">
        <v>75</v>
      </c>
      <c r="R56" s="318" t="s">
        <v>134</v>
      </c>
      <c r="S56" s="318" t="s">
        <v>233</v>
      </c>
      <c r="T56" s="327" t="s">
        <v>134</v>
      </c>
      <c r="U56" s="318" t="s">
        <v>134</v>
      </c>
      <c r="V56" s="318">
        <v>0</v>
      </c>
      <c r="W56" s="318">
        <v>28399</v>
      </c>
      <c r="X56" s="318"/>
      <c r="Y56" s="318" t="s">
        <v>206</v>
      </c>
      <c r="Z56" s="318" t="s">
        <v>266</v>
      </c>
      <c r="AA56" s="318" t="s">
        <v>134</v>
      </c>
      <c r="AB56" s="327">
        <v>55</v>
      </c>
      <c r="AC56" s="318" t="s">
        <v>267</v>
      </c>
      <c r="AD56" s="318" t="s">
        <v>267</v>
      </c>
      <c r="AE56" s="327">
        <v>1996</v>
      </c>
      <c r="AF56" s="318" t="s">
        <v>75</v>
      </c>
      <c r="AG56" s="318" t="s">
        <v>75</v>
      </c>
      <c r="AH56" s="318" t="s">
        <v>75</v>
      </c>
      <c r="AI56" s="318" t="s">
        <v>75</v>
      </c>
      <c r="AJ56" s="301">
        <f t="shared" si="6"/>
        <v>0</v>
      </c>
      <c r="AK56" s="318" t="s">
        <v>66</v>
      </c>
      <c r="AL56" s="318" t="s">
        <v>66</v>
      </c>
      <c r="AM56" s="263"/>
      <c r="AN56" s="388"/>
      <c r="AO56" s="342" t="s">
        <v>75</v>
      </c>
      <c r="AP56" s="342" t="s">
        <v>75</v>
      </c>
      <c r="AQ56" s="342" t="s">
        <v>75</v>
      </c>
      <c r="AR56" s="342" t="s">
        <v>75</v>
      </c>
      <c r="AS56" s="342" t="s">
        <v>75</v>
      </c>
      <c r="AT56" s="342" t="s">
        <v>204</v>
      </c>
      <c r="AU56" s="342" t="s">
        <v>204</v>
      </c>
      <c r="AV56" s="377" t="s">
        <v>265</v>
      </c>
      <c r="AW56" s="388"/>
      <c r="AX56" s="388"/>
      <c r="AY56" s="388"/>
      <c r="AZ56" s="388"/>
      <c r="BA56" s="388"/>
      <c r="BB56" s="388"/>
      <c r="BC56" s="388"/>
      <c r="BD56" s="388"/>
      <c r="BE56" s="388"/>
      <c r="BF56" s="388"/>
      <c r="BG56" s="388"/>
      <c r="BH56" s="388"/>
      <c r="BI56" s="388"/>
      <c r="BJ56" s="388"/>
      <c r="BK56" s="388"/>
      <c r="BL56" s="388"/>
      <c r="BM56" s="388"/>
      <c r="BN56" s="342"/>
    </row>
    <row r="57" spans="1:301" s="261" customFormat="1" ht="20.25" customHeight="1">
      <c r="A57" s="260">
        <v>678</v>
      </c>
      <c r="B57" s="342" t="s">
        <v>171</v>
      </c>
      <c r="C57" s="304" t="s">
        <v>1299</v>
      </c>
      <c r="D57" s="317">
        <v>38687</v>
      </c>
      <c r="E57" s="317">
        <v>38777</v>
      </c>
      <c r="F57" s="304" t="s">
        <v>24</v>
      </c>
      <c r="G57" s="273" t="s">
        <v>1454</v>
      </c>
      <c r="H57" s="342" t="s">
        <v>277</v>
      </c>
      <c r="I57" s="254" t="s">
        <v>2331</v>
      </c>
      <c r="J57" s="318">
        <v>270</v>
      </c>
      <c r="K57" s="318">
        <v>0</v>
      </c>
      <c r="L57" s="318">
        <v>29220</v>
      </c>
      <c r="M57" s="318">
        <v>29220</v>
      </c>
      <c r="N57" s="256">
        <f t="shared" si="8"/>
        <v>108.22222222222223</v>
      </c>
      <c r="O57" s="318" t="s">
        <v>66</v>
      </c>
      <c r="P57" s="318">
        <v>270</v>
      </c>
      <c r="Q57" s="318">
        <v>270</v>
      </c>
      <c r="R57" s="318">
        <v>270</v>
      </c>
      <c r="S57" s="318" t="s">
        <v>233</v>
      </c>
      <c r="T57" s="318" t="s">
        <v>75</v>
      </c>
      <c r="U57" s="318" t="s">
        <v>75</v>
      </c>
      <c r="V57" s="318">
        <v>0</v>
      </c>
      <c r="W57" s="318">
        <v>15683</v>
      </c>
      <c r="X57" s="349">
        <f>W57/R57</f>
        <v>58.085185185185182</v>
      </c>
      <c r="Y57" s="318" t="s">
        <v>75</v>
      </c>
      <c r="Z57" s="318" t="s">
        <v>75</v>
      </c>
      <c r="AA57" s="318" t="s">
        <v>75</v>
      </c>
      <c r="AB57" s="318" t="s">
        <v>75</v>
      </c>
      <c r="AC57" s="318" t="s">
        <v>75</v>
      </c>
      <c r="AD57" s="318" t="s">
        <v>75</v>
      </c>
      <c r="AE57" s="318" t="s">
        <v>75</v>
      </c>
      <c r="AF57" s="318" t="s">
        <v>75</v>
      </c>
      <c r="AG57" s="318" t="s">
        <v>75</v>
      </c>
      <c r="AH57" s="318" t="s">
        <v>75</v>
      </c>
      <c r="AI57" s="318" t="s">
        <v>75</v>
      </c>
      <c r="AJ57" s="288">
        <f t="shared" si="6"/>
        <v>0</v>
      </c>
      <c r="AK57" s="318" t="s">
        <v>66</v>
      </c>
      <c r="AL57" s="318" t="s">
        <v>66</v>
      </c>
      <c r="AM57" s="263"/>
      <c r="AN57" s="342"/>
      <c r="AO57" s="342" t="s">
        <v>75</v>
      </c>
      <c r="AP57" s="342" t="s">
        <v>75</v>
      </c>
      <c r="AQ57" s="342" t="s">
        <v>75</v>
      </c>
      <c r="AR57" s="342" t="s">
        <v>75</v>
      </c>
      <c r="AS57" s="342" t="s">
        <v>75</v>
      </c>
      <c r="AT57" s="342" t="s">
        <v>75</v>
      </c>
      <c r="AU57" s="342" t="s">
        <v>75</v>
      </c>
      <c r="AV57" s="407" t="s">
        <v>278</v>
      </c>
      <c r="AW57" s="342"/>
      <c r="AX57" s="342"/>
      <c r="AY57" s="342"/>
      <c r="AZ57" s="342"/>
      <c r="BA57" s="342"/>
      <c r="BB57" s="342"/>
      <c r="BC57" s="342"/>
      <c r="BD57" s="342"/>
      <c r="BE57" s="342"/>
      <c r="BF57" s="342"/>
      <c r="BG57" s="342"/>
      <c r="BH57" s="342"/>
      <c r="BI57" s="342"/>
      <c r="BJ57" s="342"/>
      <c r="BK57" s="342"/>
      <c r="BL57" s="342"/>
      <c r="BM57" s="342"/>
      <c r="BN57" s="342"/>
    </row>
    <row r="58" spans="1:301" s="285" customFormat="1" ht="15.75" customHeight="1">
      <c r="A58" s="260">
        <v>679</v>
      </c>
      <c r="B58" s="388" t="s">
        <v>259</v>
      </c>
      <c r="C58" s="388" t="s">
        <v>1261</v>
      </c>
      <c r="D58" s="325">
        <v>38626</v>
      </c>
      <c r="E58" s="325">
        <v>38991</v>
      </c>
      <c r="F58" s="377" t="s">
        <v>262</v>
      </c>
      <c r="G58" s="252" t="s">
        <v>1450</v>
      </c>
      <c r="H58" s="388" t="s">
        <v>261</v>
      </c>
      <c r="I58" s="278" t="s">
        <v>2438</v>
      </c>
      <c r="J58" s="318">
        <v>32450</v>
      </c>
      <c r="K58" s="327">
        <v>813678</v>
      </c>
      <c r="L58" s="327">
        <v>832947</v>
      </c>
      <c r="M58" s="318">
        <v>832947</v>
      </c>
      <c r="N58" s="256">
        <f t="shared" si="8"/>
        <v>25.668628659476116</v>
      </c>
      <c r="O58" s="318">
        <v>102</v>
      </c>
      <c r="P58" s="327" t="s">
        <v>75</v>
      </c>
      <c r="Q58" s="327" t="s">
        <v>75</v>
      </c>
      <c r="R58" s="318" t="s">
        <v>75</v>
      </c>
      <c r="S58" s="318" t="s">
        <v>75</v>
      </c>
      <c r="T58" s="327" t="s">
        <v>75</v>
      </c>
      <c r="U58" s="318" t="s">
        <v>75</v>
      </c>
      <c r="V58" s="318" t="s">
        <v>66</v>
      </c>
      <c r="W58" s="318" t="s">
        <v>66</v>
      </c>
      <c r="X58" s="318"/>
      <c r="Y58" s="318" t="s">
        <v>75</v>
      </c>
      <c r="Z58" s="318" t="s">
        <v>75</v>
      </c>
      <c r="AA58" s="318" t="s">
        <v>75</v>
      </c>
      <c r="AB58" s="318" t="s">
        <v>75</v>
      </c>
      <c r="AC58" s="318" t="s">
        <v>75</v>
      </c>
      <c r="AD58" s="318" t="s">
        <v>75</v>
      </c>
      <c r="AE58" s="327">
        <v>3100</v>
      </c>
      <c r="AF58" s="318" t="s">
        <v>75</v>
      </c>
      <c r="AG58" s="318" t="s">
        <v>75</v>
      </c>
      <c r="AH58" s="318" t="s">
        <v>75</v>
      </c>
      <c r="AI58" s="318" t="s">
        <v>75</v>
      </c>
      <c r="AJ58" s="301">
        <f t="shared" si="6"/>
        <v>0</v>
      </c>
      <c r="AK58" s="318" t="s">
        <v>66</v>
      </c>
      <c r="AL58" s="318" t="s">
        <v>66</v>
      </c>
      <c r="AM58" s="318"/>
      <c r="AN58" s="388"/>
      <c r="AO58" s="342" t="s">
        <v>75</v>
      </c>
      <c r="AP58" s="342" t="s">
        <v>75</v>
      </c>
      <c r="AQ58" s="342" t="s">
        <v>75</v>
      </c>
      <c r="AR58" s="342" t="s">
        <v>75</v>
      </c>
      <c r="AS58" s="342" t="s">
        <v>75</v>
      </c>
      <c r="AT58" s="342" t="s">
        <v>75</v>
      </c>
      <c r="AU58" s="342" t="s">
        <v>75</v>
      </c>
      <c r="AV58" s="404" t="s">
        <v>260</v>
      </c>
      <c r="AW58" s="388"/>
      <c r="AX58" s="388"/>
      <c r="AY58" s="388"/>
      <c r="AZ58" s="388"/>
      <c r="BA58" s="388"/>
      <c r="BB58" s="388"/>
      <c r="BC58" s="388"/>
      <c r="BD58" s="388"/>
      <c r="BE58" s="388"/>
      <c r="BF58" s="388"/>
      <c r="BG58" s="388"/>
      <c r="BH58" s="388"/>
      <c r="BI58" s="388"/>
      <c r="BJ58" s="388"/>
      <c r="BK58" s="388"/>
      <c r="BL58" s="388"/>
      <c r="BM58" s="388"/>
      <c r="BN58" s="342"/>
      <c r="BO58" s="284"/>
      <c r="BP58" s="284"/>
      <c r="BQ58" s="284"/>
      <c r="BR58" s="284"/>
      <c r="BS58" s="284"/>
      <c r="BT58" s="284"/>
      <c r="BU58" s="284"/>
      <c r="BV58" s="284"/>
      <c r="BW58" s="284"/>
      <c r="BX58" s="284"/>
      <c r="BY58" s="284"/>
      <c r="BZ58" s="284"/>
      <c r="CA58" s="284"/>
      <c r="CB58" s="284"/>
      <c r="CC58" s="284"/>
      <c r="CD58" s="284"/>
      <c r="CE58" s="284"/>
      <c r="CF58" s="284"/>
      <c r="CG58" s="284"/>
      <c r="CH58" s="284"/>
      <c r="CI58" s="284"/>
      <c r="CJ58" s="284"/>
      <c r="CK58" s="284"/>
      <c r="CL58" s="284"/>
      <c r="CM58" s="284"/>
      <c r="CN58" s="284"/>
      <c r="CO58" s="284"/>
      <c r="CP58" s="284"/>
      <c r="CQ58" s="284"/>
      <c r="CR58" s="284"/>
      <c r="CS58" s="284"/>
      <c r="CT58" s="284"/>
      <c r="CU58" s="284"/>
      <c r="CV58" s="284"/>
      <c r="CW58" s="284"/>
      <c r="CX58" s="284"/>
      <c r="CY58" s="284"/>
      <c r="CZ58" s="284"/>
      <c r="DA58" s="284"/>
      <c r="DB58" s="284"/>
      <c r="DC58" s="284"/>
      <c r="DD58" s="284"/>
      <c r="DE58" s="284"/>
      <c r="DF58" s="284"/>
      <c r="DG58" s="284"/>
      <c r="DH58" s="284"/>
      <c r="DI58" s="284"/>
      <c r="DJ58" s="284"/>
      <c r="DK58" s="284"/>
      <c r="DL58" s="284"/>
      <c r="DM58" s="284"/>
      <c r="DN58" s="284"/>
      <c r="DO58" s="284"/>
      <c r="DP58" s="284"/>
      <c r="DQ58" s="284"/>
      <c r="DR58" s="284"/>
      <c r="DS58" s="284"/>
      <c r="DT58" s="284"/>
      <c r="DU58" s="284"/>
      <c r="DV58" s="284"/>
      <c r="DW58" s="284"/>
      <c r="DX58" s="284"/>
      <c r="DY58" s="284"/>
      <c r="DZ58" s="284"/>
      <c r="EA58" s="284"/>
      <c r="EB58" s="284"/>
      <c r="EC58" s="284"/>
      <c r="ED58" s="284"/>
      <c r="EE58" s="284"/>
      <c r="EF58" s="284"/>
      <c r="EG58" s="284"/>
      <c r="EH58" s="284"/>
      <c r="EI58" s="284"/>
      <c r="EJ58" s="284"/>
      <c r="EK58" s="284"/>
      <c r="EL58" s="284"/>
      <c r="EM58" s="284"/>
      <c r="EN58" s="284"/>
      <c r="EO58" s="284"/>
      <c r="EP58" s="284"/>
      <c r="EQ58" s="284"/>
      <c r="ER58" s="284"/>
      <c r="ES58" s="284"/>
      <c r="ET58" s="284"/>
      <c r="EU58" s="284"/>
      <c r="EV58" s="284"/>
      <c r="EW58" s="284"/>
      <c r="EX58" s="284"/>
      <c r="EY58" s="284"/>
      <c r="EZ58" s="284"/>
      <c r="FA58" s="284"/>
      <c r="FB58" s="284"/>
      <c r="FC58" s="284"/>
      <c r="FD58" s="284"/>
      <c r="FE58" s="284"/>
      <c r="FF58" s="284"/>
      <c r="FG58" s="284"/>
      <c r="FH58" s="284"/>
      <c r="FI58" s="284"/>
      <c r="FJ58" s="284"/>
      <c r="FK58" s="284"/>
      <c r="FL58" s="284"/>
      <c r="FM58" s="284"/>
      <c r="FN58" s="284"/>
      <c r="FO58" s="284"/>
      <c r="FP58" s="284"/>
      <c r="FQ58" s="284"/>
      <c r="FR58" s="284"/>
      <c r="FS58" s="284"/>
      <c r="FT58" s="284"/>
      <c r="FU58" s="284"/>
      <c r="FV58" s="284"/>
      <c r="FW58" s="284"/>
      <c r="FX58" s="284"/>
      <c r="FY58" s="284"/>
      <c r="FZ58" s="284"/>
      <c r="GA58" s="284"/>
      <c r="GB58" s="284"/>
      <c r="GC58" s="284"/>
      <c r="GD58" s="284"/>
      <c r="GE58" s="284"/>
      <c r="GF58" s="284"/>
      <c r="GG58" s="284"/>
      <c r="GH58" s="284"/>
      <c r="GI58" s="284"/>
      <c r="GJ58" s="284"/>
      <c r="GK58" s="284"/>
      <c r="GL58" s="284"/>
      <c r="GM58" s="284"/>
      <c r="GN58" s="284"/>
      <c r="GO58" s="284"/>
      <c r="GP58" s="284"/>
      <c r="GQ58" s="284"/>
      <c r="GR58" s="284"/>
      <c r="GS58" s="284"/>
      <c r="GT58" s="284"/>
      <c r="GU58" s="284"/>
      <c r="GV58" s="284"/>
      <c r="GW58" s="284"/>
      <c r="GX58" s="284"/>
      <c r="GY58" s="284"/>
      <c r="GZ58" s="284"/>
      <c r="HA58" s="284"/>
      <c r="HB58" s="284"/>
      <c r="HC58" s="284"/>
      <c r="HD58" s="284"/>
      <c r="HE58" s="284"/>
      <c r="HF58" s="284"/>
      <c r="HG58" s="284"/>
      <c r="HH58" s="284"/>
      <c r="HI58" s="284"/>
      <c r="HJ58" s="284"/>
      <c r="HK58" s="284"/>
      <c r="KO58" s="284"/>
    </row>
    <row r="59" spans="1:301" s="285" customFormat="1" ht="17.25" customHeight="1">
      <c r="A59" s="260">
        <v>680</v>
      </c>
      <c r="B59" s="388" t="s">
        <v>141</v>
      </c>
      <c r="C59" s="377" t="s">
        <v>1299</v>
      </c>
      <c r="D59" s="325">
        <v>38412</v>
      </c>
      <c r="E59" s="325">
        <v>38565</v>
      </c>
      <c r="F59" s="377" t="s">
        <v>79</v>
      </c>
      <c r="G59" s="252" t="s">
        <v>1453</v>
      </c>
      <c r="H59" s="377" t="s">
        <v>257</v>
      </c>
      <c r="I59" s="254" t="s">
        <v>2331</v>
      </c>
      <c r="J59" s="318">
        <v>388800</v>
      </c>
      <c r="K59" s="327">
        <v>49998</v>
      </c>
      <c r="L59" s="327">
        <v>49998</v>
      </c>
      <c r="M59" s="318">
        <v>49998</v>
      </c>
      <c r="N59" s="256">
        <f t="shared" si="8"/>
        <v>0.12859567901234567</v>
      </c>
      <c r="O59" s="318">
        <v>100</v>
      </c>
      <c r="P59" s="327" t="s">
        <v>134</v>
      </c>
      <c r="Q59" s="327" t="s">
        <v>134</v>
      </c>
      <c r="R59" s="318" t="s">
        <v>134</v>
      </c>
      <c r="S59" s="318" t="s">
        <v>233</v>
      </c>
      <c r="T59" s="327" t="s">
        <v>134</v>
      </c>
      <c r="U59" s="318" t="s">
        <v>134</v>
      </c>
      <c r="V59" s="318">
        <v>234</v>
      </c>
      <c r="W59" s="318">
        <v>234</v>
      </c>
      <c r="X59" s="318"/>
      <c r="Y59" s="318" t="s">
        <v>206</v>
      </c>
      <c r="Z59" s="318" t="s">
        <v>75</v>
      </c>
      <c r="AA59" s="318" t="s">
        <v>134</v>
      </c>
      <c r="AB59" s="318" t="s">
        <v>134</v>
      </c>
      <c r="AC59" s="318" t="s">
        <v>134</v>
      </c>
      <c r="AD59" s="318" t="s">
        <v>134</v>
      </c>
      <c r="AE59" s="318" t="s">
        <v>75</v>
      </c>
      <c r="AF59" s="318" t="s">
        <v>134</v>
      </c>
      <c r="AG59" s="318" t="s">
        <v>134</v>
      </c>
      <c r="AH59" s="318" t="s">
        <v>134</v>
      </c>
      <c r="AI59" s="318" t="s">
        <v>134</v>
      </c>
      <c r="AJ59" s="301">
        <f t="shared" si="6"/>
        <v>0</v>
      </c>
      <c r="AK59" s="318" t="s">
        <v>66</v>
      </c>
      <c r="AL59" s="318" t="s">
        <v>66</v>
      </c>
      <c r="AM59" s="318"/>
      <c r="AN59" s="388"/>
      <c r="AO59" s="342" t="s">
        <v>75</v>
      </c>
      <c r="AP59" s="342" t="s">
        <v>75</v>
      </c>
      <c r="AQ59" s="342" t="s">
        <v>75</v>
      </c>
      <c r="AR59" s="342" t="s">
        <v>75</v>
      </c>
      <c r="AS59" s="342" t="s">
        <v>75</v>
      </c>
      <c r="AT59" s="342" t="s">
        <v>75</v>
      </c>
      <c r="AU59" s="342" t="s">
        <v>75</v>
      </c>
      <c r="AV59" s="432" t="s">
        <v>258</v>
      </c>
      <c r="AW59" s="388"/>
      <c r="AX59" s="388"/>
      <c r="AY59" s="388"/>
      <c r="AZ59" s="388"/>
      <c r="BA59" s="388"/>
      <c r="BB59" s="388"/>
      <c r="BC59" s="388"/>
      <c r="BD59" s="388"/>
      <c r="BE59" s="388"/>
      <c r="BF59" s="388"/>
      <c r="BG59" s="388"/>
      <c r="BH59" s="388"/>
      <c r="BI59" s="388"/>
      <c r="BJ59" s="388"/>
      <c r="BK59" s="388"/>
      <c r="BL59" s="388"/>
      <c r="BM59" s="388"/>
      <c r="BN59" s="342"/>
      <c r="BO59" s="284"/>
      <c r="BP59" s="284"/>
      <c r="BQ59" s="284"/>
      <c r="BR59" s="284"/>
      <c r="BS59" s="284"/>
      <c r="BT59" s="284"/>
      <c r="BU59" s="284"/>
      <c r="BV59" s="284"/>
      <c r="BW59" s="284"/>
      <c r="BX59" s="284"/>
      <c r="BY59" s="284"/>
      <c r="BZ59" s="284"/>
      <c r="CA59" s="284"/>
      <c r="CB59" s="284"/>
      <c r="CC59" s="284"/>
      <c r="CD59" s="284"/>
      <c r="CE59" s="284"/>
      <c r="CF59" s="284"/>
      <c r="CG59" s="284"/>
      <c r="CH59" s="284"/>
      <c r="CI59" s="284"/>
      <c r="CJ59" s="284"/>
      <c r="CK59" s="284"/>
      <c r="CL59" s="284"/>
      <c r="CM59" s="284"/>
      <c r="CN59" s="284"/>
      <c r="CO59" s="284"/>
      <c r="CP59" s="284"/>
      <c r="CQ59" s="284"/>
      <c r="CR59" s="284"/>
      <c r="CS59" s="284"/>
      <c r="CT59" s="284"/>
      <c r="CU59" s="284"/>
      <c r="CV59" s="284"/>
      <c r="CW59" s="284"/>
      <c r="CX59" s="284"/>
      <c r="CY59" s="284"/>
      <c r="CZ59" s="284"/>
      <c r="DA59" s="284"/>
      <c r="DB59" s="284"/>
      <c r="DC59" s="284"/>
      <c r="DD59" s="284"/>
      <c r="DE59" s="284"/>
      <c r="DF59" s="284"/>
      <c r="DG59" s="284"/>
      <c r="DH59" s="284"/>
      <c r="DI59" s="284"/>
      <c r="DJ59" s="284"/>
      <c r="DK59" s="284"/>
      <c r="DL59" s="284"/>
      <c r="DM59" s="284"/>
      <c r="DN59" s="284"/>
      <c r="DO59" s="284"/>
      <c r="DP59" s="284"/>
      <c r="DQ59" s="284"/>
      <c r="DR59" s="284"/>
      <c r="DS59" s="284"/>
      <c r="DT59" s="284"/>
      <c r="DU59" s="284"/>
      <c r="DV59" s="284"/>
      <c r="DW59" s="284"/>
      <c r="DX59" s="284"/>
      <c r="DY59" s="284"/>
      <c r="DZ59" s="284"/>
      <c r="EA59" s="284"/>
      <c r="EB59" s="284"/>
      <c r="EC59" s="284"/>
      <c r="ED59" s="284"/>
      <c r="EE59" s="284"/>
      <c r="EF59" s="284"/>
      <c r="EG59" s="284"/>
      <c r="EH59" s="284"/>
      <c r="EI59" s="284"/>
      <c r="EJ59" s="284"/>
      <c r="EK59" s="284"/>
      <c r="EL59" s="284"/>
      <c r="EM59" s="284"/>
      <c r="EN59" s="284"/>
      <c r="EO59" s="284"/>
      <c r="EP59" s="284"/>
      <c r="EQ59" s="284"/>
      <c r="ER59" s="284"/>
      <c r="ES59" s="284"/>
      <c r="ET59" s="284"/>
      <c r="EU59" s="284"/>
      <c r="EV59" s="284"/>
      <c r="EW59" s="284"/>
      <c r="EX59" s="284"/>
      <c r="EY59" s="284"/>
      <c r="EZ59" s="284"/>
      <c r="FA59" s="284"/>
      <c r="FB59" s="284"/>
      <c r="FC59" s="284"/>
      <c r="FD59" s="284"/>
      <c r="FE59" s="284"/>
      <c r="FF59" s="284"/>
      <c r="FG59" s="284"/>
      <c r="FH59" s="284"/>
      <c r="FI59" s="284"/>
      <c r="FJ59" s="284"/>
      <c r="FK59" s="284"/>
      <c r="FL59" s="284"/>
      <c r="FM59" s="284"/>
      <c r="FN59" s="284"/>
      <c r="FO59" s="284"/>
      <c r="FP59" s="284"/>
      <c r="FQ59" s="284"/>
      <c r="FR59" s="284"/>
      <c r="FS59" s="284"/>
      <c r="FT59" s="284"/>
      <c r="FU59" s="284"/>
      <c r="FV59" s="284"/>
      <c r="FW59" s="284"/>
      <c r="FX59" s="284"/>
      <c r="FY59" s="284"/>
      <c r="FZ59" s="284"/>
      <c r="GA59" s="284"/>
      <c r="GB59" s="284"/>
      <c r="GC59" s="284"/>
      <c r="GD59" s="284"/>
      <c r="GE59" s="284"/>
      <c r="GF59" s="284"/>
      <c r="GG59" s="284"/>
      <c r="GH59" s="284"/>
      <c r="GI59" s="284"/>
      <c r="GJ59" s="284"/>
      <c r="GK59" s="284"/>
      <c r="GL59" s="284"/>
      <c r="GM59" s="284"/>
      <c r="GN59" s="284"/>
      <c r="GO59" s="284"/>
      <c r="GP59" s="284"/>
      <c r="GQ59" s="284"/>
      <c r="GR59" s="284"/>
      <c r="GS59" s="284"/>
      <c r="GT59" s="284"/>
      <c r="GU59" s="284"/>
      <c r="GV59" s="284"/>
      <c r="GW59" s="284"/>
      <c r="GX59" s="284"/>
      <c r="GY59" s="284"/>
      <c r="GZ59" s="284"/>
      <c r="HA59" s="284"/>
      <c r="HB59" s="284"/>
      <c r="HC59" s="284"/>
      <c r="HD59" s="284"/>
      <c r="HE59" s="284"/>
      <c r="HF59" s="284"/>
      <c r="HG59" s="284"/>
      <c r="HH59" s="284"/>
      <c r="HI59" s="284"/>
      <c r="HJ59" s="284"/>
      <c r="HK59" s="284"/>
      <c r="KO59" s="284"/>
    </row>
    <row r="60" spans="1:301" s="285" customFormat="1" ht="14.25" customHeight="1">
      <c r="A60" s="260">
        <v>681</v>
      </c>
      <c r="B60" s="388" t="s">
        <v>142</v>
      </c>
      <c r="C60" s="377" t="s">
        <v>1299</v>
      </c>
      <c r="D60" s="317">
        <v>38534</v>
      </c>
      <c r="E60" s="317">
        <v>38808</v>
      </c>
      <c r="F60" s="377" t="s">
        <v>361</v>
      </c>
      <c r="G60" s="252" t="s">
        <v>1452</v>
      </c>
      <c r="H60" s="388" t="s">
        <v>314</v>
      </c>
      <c r="I60" s="278" t="s">
        <v>2438</v>
      </c>
      <c r="J60" s="318">
        <v>15000</v>
      </c>
      <c r="K60" s="327">
        <v>2481816</v>
      </c>
      <c r="L60" s="327">
        <v>865712</v>
      </c>
      <c r="M60" s="318">
        <v>865711</v>
      </c>
      <c r="N60" s="256">
        <f t="shared" si="8"/>
        <v>57.714066666666668</v>
      </c>
      <c r="O60" s="318">
        <v>34.799999999999997</v>
      </c>
      <c r="P60" s="327">
        <v>9000</v>
      </c>
      <c r="Q60" s="327">
        <v>5000</v>
      </c>
      <c r="R60" s="318">
        <v>9000</v>
      </c>
      <c r="S60" s="318" t="s">
        <v>233</v>
      </c>
      <c r="T60" s="327">
        <v>40</v>
      </c>
      <c r="U60" s="318">
        <v>5000</v>
      </c>
      <c r="V60" s="318">
        <v>204000</v>
      </c>
      <c r="W60" s="318">
        <v>11891</v>
      </c>
      <c r="X60" s="349">
        <f>W60/R60</f>
        <v>1.3212222222222223</v>
      </c>
      <c r="Y60" s="318">
        <v>5000</v>
      </c>
      <c r="Z60" s="318" t="s">
        <v>75</v>
      </c>
      <c r="AA60" s="318">
        <v>5000</v>
      </c>
      <c r="AB60" s="327">
        <v>40</v>
      </c>
      <c r="AC60" s="318" t="s">
        <v>75</v>
      </c>
      <c r="AD60" s="318" t="s">
        <v>75</v>
      </c>
      <c r="AE60" s="327">
        <v>44</v>
      </c>
      <c r="AF60" s="318" t="s">
        <v>75</v>
      </c>
      <c r="AG60" s="318" t="s">
        <v>75</v>
      </c>
      <c r="AH60" s="318" t="s">
        <v>75</v>
      </c>
      <c r="AI60" s="318" t="s">
        <v>75</v>
      </c>
      <c r="AJ60" s="301">
        <f t="shared" si="6"/>
        <v>5000</v>
      </c>
      <c r="AK60" s="318">
        <v>193500</v>
      </c>
      <c r="AL60" s="318">
        <v>67725</v>
      </c>
      <c r="AM60" s="263">
        <f>AL60/AJ60</f>
        <v>13.545</v>
      </c>
      <c r="AN60" s="388"/>
      <c r="AO60" s="342" t="s">
        <v>75</v>
      </c>
      <c r="AP60" s="342" t="s">
        <v>75</v>
      </c>
      <c r="AQ60" s="342" t="s">
        <v>75</v>
      </c>
      <c r="AR60" s="342" t="s">
        <v>75</v>
      </c>
      <c r="AS60" s="342" t="s">
        <v>75</v>
      </c>
      <c r="AT60" s="342" t="s">
        <v>75</v>
      </c>
      <c r="AU60" s="342" t="s">
        <v>75</v>
      </c>
      <c r="AV60" s="404" t="s">
        <v>313</v>
      </c>
      <c r="AW60" s="388"/>
      <c r="AX60" s="388"/>
      <c r="AY60" s="388"/>
      <c r="AZ60" s="388"/>
      <c r="BA60" s="388"/>
      <c r="BB60" s="388"/>
      <c r="BC60" s="388"/>
      <c r="BD60" s="388"/>
      <c r="BE60" s="388"/>
      <c r="BF60" s="388"/>
      <c r="BG60" s="388"/>
      <c r="BH60" s="388"/>
      <c r="BI60" s="388"/>
      <c r="BJ60" s="388"/>
      <c r="BK60" s="388"/>
      <c r="BL60" s="388"/>
      <c r="BM60" s="388"/>
      <c r="BN60" s="342"/>
      <c r="BO60" s="284"/>
      <c r="BP60" s="284"/>
      <c r="BQ60" s="284"/>
      <c r="BR60" s="284"/>
      <c r="BS60" s="284"/>
      <c r="BT60" s="284"/>
      <c r="BU60" s="284"/>
      <c r="BV60" s="284"/>
      <c r="BW60" s="284"/>
      <c r="BX60" s="284"/>
      <c r="BY60" s="284"/>
      <c r="BZ60" s="284"/>
      <c r="CA60" s="284"/>
      <c r="CB60" s="284"/>
      <c r="CC60" s="284"/>
      <c r="CD60" s="284"/>
      <c r="CE60" s="284"/>
      <c r="CF60" s="284"/>
      <c r="CG60" s="284"/>
      <c r="CH60" s="284"/>
      <c r="CI60" s="284"/>
      <c r="CJ60" s="284"/>
      <c r="CK60" s="284"/>
      <c r="CL60" s="284"/>
      <c r="CM60" s="284"/>
      <c r="CN60" s="284"/>
      <c r="CO60" s="284"/>
      <c r="CP60" s="284"/>
      <c r="CQ60" s="284"/>
      <c r="CR60" s="284"/>
      <c r="CS60" s="284"/>
      <c r="CT60" s="284"/>
      <c r="CU60" s="284"/>
      <c r="CV60" s="284"/>
      <c r="CW60" s="284"/>
      <c r="CX60" s="284"/>
      <c r="CY60" s="284"/>
      <c r="CZ60" s="284"/>
      <c r="DA60" s="284"/>
      <c r="DB60" s="284"/>
      <c r="DC60" s="284"/>
      <c r="DD60" s="284"/>
      <c r="DE60" s="284"/>
      <c r="DF60" s="284"/>
      <c r="DG60" s="284"/>
      <c r="DH60" s="284"/>
      <c r="DI60" s="284"/>
      <c r="DJ60" s="284"/>
      <c r="DK60" s="284"/>
      <c r="DL60" s="284"/>
      <c r="DM60" s="284"/>
      <c r="DN60" s="284"/>
      <c r="DO60" s="284"/>
      <c r="DP60" s="284"/>
      <c r="DQ60" s="284"/>
      <c r="DR60" s="284"/>
      <c r="DS60" s="284"/>
      <c r="DT60" s="284"/>
      <c r="DU60" s="284"/>
      <c r="DV60" s="284"/>
      <c r="DW60" s="284"/>
      <c r="DX60" s="284"/>
      <c r="DY60" s="284"/>
      <c r="DZ60" s="284"/>
      <c r="EA60" s="284"/>
      <c r="EB60" s="284"/>
      <c r="EC60" s="284"/>
      <c r="ED60" s="284"/>
      <c r="EE60" s="284"/>
      <c r="EF60" s="284"/>
      <c r="EG60" s="284"/>
      <c r="EH60" s="284"/>
      <c r="EI60" s="284"/>
      <c r="EJ60" s="284"/>
      <c r="EK60" s="284"/>
      <c r="EL60" s="284"/>
      <c r="EM60" s="284"/>
      <c r="EN60" s="284"/>
      <c r="EO60" s="284"/>
      <c r="EP60" s="284"/>
      <c r="EQ60" s="284"/>
      <c r="ER60" s="284"/>
      <c r="ES60" s="284"/>
      <c r="ET60" s="284"/>
      <c r="EU60" s="284"/>
      <c r="EV60" s="284"/>
      <c r="EW60" s="284"/>
      <c r="EX60" s="284"/>
      <c r="EY60" s="284"/>
      <c r="EZ60" s="284"/>
      <c r="FA60" s="284"/>
      <c r="FB60" s="284"/>
      <c r="FC60" s="284"/>
      <c r="FD60" s="284"/>
      <c r="FE60" s="284"/>
      <c r="FF60" s="284"/>
      <c r="FG60" s="284"/>
      <c r="FH60" s="284"/>
      <c r="FI60" s="284"/>
      <c r="FJ60" s="284"/>
      <c r="FK60" s="284"/>
      <c r="FL60" s="284"/>
      <c r="FM60" s="284"/>
      <c r="FN60" s="284"/>
      <c r="FO60" s="284"/>
      <c r="FP60" s="284"/>
      <c r="FQ60" s="284"/>
      <c r="FR60" s="284"/>
      <c r="FS60" s="284"/>
      <c r="FT60" s="284"/>
      <c r="FU60" s="284"/>
      <c r="FV60" s="284"/>
      <c r="FW60" s="284"/>
      <c r="FX60" s="284"/>
      <c r="FY60" s="284"/>
      <c r="FZ60" s="284"/>
      <c r="GA60" s="284"/>
      <c r="GB60" s="284"/>
      <c r="GC60" s="284"/>
      <c r="GD60" s="284"/>
      <c r="GE60" s="284"/>
      <c r="GF60" s="284"/>
      <c r="GG60" s="284"/>
      <c r="GH60" s="284"/>
      <c r="GI60" s="284"/>
      <c r="GJ60" s="284"/>
      <c r="GK60" s="284"/>
      <c r="GL60" s="284"/>
      <c r="GM60" s="284"/>
      <c r="GN60" s="284"/>
      <c r="GO60" s="284"/>
      <c r="GP60" s="284"/>
      <c r="GQ60" s="284"/>
      <c r="GR60" s="284"/>
      <c r="GS60" s="284"/>
      <c r="GT60" s="284"/>
      <c r="GU60" s="284"/>
      <c r="GV60" s="284"/>
      <c r="GW60" s="284"/>
      <c r="GX60" s="284"/>
      <c r="GY60" s="284"/>
      <c r="GZ60" s="284"/>
      <c r="HA60" s="284"/>
      <c r="HB60" s="284"/>
      <c r="HC60" s="284"/>
      <c r="HD60" s="284"/>
      <c r="HE60" s="284"/>
      <c r="HF60" s="284"/>
      <c r="HG60" s="284"/>
      <c r="HH60" s="284"/>
      <c r="HI60" s="284"/>
      <c r="HJ60" s="284"/>
      <c r="HK60" s="284"/>
      <c r="KO60" s="284"/>
    </row>
    <row r="61" spans="1:301" s="284" customFormat="1" ht="15">
      <c r="A61" s="260">
        <v>682</v>
      </c>
      <c r="B61" s="261" t="s">
        <v>1207</v>
      </c>
      <c r="C61" s="261" t="s">
        <v>1299</v>
      </c>
      <c r="D61" s="255">
        <v>38384</v>
      </c>
      <c r="E61" s="255">
        <v>38473</v>
      </c>
      <c r="F61" s="284" t="s">
        <v>2067</v>
      </c>
      <c r="G61" s="284" t="s">
        <v>1453</v>
      </c>
      <c r="H61" s="430" t="s">
        <v>2070</v>
      </c>
      <c r="I61" s="259" t="s">
        <v>2440</v>
      </c>
      <c r="J61" s="256">
        <f>500*5</f>
        <v>2500</v>
      </c>
      <c r="K61" s="256"/>
      <c r="L61" s="256">
        <v>63315</v>
      </c>
      <c r="M61" s="256">
        <v>63315</v>
      </c>
      <c r="N61" s="256">
        <f t="shared" si="8"/>
        <v>25.326000000000001</v>
      </c>
      <c r="O61" s="256"/>
      <c r="P61" s="256"/>
      <c r="Q61" s="256"/>
      <c r="R61" s="256"/>
      <c r="S61" s="318" t="s">
        <v>233</v>
      </c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301">
        <f t="shared" si="6"/>
        <v>0</v>
      </c>
      <c r="AK61" s="256"/>
      <c r="AL61" s="256"/>
      <c r="AM61" s="256"/>
      <c r="AN61" s="372"/>
      <c r="AO61" s="372"/>
      <c r="AP61" s="372"/>
      <c r="AQ61" s="372"/>
      <c r="AR61" s="372"/>
      <c r="AS61" s="372"/>
      <c r="AT61" s="372"/>
      <c r="AU61" s="372"/>
      <c r="AV61" s="433" t="s">
        <v>2066</v>
      </c>
    </row>
    <row r="62" spans="1:301" s="284" customFormat="1" ht="18.75" customHeight="1">
      <c r="A62" s="260">
        <v>683</v>
      </c>
      <c r="B62" s="261" t="s">
        <v>332</v>
      </c>
      <c r="C62" s="261" t="s">
        <v>1286</v>
      </c>
      <c r="D62" s="255">
        <v>38412</v>
      </c>
      <c r="E62" s="255">
        <v>38657</v>
      </c>
      <c r="F62" s="284" t="s">
        <v>5</v>
      </c>
      <c r="G62" s="284" t="s">
        <v>1451</v>
      </c>
      <c r="H62" s="430" t="s">
        <v>2090</v>
      </c>
      <c r="I62" s="430" t="s">
        <v>2331</v>
      </c>
      <c r="J62" s="256">
        <v>10000</v>
      </c>
      <c r="K62" s="256"/>
      <c r="L62" s="256"/>
      <c r="M62" s="256">
        <v>27027</v>
      </c>
      <c r="N62" s="256">
        <f t="shared" si="8"/>
        <v>2.7027000000000001</v>
      </c>
      <c r="O62" s="256"/>
      <c r="P62" s="256"/>
      <c r="Q62" s="256"/>
      <c r="R62" s="256"/>
      <c r="S62" s="318" t="s">
        <v>233</v>
      </c>
      <c r="T62" s="256">
        <v>30</v>
      </c>
      <c r="U62" s="330" t="s">
        <v>134</v>
      </c>
      <c r="V62" s="256"/>
      <c r="W62" s="256"/>
      <c r="X62" s="256"/>
      <c r="Y62" s="256"/>
      <c r="Z62" s="256"/>
      <c r="AA62" s="256"/>
      <c r="AB62" s="256"/>
      <c r="AC62" s="256"/>
      <c r="AD62" s="256"/>
      <c r="AE62" s="256">
        <v>4500</v>
      </c>
      <c r="AF62" s="256"/>
      <c r="AG62" s="256"/>
      <c r="AH62" s="256"/>
      <c r="AI62" s="256"/>
      <c r="AJ62" s="301">
        <f t="shared" si="6"/>
        <v>0</v>
      </c>
      <c r="AK62" s="256"/>
      <c r="AL62" s="256"/>
      <c r="AM62" s="256"/>
      <c r="AN62" s="372"/>
      <c r="AO62" s="372"/>
      <c r="AP62" s="372"/>
      <c r="AQ62" s="372"/>
      <c r="AR62" s="372"/>
      <c r="AS62" s="372"/>
      <c r="AT62" s="372"/>
      <c r="AU62" s="372"/>
      <c r="AV62" s="433" t="s">
        <v>2089</v>
      </c>
    </row>
    <row r="63" spans="1:301" s="285" customFormat="1" ht="24.75" customHeight="1">
      <c r="A63" s="260">
        <v>684</v>
      </c>
      <c r="B63" s="261" t="s">
        <v>547</v>
      </c>
      <c r="C63" s="261" t="s">
        <v>1286</v>
      </c>
      <c r="D63" s="351">
        <v>38504</v>
      </c>
      <c r="E63" s="351">
        <v>38504</v>
      </c>
      <c r="F63" s="304" t="s">
        <v>2098</v>
      </c>
      <c r="G63" s="252" t="s">
        <v>1452</v>
      </c>
      <c r="H63" s="427" t="s">
        <v>2123</v>
      </c>
      <c r="I63" s="427" t="s">
        <v>2331</v>
      </c>
      <c r="J63" s="318">
        <v>5000</v>
      </c>
      <c r="K63" s="298"/>
      <c r="L63" s="298"/>
      <c r="M63" s="298">
        <v>60000</v>
      </c>
      <c r="N63" s="256">
        <f t="shared" si="8"/>
        <v>12</v>
      </c>
      <c r="O63" s="298"/>
      <c r="P63" s="298"/>
      <c r="Q63" s="298"/>
      <c r="R63" s="298"/>
      <c r="S63" s="318" t="s">
        <v>233</v>
      </c>
      <c r="T63" s="298"/>
      <c r="U63" s="298"/>
      <c r="V63" s="298"/>
      <c r="W63" s="298"/>
      <c r="X63" s="256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301">
        <f t="shared" si="6"/>
        <v>0</v>
      </c>
      <c r="AK63" s="298"/>
      <c r="AL63" s="298"/>
      <c r="AM63" s="298"/>
      <c r="AN63" s="374"/>
      <c r="AO63" s="374"/>
      <c r="AP63" s="374"/>
      <c r="AQ63" s="374"/>
      <c r="AR63" s="374"/>
      <c r="AS63" s="374"/>
      <c r="AT63" s="374"/>
      <c r="AU63" s="374"/>
      <c r="AV63" s="282" t="s">
        <v>2099</v>
      </c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4"/>
      <c r="BJ63" s="284"/>
      <c r="BK63" s="284"/>
      <c r="BL63" s="284"/>
      <c r="BM63" s="284"/>
      <c r="BN63" s="284"/>
      <c r="BO63" s="284"/>
      <c r="BP63" s="284"/>
      <c r="BQ63" s="284"/>
      <c r="BR63" s="284"/>
      <c r="BS63" s="284"/>
      <c r="BT63" s="284"/>
      <c r="BU63" s="284"/>
      <c r="BV63" s="284"/>
      <c r="BW63" s="284"/>
      <c r="BX63" s="284"/>
      <c r="BY63" s="284"/>
      <c r="BZ63" s="284"/>
      <c r="CA63" s="284"/>
      <c r="CB63" s="284"/>
      <c r="CC63" s="284"/>
      <c r="CD63" s="284"/>
      <c r="CE63" s="284"/>
      <c r="CF63" s="284"/>
      <c r="CG63" s="284"/>
      <c r="CH63" s="284"/>
      <c r="CI63" s="284"/>
      <c r="CJ63" s="284"/>
      <c r="CK63" s="284"/>
      <c r="CL63" s="284"/>
      <c r="CM63" s="284"/>
      <c r="CN63" s="284"/>
      <c r="CO63" s="284"/>
      <c r="CP63" s="284"/>
      <c r="CQ63" s="284"/>
      <c r="CR63" s="284"/>
      <c r="CS63" s="284"/>
      <c r="CT63" s="284"/>
      <c r="CU63" s="284"/>
      <c r="CV63" s="284"/>
      <c r="CW63" s="284"/>
      <c r="CX63" s="284"/>
      <c r="CY63" s="284"/>
      <c r="CZ63" s="284"/>
      <c r="DA63" s="284"/>
      <c r="DB63" s="284"/>
      <c r="DC63" s="284"/>
      <c r="DD63" s="284"/>
      <c r="DE63" s="284"/>
      <c r="DF63" s="284"/>
      <c r="DG63" s="284"/>
      <c r="DH63" s="284"/>
      <c r="DI63" s="284"/>
      <c r="DJ63" s="284"/>
      <c r="DK63" s="284"/>
      <c r="DL63" s="284"/>
      <c r="DM63" s="284"/>
      <c r="DN63" s="284"/>
      <c r="DO63" s="284"/>
      <c r="DP63" s="284"/>
      <c r="DQ63" s="284"/>
      <c r="DR63" s="284"/>
      <c r="DS63" s="284"/>
      <c r="DT63" s="284"/>
      <c r="DU63" s="284"/>
      <c r="DV63" s="284"/>
      <c r="DW63" s="284"/>
      <c r="DX63" s="284"/>
      <c r="DY63" s="284"/>
      <c r="DZ63" s="284"/>
      <c r="EA63" s="284"/>
      <c r="EB63" s="284"/>
      <c r="EC63" s="284"/>
      <c r="ED63" s="284"/>
      <c r="EE63" s="284"/>
      <c r="EF63" s="284"/>
      <c r="EG63" s="284"/>
      <c r="EH63" s="284"/>
      <c r="EI63" s="284"/>
      <c r="EJ63" s="284"/>
      <c r="EK63" s="284"/>
      <c r="EL63" s="284"/>
      <c r="EM63" s="284"/>
      <c r="EN63" s="284"/>
      <c r="EO63" s="284"/>
      <c r="EP63" s="284"/>
      <c r="EQ63" s="284"/>
      <c r="ER63" s="284"/>
      <c r="ES63" s="284"/>
      <c r="ET63" s="284"/>
      <c r="EU63" s="284"/>
      <c r="EV63" s="284"/>
      <c r="EW63" s="284"/>
      <c r="EX63" s="284"/>
      <c r="EY63" s="284"/>
      <c r="EZ63" s="284"/>
      <c r="FA63" s="284"/>
      <c r="FB63" s="284"/>
      <c r="FC63" s="284"/>
      <c r="FD63" s="284"/>
      <c r="FE63" s="284"/>
      <c r="FF63" s="284"/>
      <c r="FG63" s="284"/>
      <c r="FH63" s="284"/>
      <c r="FI63" s="284"/>
      <c r="FJ63" s="284"/>
      <c r="FK63" s="284"/>
      <c r="FL63" s="284"/>
      <c r="FM63" s="284"/>
      <c r="FN63" s="284"/>
      <c r="FO63" s="284"/>
      <c r="FP63" s="284"/>
      <c r="FQ63" s="284"/>
      <c r="FR63" s="284"/>
      <c r="FS63" s="284"/>
      <c r="FT63" s="284"/>
      <c r="FU63" s="284"/>
      <c r="FV63" s="284"/>
      <c r="FW63" s="284"/>
      <c r="FX63" s="284"/>
      <c r="FY63" s="284"/>
      <c r="FZ63" s="284"/>
      <c r="GA63" s="284"/>
      <c r="GB63" s="284"/>
      <c r="GC63" s="284"/>
      <c r="GD63" s="284"/>
      <c r="GE63" s="284"/>
      <c r="GF63" s="284"/>
      <c r="GG63" s="284"/>
      <c r="GH63" s="284"/>
      <c r="GI63" s="284"/>
      <c r="GJ63" s="284"/>
      <c r="GK63" s="284"/>
      <c r="GL63" s="284"/>
      <c r="GM63" s="284"/>
      <c r="GN63" s="284"/>
      <c r="GO63" s="284"/>
      <c r="GP63" s="284"/>
      <c r="GQ63" s="284"/>
      <c r="GR63" s="284"/>
      <c r="GS63" s="284"/>
      <c r="GT63" s="284"/>
      <c r="GU63" s="284"/>
      <c r="GV63" s="284"/>
      <c r="GW63" s="284"/>
      <c r="GX63" s="284"/>
      <c r="GY63" s="284"/>
      <c r="GZ63" s="284"/>
      <c r="HA63" s="284"/>
      <c r="HB63" s="284"/>
      <c r="HC63" s="284"/>
      <c r="HD63" s="284"/>
      <c r="HE63" s="284"/>
      <c r="HF63" s="284"/>
      <c r="HG63" s="284"/>
      <c r="HH63" s="284"/>
      <c r="HI63" s="284"/>
      <c r="HJ63" s="284"/>
      <c r="HK63" s="284"/>
      <c r="KO63" s="284"/>
    </row>
    <row r="64" spans="1:301" s="285" customFormat="1" ht="15">
      <c r="A64" s="260">
        <v>685</v>
      </c>
      <c r="B64" s="374" t="s">
        <v>547</v>
      </c>
      <c r="C64" s="261" t="s">
        <v>1286</v>
      </c>
      <c r="D64" s="351">
        <v>38596</v>
      </c>
      <c r="E64" s="351">
        <v>38687</v>
      </c>
      <c r="F64" s="304" t="s">
        <v>781</v>
      </c>
      <c r="G64" s="285" t="s">
        <v>1453</v>
      </c>
      <c r="H64" s="427" t="s">
        <v>2153</v>
      </c>
      <c r="I64" s="427" t="s">
        <v>2331</v>
      </c>
      <c r="J64" s="298">
        <f>300*5</f>
        <v>1500</v>
      </c>
      <c r="K64" s="298"/>
      <c r="L64" s="298">
        <v>30000</v>
      </c>
      <c r="M64" s="298">
        <v>59211.9</v>
      </c>
      <c r="N64" s="256">
        <f t="shared" si="8"/>
        <v>39.474600000000002</v>
      </c>
      <c r="O64" s="298"/>
      <c r="P64" s="298"/>
      <c r="Q64" s="298"/>
      <c r="R64" s="298"/>
      <c r="S64" s="318" t="s">
        <v>233</v>
      </c>
      <c r="T64" s="298"/>
      <c r="U64" s="298"/>
      <c r="V64" s="298"/>
      <c r="W64" s="298"/>
      <c r="X64" s="256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/>
      <c r="AJ64" s="301">
        <f t="shared" si="6"/>
        <v>0</v>
      </c>
      <c r="AK64" s="298"/>
      <c r="AL64" s="298"/>
      <c r="AM64" s="298"/>
      <c r="AN64" s="374"/>
      <c r="AO64" s="374"/>
      <c r="AP64" s="374"/>
      <c r="AQ64" s="374"/>
      <c r="AR64" s="374"/>
      <c r="AS64" s="374"/>
      <c r="AT64" s="374"/>
      <c r="AU64" s="374"/>
      <c r="AV64" s="282" t="s">
        <v>2100</v>
      </c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4"/>
      <c r="BI64" s="284"/>
      <c r="BJ64" s="284"/>
      <c r="BK64" s="284"/>
      <c r="BL64" s="284"/>
      <c r="BM64" s="284"/>
      <c r="BN64" s="284"/>
      <c r="BO64" s="284"/>
      <c r="BP64" s="284"/>
      <c r="BQ64" s="284"/>
      <c r="BR64" s="284"/>
      <c r="BS64" s="284"/>
      <c r="BT64" s="284"/>
      <c r="BU64" s="284"/>
      <c r="BV64" s="284"/>
      <c r="BW64" s="284"/>
      <c r="BX64" s="284"/>
      <c r="BY64" s="284"/>
      <c r="BZ64" s="284"/>
      <c r="CA64" s="284"/>
      <c r="CB64" s="284"/>
      <c r="CC64" s="284"/>
      <c r="CD64" s="284"/>
      <c r="CE64" s="284"/>
      <c r="CF64" s="284"/>
      <c r="CG64" s="284"/>
      <c r="CH64" s="284"/>
      <c r="CI64" s="284"/>
      <c r="CJ64" s="284"/>
      <c r="CK64" s="284"/>
      <c r="CL64" s="284"/>
      <c r="CM64" s="284"/>
      <c r="CN64" s="284"/>
      <c r="CO64" s="284"/>
      <c r="CP64" s="284"/>
      <c r="CQ64" s="284"/>
      <c r="CR64" s="284"/>
      <c r="CS64" s="284"/>
      <c r="CT64" s="284"/>
      <c r="CU64" s="284"/>
      <c r="CV64" s="284"/>
      <c r="CW64" s="284"/>
      <c r="CX64" s="284"/>
      <c r="CY64" s="284"/>
      <c r="CZ64" s="284"/>
      <c r="DA64" s="284"/>
      <c r="DB64" s="284"/>
      <c r="DC64" s="284"/>
      <c r="DD64" s="284"/>
      <c r="DE64" s="284"/>
      <c r="DF64" s="284"/>
      <c r="DG64" s="284"/>
      <c r="DH64" s="284"/>
      <c r="DI64" s="284"/>
      <c r="DJ64" s="284"/>
      <c r="DK64" s="284"/>
      <c r="DL64" s="284"/>
      <c r="DM64" s="284"/>
      <c r="DN64" s="284"/>
      <c r="DO64" s="284"/>
      <c r="DP64" s="284"/>
      <c r="DQ64" s="284"/>
      <c r="DR64" s="284"/>
      <c r="DS64" s="284"/>
      <c r="DT64" s="284"/>
      <c r="DU64" s="284"/>
      <c r="DV64" s="284"/>
      <c r="DW64" s="284"/>
      <c r="DX64" s="284"/>
      <c r="DY64" s="284"/>
      <c r="DZ64" s="284"/>
      <c r="EA64" s="284"/>
      <c r="EB64" s="284"/>
      <c r="EC64" s="284"/>
      <c r="ED64" s="284"/>
      <c r="EE64" s="284"/>
      <c r="EF64" s="284"/>
      <c r="EG64" s="284"/>
      <c r="EH64" s="284"/>
      <c r="EI64" s="284"/>
      <c r="EJ64" s="284"/>
      <c r="EK64" s="284"/>
      <c r="EL64" s="284"/>
      <c r="EM64" s="284"/>
      <c r="EN64" s="284"/>
      <c r="EO64" s="284"/>
      <c r="EP64" s="284"/>
      <c r="EQ64" s="284"/>
      <c r="ER64" s="284"/>
      <c r="ES64" s="284"/>
      <c r="ET64" s="284"/>
      <c r="EU64" s="284"/>
      <c r="EV64" s="284"/>
      <c r="EW64" s="284"/>
      <c r="EX64" s="284"/>
      <c r="EY64" s="284"/>
      <c r="EZ64" s="284"/>
      <c r="FA64" s="284"/>
      <c r="FB64" s="284"/>
      <c r="FC64" s="284"/>
      <c r="FD64" s="284"/>
      <c r="FE64" s="284"/>
      <c r="FF64" s="284"/>
      <c r="FG64" s="284"/>
      <c r="FH64" s="284"/>
      <c r="FI64" s="284"/>
      <c r="FJ64" s="284"/>
      <c r="FK64" s="284"/>
      <c r="FL64" s="284"/>
      <c r="FM64" s="284"/>
      <c r="FN64" s="284"/>
      <c r="FO64" s="284"/>
      <c r="FP64" s="284"/>
      <c r="FQ64" s="284"/>
      <c r="FR64" s="284"/>
      <c r="FS64" s="284"/>
      <c r="FT64" s="284"/>
      <c r="FU64" s="284"/>
      <c r="FV64" s="284"/>
      <c r="FW64" s="284"/>
      <c r="FX64" s="284"/>
      <c r="FY64" s="284"/>
      <c r="FZ64" s="284"/>
      <c r="GA64" s="284"/>
      <c r="GB64" s="284"/>
      <c r="GC64" s="284"/>
      <c r="GD64" s="284"/>
      <c r="GE64" s="284"/>
      <c r="GF64" s="284"/>
      <c r="GG64" s="284"/>
      <c r="GH64" s="284"/>
      <c r="GI64" s="284"/>
      <c r="GJ64" s="284"/>
      <c r="GK64" s="284"/>
      <c r="GL64" s="284"/>
      <c r="GM64" s="284"/>
      <c r="GN64" s="284"/>
      <c r="GO64" s="284"/>
      <c r="GP64" s="284"/>
      <c r="GQ64" s="284"/>
      <c r="GR64" s="284"/>
      <c r="GS64" s="284"/>
      <c r="GT64" s="284"/>
      <c r="GU64" s="284"/>
      <c r="GV64" s="284"/>
      <c r="GW64" s="284"/>
      <c r="GX64" s="284"/>
      <c r="GY64" s="284"/>
      <c r="GZ64" s="284"/>
      <c r="HA64" s="284"/>
      <c r="HB64" s="284"/>
      <c r="HC64" s="284"/>
      <c r="HD64" s="284"/>
      <c r="HE64" s="284"/>
      <c r="HF64" s="284"/>
      <c r="HG64" s="284"/>
      <c r="HH64" s="284"/>
      <c r="HI64" s="284"/>
      <c r="HJ64" s="284"/>
      <c r="HK64" s="284"/>
      <c r="KO64" s="284"/>
    </row>
    <row r="65" spans="1:301" s="436" customFormat="1" ht="26.25">
      <c r="A65" s="260">
        <v>686</v>
      </c>
      <c r="B65" s="434" t="s">
        <v>354</v>
      </c>
      <c r="C65" s="435" t="s">
        <v>1299</v>
      </c>
      <c r="D65" s="487">
        <v>38384</v>
      </c>
      <c r="E65" s="487">
        <v>38412</v>
      </c>
      <c r="F65" s="436" t="s">
        <v>2067</v>
      </c>
      <c r="G65" s="436" t="s">
        <v>1453</v>
      </c>
      <c r="H65" s="437" t="s">
        <v>2162</v>
      </c>
      <c r="I65" s="419" t="s">
        <v>2441</v>
      </c>
      <c r="J65" s="439"/>
      <c r="K65" s="439"/>
      <c r="L65" s="439"/>
      <c r="M65" s="439">
        <v>31190.83</v>
      </c>
      <c r="N65" s="256"/>
      <c r="O65" s="439"/>
      <c r="P65" s="439"/>
      <c r="Q65" s="439"/>
      <c r="R65" s="439"/>
      <c r="S65" s="438" t="s">
        <v>233</v>
      </c>
      <c r="T65" s="439"/>
      <c r="U65" s="439"/>
      <c r="V65" s="439"/>
      <c r="W65" s="439"/>
      <c r="X65" s="256"/>
      <c r="Y65" s="439"/>
      <c r="Z65" s="439"/>
      <c r="AA65" s="439"/>
      <c r="AB65" s="439"/>
      <c r="AC65" s="439"/>
      <c r="AD65" s="439"/>
      <c r="AE65" s="439"/>
      <c r="AF65" s="439"/>
      <c r="AG65" s="439"/>
      <c r="AH65" s="439"/>
      <c r="AI65" s="439"/>
      <c r="AJ65" s="440">
        <f t="shared" si="6"/>
        <v>0</v>
      </c>
      <c r="AK65" s="439"/>
      <c r="AL65" s="439"/>
      <c r="AM65" s="439"/>
      <c r="AN65" s="489"/>
      <c r="AO65" s="489"/>
      <c r="AP65" s="489"/>
      <c r="AQ65" s="489"/>
      <c r="AR65" s="489"/>
      <c r="AS65" s="489"/>
      <c r="AT65" s="489"/>
      <c r="AU65" s="489"/>
      <c r="BN65" s="284"/>
      <c r="BO65" s="284"/>
      <c r="BP65" s="284"/>
      <c r="BQ65" s="284"/>
      <c r="BR65" s="284"/>
      <c r="BS65" s="284"/>
      <c r="BT65" s="284"/>
      <c r="BU65" s="284"/>
      <c r="BV65" s="284"/>
      <c r="BW65" s="284"/>
      <c r="BX65" s="284"/>
      <c r="BY65" s="284"/>
      <c r="BZ65" s="284"/>
      <c r="CA65" s="284"/>
      <c r="CB65" s="284"/>
      <c r="CC65" s="284"/>
      <c r="CD65" s="284"/>
      <c r="CE65" s="284"/>
      <c r="CF65" s="284"/>
      <c r="CG65" s="284"/>
      <c r="CH65" s="284"/>
      <c r="CI65" s="284"/>
      <c r="CJ65" s="284"/>
      <c r="CK65" s="284"/>
      <c r="CL65" s="284"/>
      <c r="CM65" s="284"/>
      <c r="CN65" s="284"/>
      <c r="CO65" s="284"/>
      <c r="CP65" s="284"/>
      <c r="CQ65" s="284"/>
      <c r="CR65" s="284"/>
      <c r="CS65" s="284"/>
      <c r="CT65" s="284"/>
      <c r="CU65" s="284"/>
      <c r="CV65" s="284"/>
      <c r="CW65" s="284"/>
      <c r="CX65" s="284"/>
      <c r="CY65" s="284"/>
      <c r="CZ65" s="284"/>
      <c r="DA65" s="284"/>
      <c r="DB65" s="284"/>
      <c r="DC65" s="284"/>
      <c r="DD65" s="284"/>
      <c r="DE65" s="284"/>
      <c r="DF65" s="284"/>
      <c r="DG65" s="284"/>
      <c r="DH65" s="284"/>
      <c r="DI65" s="284"/>
      <c r="DJ65" s="284"/>
      <c r="DK65" s="284"/>
      <c r="DL65" s="284"/>
      <c r="DM65" s="284"/>
      <c r="DN65" s="284"/>
      <c r="DO65" s="284"/>
      <c r="DP65" s="284"/>
      <c r="DQ65" s="284"/>
      <c r="DR65" s="284"/>
      <c r="DS65" s="284"/>
      <c r="DT65" s="284"/>
      <c r="DU65" s="284"/>
      <c r="DV65" s="284"/>
      <c r="DW65" s="284"/>
      <c r="DX65" s="284"/>
      <c r="DY65" s="284"/>
      <c r="DZ65" s="284"/>
      <c r="EA65" s="284"/>
      <c r="EB65" s="284"/>
      <c r="EC65" s="284"/>
      <c r="ED65" s="284"/>
      <c r="EE65" s="284"/>
      <c r="EF65" s="284"/>
      <c r="EG65" s="284"/>
      <c r="EH65" s="284"/>
      <c r="EI65" s="284"/>
      <c r="EJ65" s="284"/>
      <c r="EK65" s="284"/>
      <c r="EL65" s="284"/>
      <c r="EM65" s="284"/>
      <c r="EN65" s="284"/>
      <c r="EO65" s="284"/>
      <c r="EP65" s="284"/>
      <c r="EQ65" s="284"/>
      <c r="ER65" s="284"/>
      <c r="ES65" s="284"/>
      <c r="ET65" s="284"/>
      <c r="EU65" s="284"/>
      <c r="EV65" s="284"/>
      <c r="EW65" s="284"/>
      <c r="EX65" s="284"/>
      <c r="EY65" s="284"/>
      <c r="EZ65" s="284"/>
      <c r="FA65" s="284"/>
      <c r="FB65" s="284"/>
      <c r="FC65" s="284"/>
      <c r="FD65" s="284"/>
      <c r="FE65" s="284"/>
      <c r="FF65" s="284"/>
      <c r="FG65" s="284"/>
      <c r="FH65" s="284"/>
      <c r="FI65" s="284"/>
      <c r="FJ65" s="284"/>
      <c r="FK65" s="284"/>
      <c r="FL65" s="284"/>
      <c r="FM65" s="284"/>
      <c r="FN65" s="284"/>
      <c r="FO65" s="284"/>
      <c r="FP65" s="284"/>
      <c r="FQ65" s="284"/>
      <c r="FR65" s="284"/>
      <c r="FS65" s="284"/>
      <c r="FT65" s="284"/>
      <c r="FU65" s="284"/>
      <c r="FV65" s="284"/>
      <c r="FW65" s="284"/>
      <c r="FX65" s="284"/>
      <c r="FY65" s="284"/>
      <c r="FZ65" s="284"/>
      <c r="GA65" s="284"/>
      <c r="GB65" s="284"/>
      <c r="GC65" s="284"/>
      <c r="GD65" s="284"/>
      <c r="GE65" s="284"/>
      <c r="GF65" s="284"/>
      <c r="GG65" s="284"/>
      <c r="GH65" s="284"/>
      <c r="GI65" s="284"/>
      <c r="GJ65" s="284"/>
      <c r="GK65" s="284"/>
      <c r="GL65" s="284"/>
      <c r="GM65" s="284"/>
      <c r="GN65" s="284"/>
      <c r="GO65" s="284"/>
      <c r="GP65" s="284"/>
      <c r="GQ65" s="284"/>
      <c r="GR65" s="284"/>
      <c r="GS65" s="284"/>
      <c r="GT65" s="284"/>
      <c r="GU65" s="284"/>
      <c r="GV65" s="284"/>
      <c r="GW65" s="284"/>
      <c r="GX65" s="284"/>
      <c r="GY65" s="284"/>
      <c r="GZ65" s="284"/>
      <c r="HA65" s="284"/>
      <c r="HB65" s="284"/>
      <c r="HC65" s="284"/>
      <c r="HD65" s="284"/>
      <c r="HE65" s="284"/>
      <c r="HF65" s="284"/>
      <c r="HG65" s="284"/>
      <c r="HH65" s="284"/>
      <c r="HI65" s="284"/>
      <c r="HJ65" s="284"/>
      <c r="HK65" s="284"/>
    </row>
    <row r="66" spans="1:301" s="285" customFormat="1" ht="15">
      <c r="A66" s="260">
        <v>687</v>
      </c>
      <c r="B66" s="278" t="s">
        <v>354</v>
      </c>
      <c r="C66" s="261" t="s">
        <v>1260</v>
      </c>
      <c r="D66" s="351">
        <v>38504</v>
      </c>
      <c r="E66" s="351">
        <v>38534</v>
      </c>
      <c r="F66" s="285" t="s">
        <v>5</v>
      </c>
      <c r="G66" s="285" t="s">
        <v>1451</v>
      </c>
      <c r="H66" s="427" t="s">
        <v>2126</v>
      </c>
      <c r="I66" s="427" t="s">
        <v>2331</v>
      </c>
      <c r="J66" s="298">
        <v>5300</v>
      </c>
      <c r="K66" s="298"/>
      <c r="L66" s="298">
        <v>44307</v>
      </c>
      <c r="M66" s="298">
        <v>44307</v>
      </c>
      <c r="N66" s="256">
        <f>M66/J66</f>
        <v>8.3598113207547176</v>
      </c>
      <c r="O66" s="298"/>
      <c r="P66" s="298"/>
      <c r="Q66" s="298"/>
      <c r="R66" s="298"/>
      <c r="S66" s="318" t="s">
        <v>233</v>
      </c>
      <c r="T66" s="298"/>
      <c r="U66" s="298"/>
      <c r="V66" s="298"/>
      <c r="W66" s="298"/>
      <c r="X66" s="256"/>
      <c r="Y66" s="298"/>
      <c r="Z66" s="298"/>
      <c r="AA66" s="298"/>
      <c r="AB66" s="298"/>
      <c r="AC66" s="298"/>
      <c r="AD66" s="298"/>
      <c r="AE66" s="298"/>
      <c r="AF66" s="298"/>
      <c r="AG66" s="298"/>
      <c r="AH66" s="298"/>
      <c r="AI66" s="298"/>
      <c r="AJ66" s="301">
        <f t="shared" si="6"/>
        <v>0</v>
      </c>
      <c r="AK66" s="298"/>
      <c r="AL66" s="298"/>
      <c r="AM66" s="298"/>
      <c r="AN66" s="374"/>
      <c r="AO66" s="374"/>
      <c r="AP66" s="374"/>
      <c r="AQ66" s="374"/>
      <c r="AR66" s="374"/>
      <c r="AS66" s="374"/>
      <c r="AT66" s="374"/>
      <c r="AU66" s="374"/>
      <c r="AV66" s="282" t="s">
        <v>2103</v>
      </c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4"/>
      <c r="BK66" s="284"/>
      <c r="BL66" s="284"/>
      <c r="BM66" s="284"/>
      <c r="BN66" s="284"/>
      <c r="BO66" s="284"/>
      <c r="BP66" s="284"/>
      <c r="BQ66" s="284"/>
      <c r="BR66" s="284"/>
      <c r="BS66" s="284"/>
      <c r="BT66" s="284"/>
      <c r="BU66" s="284"/>
      <c r="BV66" s="284"/>
      <c r="BW66" s="284"/>
      <c r="BX66" s="284"/>
      <c r="BY66" s="284"/>
      <c r="BZ66" s="284"/>
      <c r="CA66" s="284"/>
      <c r="CB66" s="284"/>
      <c r="CC66" s="284"/>
      <c r="CD66" s="284"/>
      <c r="CE66" s="284"/>
      <c r="CF66" s="284"/>
      <c r="CG66" s="284"/>
      <c r="CH66" s="284"/>
      <c r="CI66" s="284"/>
      <c r="CJ66" s="284"/>
      <c r="CK66" s="284"/>
      <c r="CL66" s="284"/>
      <c r="CM66" s="284"/>
      <c r="CN66" s="284"/>
      <c r="CO66" s="284"/>
      <c r="CP66" s="284"/>
      <c r="CQ66" s="284"/>
      <c r="CR66" s="284"/>
      <c r="CS66" s="284"/>
      <c r="CT66" s="284"/>
      <c r="CU66" s="284"/>
      <c r="CV66" s="284"/>
      <c r="CW66" s="284"/>
      <c r="CX66" s="284"/>
      <c r="CY66" s="284"/>
      <c r="CZ66" s="284"/>
      <c r="DA66" s="284"/>
      <c r="DB66" s="284"/>
      <c r="DC66" s="284"/>
      <c r="DD66" s="284"/>
      <c r="DE66" s="284"/>
      <c r="DF66" s="284"/>
      <c r="DG66" s="284"/>
      <c r="DH66" s="284"/>
      <c r="DI66" s="284"/>
      <c r="DJ66" s="284"/>
      <c r="DK66" s="284"/>
      <c r="DL66" s="284"/>
      <c r="DM66" s="284"/>
      <c r="DN66" s="284"/>
      <c r="DO66" s="284"/>
      <c r="DP66" s="284"/>
      <c r="DQ66" s="284"/>
      <c r="DR66" s="284"/>
      <c r="DS66" s="284"/>
      <c r="DT66" s="284"/>
      <c r="DU66" s="284"/>
      <c r="DV66" s="284"/>
      <c r="DW66" s="284"/>
      <c r="DX66" s="284"/>
      <c r="DY66" s="284"/>
      <c r="DZ66" s="284"/>
      <c r="EA66" s="284"/>
      <c r="EB66" s="284"/>
      <c r="EC66" s="284"/>
      <c r="ED66" s="284"/>
      <c r="EE66" s="284"/>
      <c r="EF66" s="284"/>
      <c r="EG66" s="284"/>
      <c r="EH66" s="284"/>
      <c r="EI66" s="284"/>
      <c r="EJ66" s="284"/>
      <c r="EK66" s="284"/>
      <c r="EL66" s="284"/>
      <c r="EM66" s="284"/>
      <c r="EN66" s="284"/>
      <c r="EO66" s="284"/>
      <c r="EP66" s="284"/>
      <c r="EQ66" s="284"/>
      <c r="ER66" s="284"/>
      <c r="ES66" s="284"/>
      <c r="ET66" s="284"/>
      <c r="EU66" s="284"/>
      <c r="EV66" s="284"/>
      <c r="EW66" s="284"/>
      <c r="EX66" s="284"/>
      <c r="EY66" s="284"/>
      <c r="EZ66" s="284"/>
      <c r="FA66" s="284"/>
      <c r="FB66" s="284"/>
      <c r="FC66" s="284"/>
      <c r="FD66" s="284"/>
      <c r="FE66" s="284"/>
      <c r="FF66" s="284"/>
      <c r="FG66" s="284"/>
      <c r="FH66" s="284"/>
      <c r="FI66" s="284"/>
      <c r="FJ66" s="284"/>
      <c r="FK66" s="284"/>
      <c r="FL66" s="284"/>
      <c r="FM66" s="284"/>
      <c r="FN66" s="284"/>
      <c r="FO66" s="284"/>
      <c r="FP66" s="284"/>
      <c r="FQ66" s="284"/>
      <c r="FR66" s="284"/>
      <c r="FS66" s="284"/>
      <c r="FT66" s="284"/>
      <c r="FU66" s="284"/>
      <c r="FV66" s="284"/>
      <c r="FW66" s="284"/>
      <c r="FX66" s="284"/>
      <c r="FY66" s="284"/>
      <c r="FZ66" s="284"/>
      <c r="GA66" s="284"/>
      <c r="GB66" s="284"/>
      <c r="GC66" s="284"/>
      <c r="GD66" s="284"/>
      <c r="GE66" s="284"/>
      <c r="GF66" s="284"/>
      <c r="GG66" s="284"/>
      <c r="GH66" s="284"/>
      <c r="GI66" s="284"/>
      <c r="GJ66" s="284"/>
      <c r="GK66" s="284"/>
      <c r="GL66" s="284"/>
      <c r="GM66" s="284"/>
      <c r="GN66" s="284"/>
      <c r="GO66" s="284"/>
      <c r="GP66" s="284"/>
      <c r="GQ66" s="284"/>
      <c r="GR66" s="284"/>
      <c r="GS66" s="284"/>
      <c r="GT66" s="284"/>
      <c r="GU66" s="284"/>
      <c r="GV66" s="284"/>
      <c r="GW66" s="284"/>
      <c r="GX66" s="284"/>
      <c r="GY66" s="284"/>
      <c r="GZ66" s="284"/>
      <c r="HA66" s="284"/>
      <c r="HB66" s="284"/>
      <c r="HC66" s="284"/>
      <c r="HD66" s="284"/>
      <c r="HE66" s="284"/>
      <c r="HF66" s="284"/>
      <c r="HG66" s="284"/>
      <c r="HH66" s="284"/>
      <c r="HI66" s="284"/>
      <c r="HJ66" s="284"/>
      <c r="HK66" s="284"/>
      <c r="KO66" s="284"/>
    </row>
    <row r="67" spans="1:301" s="285" customFormat="1" ht="15">
      <c r="A67" s="260">
        <v>688</v>
      </c>
      <c r="B67" s="261" t="s">
        <v>372</v>
      </c>
      <c r="C67" s="261" t="s">
        <v>1260</v>
      </c>
      <c r="D67" s="351">
        <v>38504</v>
      </c>
      <c r="E67" s="351">
        <v>38749</v>
      </c>
      <c r="F67" s="285" t="s">
        <v>5</v>
      </c>
      <c r="G67" s="285" t="s">
        <v>1451</v>
      </c>
      <c r="H67" s="427" t="s">
        <v>2124</v>
      </c>
      <c r="I67" s="427" t="s">
        <v>2331</v>
      </c>
      <c r="J67" s="298">
        <v>5000</v>
      </c>
      <c r="K67" s="298">
        <v>92666</v>
      </c>
      <c r="L67" s="298">
        <v>92666</v>
      </c>
      <c r="M67" s="298">
        <v>92614</v>
      </c>
      <c r="N67" s="256">
        <f>M67/J67</f>
        <v>18.5228</v>
      </c>
      <c r="O67" s="298">
        <v>100</v>
      </c>
      <c r="P67" s="298"/>
      <c r="Q67" s="298"/>
      <c r="R67" s="298"/>
      <c r="S67" s="318" t="s">
        <v>233</v>
      </c>
      <c r="T67" s="298"/>
      <c r="U67" s="298"/>
      <c r="V67" s="298">
        <v>1250</v>
      </c>
      <c r="W67" s="298">
        <v>757</v>
      </c>
      <c r="X67" s="256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/>
      <c r="AJ67" s="301">
        <f t="shared" ref="AJ67:AJ96" si="9">SUM(Z67,AA67,AH67)</f>
        <v>0</v>
      </c>
      <c r="AK67" s="298">
        <v>20000</v>
      </c>
      <c r="AL67" s="298"/>
      <c r="AM67" s="298"/>
      <c r="AN67" s="374"/>
      <c r="AO67" s="374"/>
      <c r="AP67" s="374"/>
      <c r="AQ67" s="374"/>
      <c r="AR67" s="374"/>
      <c r="AS67" s="374"/>
      <c r="AT67" s="374" t="s">
        <v>2</v>
      </c>
      <c r="AU67" s="374"/>
      <c r="AV67" s="282" t="s">
        <v>2101</v>
      </c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4"/>
      <c r="BK67" s="284"/>
      <c r="BL67" s="284"/>
      <c r="BM67" s="284"/>
      <c r="BN67" s="284"/>
      <c r="BO67" s="284"/>
      <c r="BP67" s="284"/>
      <c r="BQ67" s="284"/>
      <c r="BR67" s="284"/>
      <c r="BS67" s="284"/>
      <c r="BT67" s="284"/>
      <c r="BU67" s="284"/>
      <c r="BV67" s="284"/>
      <c r="BW67" s="284"/>
      <c r="BX67" s="284"/>
      <c r="BY67" s="284"/>
      <c r="BZ67" s="284"/>
      <c r="CA67" s="284"/>
      <c r="CB67" s="284"/>
      <c r="CC67" s="284"/>
      <c r="CD67" s="284"/>
      <c r="CE67" s="284"/>
      <c r="CF67" s="284"/>
      <c r="CG67" s="284"/>
      <c r="CH67" s="284"/>
      <c r="CI67" s="284"/>
      <c r="CJ67" s="284"/>
      <c r="CK67" s="284"/>
      <c r="CL67" s="284"/>
      <c r="CM67" s="284"/>
      <c r="CN67" s="284"/>
      <c r="CO67" s="284"/>
      <c r="CP67" s="284"/>
      <c r="CQ67" s="284"/>
      <c r="CR67" s="284"/>
      <c r="CS67" s="284"/>
      <c r="CT67" s="284"/>
      <c r="CU67" s="284"/>
      <c r="CV67" s="284"/>
      <c r="CW67" s="284"/>
      <c r="CX67" s="284"/>
      <c r="CY67" s="284"/>
      <c r="CZ67" s="284"/>
      <c r="DA67" s="284"/>
      <c r="DB67" s="284"/>
      <c r="DC67" s="284"/>
      <c r="DD67" s="284"/>
      <c r="DE67" s="284"/>
      <c r="DF67" s="284"/>
      <c r="DG67" s="284"/>
      <c r="DH67" s="284"/>
      <c r="DI67" s="284"/>
      <c r="DJ67" s="284"/>
      <c r="DK67" s="284"/>
      <c r="DL67" s="284"/>
      <c r="DM67" s="284"/>
      <c r="DN67" s="284"/>
      <c r="DO67" s="284"/>
      <c r="DP67" s="284"/>
      <c r="DQ67" s="284"/>
      <c r="DR67" s="284"/>
      <c r="DS67" s="284"/>
      <c r="DT67" s="284"/>
      <c r="DU67" s="284"/>
      <c r="DV67" s="284"/>
      <c r="DW67" s="284"/>
      <c r="DX67" s="284"/>
      <c r="DY67" s="284"/>
      <c r="DZ67" s="284"/>
      <c r="EA67" s="284"/>
      <c r="EB67" s="284"/>
      <c r="EC67" s="284"/>
      <c r="ED67" s="284"/>
      <c r="EE67" s="284"/>
      <c r="EF67" s="284"/>
      <c r="EG67" s="284"/>
      <c r="EH67" s="284"/>
      <c r="EI67" s="284"/>
      <c r="EJ67" s="284"/>
      <c r="EK67" s="284"/>
      <c r="EL67" s="284"/>
      <c r="EM67" s="284"/>
      <c r="EN67" s="284"/>
      <c r="EO67" s="284"/>
      <c r="EP67" s="284"/>
      <c r="EQ67" s="284"/>
      <c r="ER67" s="284"/>
      <c r="ES67" s="284"/>
      <c r="ET67" s="284"/>
      <c r="EU67" s="284"/>
      <c r="EV67" s="284"/>
      <c r="EW67" s="284"/>
      <c r="EX67" s="284"/>
      <c r="EY67" s="284"/>
      <c r="EZ67" s="284"/>
      <c r="FA67" s="284"/>
      <c r="FB67" s="284"/>
      <c r="FC67" s="284"/>
      <c r="FD67" s="284"/>
      <c r="FE67" s="284"/>
      <c r="FF67" s="284"/>
      <c r="FG67" s="284"/>
      <c r="FH67" s="284"/>
      <c r="FI67" s="284"/>
      <c r="FJ67" s="284"/>
      <c r="FK67" s="284"/>
      <c r="FL67" s="284"/>
      <c r="FM67" s="284"/>
      <c r="FN67" s="284"/>
      <c r="FO67" s="284"/>
      <c r="FP67" s="284"/>
      <c r="FQ67" s="284"/>
      <c r="FR67" s="284"/>
      <c r="FS67" s="284"/>
      <c r="FT67" s="284"/>
      <c r="FU67" s="284"/>
      <c r="FV67" s="284"/>
      <c r="FW67" s="284"/>
      <c r="FX67" s="284"/>
      <c r="FY67" s="284"/>
      <c r="FZ67" s="284"/>
      <c r="GA67" s="284"/>
      <c r="GB67" s="284"/>
      <c r="GC67" s="284"/>
      <c r="GD67" s="284"/>
      <c r="GE67" s="284"/>
      <c r="GF67" s="284"/>
      <c r="GG67" s="284"/>
      <c r="GH67" s="284"/>
      <c r="GI67" s="284"/>
      <c r="GJ67" s="284"/>
      <c r="GK67" s="284"/>
      <c r="GL67" s="284"/>
      <c r="GM67" s="284"/>
      <c r="GN67" s="284"/>
      <c r="GO67" s="284"/>
      <c r="GP67" s="284"/>
      <c r="GQ67" s="284"/>
      <c r="GR67" s="284"/>
      <c r="GS67" s="284"/>
      <c r="GT67" s="284"/>
      <c r="GU67" s="284"/>
      <c r="GV67" s="284"/>
      <c r="GW67" s="284"/>
      <c r="GX67" s="284"/>
      <c r="GY67" s="284"/>
      <c r="GZ67" s="284"/>
      <c r="HA67" s="284"/>
      <c r="HB67" s="284"/>
      <c r="HC67" s="284"/>
      <c r="HD67" s="284"/>
      <c r="HE67" s="284"/>
      <c r="HF67" s="284"/>
      <c r="HG67" s="284"/>
      <c r="HH67" s="284"/>
      <c r="HI67" s="284"/>
      <c r="HJ67" s="284"/>
      <c r="HK67" s="284"/>
      <c r="KO67" s="284"/>
    </row>
    <row r="68" spans="1:301" s="285" customFormat="1" ht="15">
      <c r="A68" s="260">
        <v>689</v>
      </c>
      <c r="B68" s="261" t="s">
        <v>244</v>
      </c>
      <c r="C68" s="261" t="s">
        <v>1260</v>
      </c>
      <c r="D68" s="351">
        <v>38443</v>
      </c>
      <c r="E68" s="351">
        <v>38596</v>
      </c>
      <c r="F68" s="285" t="s">
        <v>168</v>
      </c>
      <c r="G68" s="285" t="s">
        <v>1449</v>
      </c>
      <c r="H68" s="427" t="s">
        <v>2121</v>
      </c>
      <c r="I68" s="427" t="s">
        <v>2331</v>
      </c>
      <c r="J68" s="298">
        <v>12000</v>
      </c>
      <c r="K68" s="298"/>
      <c r="L68" s="298"/>
      <c r="M68" s="298">
        <v>58262</v>
      </c>
      <c r="N68" s="256">
        <f>M68/J68</f>
        <v>4.8551666666666664</v>
      </c>
      <c r="O68" s="298"/>
      <c r="P68" s="298"/>
      <c r="Q68" s="298"/>
      <c r="R68" s="298"/>
      <c r="S68" s="318" t="s">
        <v>233</v>
      </c>
      <c r="T68" s="298"/>
      <c r="U68" s="298">
        <v>12000</v>
      </c>
      <c r="V68" s="298"/>
      <c r="W68" s="298"/>
      <c r="X68" s="256"/>
      <c r="Y68" s="298"/>
      <c r="Z68" s="298"/>
      <c r="AA68" s="298">
        <v>12000</v>
      </c>
      <c r="AB68" s="298" t="s">
        <v>134</v>
      </c>
      <c r="AC68" s="298"/>
      <c r="AD68" s="298"/>
      <c r="AE68" s="298"/>
      <c r="AF68" s="298"/>
      <c r="AG68" s="298"/>
      <c r="AH68" s="298"/>
      <c r="AI68" s="298"/>
      <c r="AJ68" s="301">
        <f t="shared" si="9"/>
        <v>12000</v>
      </c>
      <c r="AK68" s="298"/>
      <c r="AL68" s="298"/>
      <c r="AM68" s="298"/>
      <c r="AN68" s="374"/>
      <c r="AO68" s="374"/>
      <c r="AP68" s="374"/>
      <c r="AQ68" s="374"/>
      <c r="AR68" s="374"/>
      <c r="AS68" s="374"/>
      <c r="AT68" s="374"/>
      <c r="AU68" s="374"/>
      <c r="AV68" s="282" t="s">
        <v>2112</v>
      </c>
      <c r="AW68" s="284"/>
      <c r="AX68" s="284"/>
      <c r="AY68" s="284"/>
      <c r="AZ68" s="284"/>
      <c r="BA68" s="284"/>
      <c r="BB68" s="284"/>
      <c r="BC68" s="284"/>
      <c r="BD68" s="284"/>
      <c r="BE68" s="284"/>
      <c r="BF68" s="284"/>
      <c r="BG68" s="284"/>
      <c r="BH68" s="284"/>
      <c r="BI68" s="284"/>
      <c r="BJ68" s="284"/>
      <c r="BK68" s="284"/>
      <c r="BL68" s="284"/>
      <c r="BM68" s="284"/>
      <c r="BN68" s="284"/>
      <c r="BO68" s="284"/>
      <c r="BP68" s="284"/>
      <c r="BQ68" s="284"/>
      <c r="BR68" s="284"/>
      <c r="BS68" s="284"/>
      <c r="BT68" s="284"/>
      <c r="BU68" s="284"/>
      <c r="BV68" s="284"/>
      <c r="BW68" s="284"/>
      <c r="BX68" s="284"/>
      <c r="BY68" s="284"/>
      <c r="BZ68" s="284"/>
      <c r="CA68" s="284"/>
      <c r="CB68" s="284"/>
      <c r="CC68" s="284"/>
      <c r="CD68" s="284"/>
      <c r="CE68" s="284"/>
      <c r="CF68" s="284"/>
      <c r="CG68" s="284"/>
      <c r="CH68" s="284"/>
      <c r="CI68" s="284"/>
      <c r="CJ68" s="284"/>
      <c r="CK68" s="284"/>
      <c r="CL68" s="284"/>
      <c r="CM68" s="284"/>
      <c r="CN68" s="284"/>
      <c r="CO68" s="284"/>
      <c r="CP68" s="284"/>
      <c r="CQ68" s="284"/>
      <c r="CR68" s="284"/>
      <c r="CS68" s="284"/>
      <c r="CT68" s="284"/>
      <c r="CU68" s="284"/>
      <c r="CV68" s="284"/>
      <c r="CW68" s="284"/>
      <c r="CX68" s="284"/>
      <c r="CY68" s="284"/>
      <c r="CZ68" s="284"/>
      <c r="DA68" s="284"/>
      <c r="DB68" s="284"/>
      <c r="DC68" s="284"/>
      <c r="DD68" s="284"/>
      <c r="DE68" s="284"/>
      <c r="DF68" s="284"/>
      <c r="DG68" s="284"/>
      <c r="DH68" s="284"/>
      <c r="DI68" s="284"/>
      <c r="DJ68" s="284"/>
      <c r="DK68" s="284"/>
      <c r="DL68" s="284"/>
      <c r="DM68" s="284"/>
      <c r="DN68" s="284"/>
      <c r="DO68" s="284"/>
      <c r="DP68" s="284"/>
      <c r="DQ68" s="284"/>
      <c r="DR68" s="284"/>
      <c r="DS68" s="284"/>
      <c r="DT68" s="284"/>
      <c r="DU68" s="284"/>
      <c r="DV68" s="284"/>
      <c r="DW68" s="284"/>
      <c r="DX68" s="284"/>
      <c r="DY68" s="284"/>
      <c r="DZ68" s="284"/>
      <c r="EA68" s="284"/>
      <c r="EB68" s="284"/>
      <c r="EC68" s="284"/>
      <c r="ED68" s="284"/>
      <c r="EE68" s="284"/>
      <c r="EF68" s="284"/>
      <c r="EG68" s="284"/>
      <c r="EH68" s="284"/>
      <c r="EI68" s="284"/>
      <c r="EJ68" s="284"/>
      <c r="EK68" s="284"/>
      <c r="EL68" s="284"/>
      <c r="EM68" s="284"/>
      <c r="EN68" s="284"/>
      <c r="EO68" s="284"/>
      <c r="EP68" s="284"/>
      <c r="EQ68" s="284"/>
      <c r="ER68" s="284"/>
      <c r="ES68" s="284"/>
      <c r="ET68" s="284"/>
      <c r="EU68" s="284"/>
      <c r="EV68" s="284"/>
      <c r="EW68" s="284"/>
      <c r="EX68" s="284"/>
      <c r="EY68" s="284"/>
      <c r="EZ68" s="284"/>
      <c r="FA68" s="284"/>
      <c r="FB68" s="284"/>
      <c r="FC68" s="284"/>
      <c r="FD68" s="284"/>
      <c r="FE68" s="284"/>
      <c r="FF68" s="284"/>
      <c r="FG68" s="284"/>
      <c r="FH68" s="284"/>
      <c r="FI68" s="284"/>
      <c r="FJ68" s="284"/>
      <c r="FK68" s="284"/>
      <c r="FL68" s="284"/>
      <c r="FM68" s="284"/>
      <c r="FN68" s="284"/>
      <c r="FO68" s="284"/>
      <c r="FP68" s="284"/>
      <c r="FQ68" s="284"/>
      <c r="FR68" s="284"/>
      <c r="FS68" s="284"/>
      <c r="FT68" s="284"/>
      <c r="FU68" s="284"/>
      <c r="FV68" s="284"/>
      <c r="FW68" s="284"/>
      <c r="FX68" s="284"/>
      <c r="FY68" s="284"/>
      <c r="FZ68" s="284"/>
      <c r="GA68" s="284"/>
      <c r="GB68" s="284"/>
      <c r="GC68" s="284"/>
      <c r="GD68" s="284"/>
      <c r="GE68" s="284"/>
      <c r="GF68" s="284"/>
      <c r="GG68" s="284"/>
      <c r="GH68" s="284"/>
      <c r="GI68" s="284"/>
      <c r="GJ68" s="284"/>
      <c r="GK68" s="284"/>
      <c r="GL68" s="284"/>
      <c r="GM68" s="284"/>
      <c r="GN68" s="284"/>
      <c r="GO68" s="284"/>
      <c r="GP68" s="284"/>
      <c r="GQ68" s="284"/>
      <c r="GR68" s="284"/>
      <c r="GS68" s="284"/>
      <c r="GT68" s="284"/>
      <c r="GU68" s="284"/>
      <c r="GV68" s="284"/>
      <c r="GW68" s="284"/>
      <c r="GX68" s="284"/>
      <c r="GY68" s="284"/>
      <c r="GZ68" s="284"/>
      <c r="HA68" s="284"/>
      <c r="HB68" s="284"/>
      <c r="HC68" s="284"/>
      <c r="HD68" s="284"/>
      <c r="HE68" s="284"/>
      <c r="HF68" s="284"/>
      <c r="HG68" s="284"/>
      <c r="HH68" s="284"/>
      <c r="HI68" s="284"/>
      <c r="HJ68" s="284"/>
      <c r="HK68" s="284"/>
      <c r="KO68" s="284"/>
    </row>
    <row r="69" spans="1:301" s="284" customFormat="1" ht="15">
      <c r="A69" s="260">
        <v>690</v>
      </c>
      <c r="B69" s="372" t="s">
        <v>1</v>
      </c>
      <c r="C69" s="261" t="s">
        <v>1260</v>
      </c>
      <c r="D69" s="255">
        <v>38534</v>
      </c>
      <c r="E69" s="255">
        <v>38749</v>
      </c>
      <c r="F69" s="284" t="s">
        <v>2152</v>
      </c>
      <c r="G69" s="284" t="s">
        <v>1452</v>
      </c>
      <c r="H69" s="430" t="s">
        <v>2176</v>
      </c>
      <c r="I69" s="259" t="s">
        <v>2440</v>
      </c>
      <c r="J69" s="256" t="s">
        <v>134</v>
      </c>
      <c r="K69" s="256"/>
      <c r="L69" s="256"/>
      <c r="M69" s="256">
        <v>200782.31</v>
      </c>
      <c r="N69" s="256"/>
      <c r="O69" s="256"/>
      <c r="P69" s="256"/>
      <c r="Q69" s="256"/>
      <c r="R69" s="256"/>
      <c r="S69" s="318" t="s">
        <v>233</v>
      </c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256"/>
      <c r="AJ69" s="288">
        <f t="shared" si="9"/>
        <v>0</v>
      </c>
      <c r="AK69" s="256"/>
      <c r="AL69" s="256"/>
      <c r="AM69" s="256"/>
      <c r="AN69" s="372"/>
      <c r="AO69" s="372"/>
      <c r="AP69" s="372"/>
      <c r="AQ69" s="372"/>
      <c r="AR69" s="372"/>
      <c r="AS69" s="372"/>
      <c r="AT69" s="372"/>
      <c r="AU69" s="372"/>
      <c r="AV69" s="433" t="s">
        <v>2120</v>
      </c>
    </row>
    <row r="70" spans="1:301" s="284" customFormat="1" ht="15">
      <c r="A70" s="260">
        <v>691</v>
      </c>
      <c r="B70" s="261" t="s">
        <v>1295</v>
      </c>
      <c r="C70" s="261" t="s">
        <v>1286</v>
      </c>
      <c r="D70" s="255">
        <v>38504</v>
      </c>
      <c r="E70" s="255">
        <v>38534</v>
      </c>
      <c r="F70" s="284" t="s">
        <v>24</v>
      </c>
      <c r="G70" s="284" t="s">
        <v>1454</v>
      </c>
      <c r="H70" s="430" t="s">
        <v>2125</v>
      </c>
      <c r="I70" s="430" t="s">
        <v>2331</v>
      </c>
      <c r="J70" s="256" t="s">
        <v>134</v>
      </c>
      <c r="K70" s="256"/>
      <c r="L70" s="256">
        <v>30000</v>
      </c>
      <c r="M70" s="256">
        <v>30000</v>
      </c>
      <c r="N70" s="256"/>
      <c r="O70" s="256"/>
      <c r="P70" s="256"/>
      <c r="Q70" s="256">
        <f>150*20</f>
        <v>3000</v>
      </c>
      <c r="R70" s="256">
        <v>3000</v>
      </c>
      <c r="S70" s="318" t="s">
        <v>233</v>
      </c>
      <c r="T70" s="256"/>
      <c r="U70" s="256" t="s">
        <v>134</v>
      </c>
      <c r="V70" s="256"/>
      <c r="W70" s="256"/>
      <c r="X70" s="349">
        <f>W70/R70</f>
        <v>0</v>
      </c>
      <c r="Y70" s="256"/>
      <c r="Z70" s="256" t="s">
        <v>134</v>
      </c>
      <c r="AA70" s="256"/>
      <c r="AB70" s="256" t="s">
        <v>134</v>
      </c>
      <c r="AC70" s="256"/>
      <c r="AD70" s="256"/>
      <c r="AE70" s="256"/>
      <c r="AF70" s="256"/>
      <c r="AG70" s="256"/>
      <c r="AH70" s="256"/>
      <c r="AI70" s="256"/>
      <c r="AJ70" s="288">
        <f t="shared" si="9"/>
        <v>0</v>
      </c>
      <c r="AK70" s="256"/>
      <c r="AL70" s="256"/>
      <c r="AM70" s="256"/>
      <c r="AN70" s="372"/>
      <c r="AO70" s="372"/>
      <c r="AP70" s="372"/>
      <c r="AQ70" s="372"/>
      <c r="AR70" s="372"/>
      <c r="AS70" s="372"/>
      <c r="AT70" s="372"/>
      <c r="AU70" s="372"/>
      <c r="AV70" s="433" t="s">
        <v>2102</v>
      </c>
    </row>
    <row r="71" spans="1:301" s="285" customFormat="1" ht="15">
      <c r="A71" s="260">
        <v>692</v>
      </c>
      <c r="B71" s="374" t="s">
        <v>20</v>
      </c>
      <c r="C71" s="261" t="s">
        <v>1286</v>
      </c>
      <c r="D71" s="351">
        <v>38657</v>
      </c>
      <c r="E71" s="351">
        <v>38749</v>
      </c>
      <c r="F71" s="285" t="s">
        <v>2115</v>
      </c>
      <c r="G71" s="285" t="s">
        <v>2169</v>
      </c>
      <c r="H71" s="427" t="s">
        <v>2168</v>
      </c>
      <c r="I71" s="427" t="s">
        <v>2331</v>
      </c>
      <c r="J71" s="298">
        <f>360*5</f>
        <v>1800</v>
      </c>
      <c r="K71" s="298"/>
      <c r="L71" s="298">
        <v>50000</v>
      </c>
      <c r="M71" s="298">
        <v>42353.78</v>
      </c>
      <c r="N71" s="256">
        <f>M71/J71</f>
        <v>23.529877777777777</v>
      </c>
      <c r="O71" s="298"/>
      <c r="P71" s="298"/>
      <c r="Q71" s="298"/>
      <c r="R71" s="298"/>
      <c r="S71" s="318" t="s">
        <v>233</v>
      </c>
      <c r="T71" s="298"/>
      <c r="U71" s="298"/>
      <c r="V71" s="298"/>
      <c r="W71" s="298"/>
      <c r="X71" s="256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/>
      <c r="AJ71" s="301">
        <f t="shared" si="9"/>
        <v>0</v>
      </c>
      <c r="AK71" s="298"/>
      <c r="AL71" s="298"/>
      <c r="AM71" s="298"/>
      <c r="AN71" s="374"/>
      <c r="AO71" s="374"/>
      <c r="AP71" s="374"/>
      <c r="AQ71" s="374"/>
      <c r="AR71" s="374"/>
      <c r="AS71" s="374"/>
      <c r="AT71" s="374"/>
      <c r="AU71" s="374"/>
      <c r="AV71" s="282" t="s">
        <v>2116</v>
      </c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4"/>
      <c r="BJ71" s="284"/>
      <c r="BK71" s="284"/>
      <c r="BL71" s="284"/>
      <c r="BM71" s="284"/>
      <c r="BN71" s="284"/>
      <c r="BO71" s="284"/>
      <c r="BP71" s="284"/>
      <c r="BQ71" s="284"/>
      <c r="BR71" s="284"/>
      <c r="BS71" s="284"/>
      <c r="BT71" s="284"/>
      <c r="BU71" s="284"/>
      <c r="BV71" s="284"/>
      <c r="BW71" s="284"/>
      <c r="BX71" s="284"/>
      <c r="BY71" s="284"/>
      <c r="BZ71" s="284"/>
      <c r="CA71" s="284"/>
      <c r="CB71" s="284"/>
      <c r="CC71" s="284"/>
      <c r="CD71" s="284"/>
      <c r="CE71" s="284"/>
      <c r="CF71" s="284"/>
      <c r="CG71" s="284"/>
      <c r="CH71" s="284"/>
      <c r="CI71" s="284"/>
      <c r="CJ71" s="284"/>
      <c r="CK71" s="284"/>
      <c r="CL71" s="284"/>
      <c r="CM71" s="284"/>
      <c r="CN71" s="284"/>
      <c r="CO71" s="284"/>
      <c r="CP71" s="284"/>
      <c r="CQ71" s="284"/>
      <c r="CR71" s="284"/>
      <c r="CS71" s="284"/>
      <c r="CT71" s="284"/>
      <c r="CU71" s="284"/>
      <c r="CV71" s="284"/>
      <c r="CW71" s="284"/>
      <c r="CX71" s="284"/>
      <c r="CY71" s="284"/>
      <c r="CZ71" s="284"/>
      <c r="DA71" s="284"/>
      <c r="DB71" s="284"/>
      <c r="DC71" s="284"/>
      <c r="DD71" s="284"/>
      <c r="DE71" s="284"/>
      <c r="DF71" s="284"/>
      <c r="DG71" s="284"/>
      <c r="DH71" s="284"/>
      <c r="DI71" s="284"/>
      <c r="DJ71" s="284"/>
      <c r="DK71" s="284"/>
      <c r="DL71" s="284"/>
      <c r="DM71" s="284"/>
      <c r="DN71" s="284"/>
      <c r="DO71" s="284"/>
      <c r="DP71" s="284"/>
      <c r="DQ71" s="284"/>
      <c r="DR71" s="284"/>
      <c r="DS71" s="284"/>
      <c r="DT71" s="284"/>
      <c r="DU71" s="284"/>
      <c r="DV71" s="284"/>
      <c r="DW71" s="284"/>
      <c r="DX71" s="284"/>
      <c r="DY71" s="284"/>
      <c r="DZ71" s="284"/>
      <c r="EA71" s="284"/>
      <c r="EB71" s="284"/>
      <c r="EC71" s="284"/>
      <c r="ED71" s="284"/>
      <c r="EE71" s="284"/>
      <c r="EF71" s="284"/>
      <c r="EG71" s="284"/>
      <c r="EH71" s="284"/>
      <c r="EI71" s="284"/>
      <c r="EJ71" s="284"/>
      <c r="EK71" s="284"/>
      <c r="EL71" s="284"/>
      <c r="EM71" s="284"/>
      <c r="EN71" s="284"/>
      <c r="EO71" s="284"/>
      <c r="EP71" s="284"/>
      <c r="EQ71" s="284"/>
      <c r="ER71" s="284"/>
      <c r="ES71" s="284"/>
      <c r="ET71" s="284"/>
      <c r="EU71" s="284"/>
      <c r="EV71" s="284"/>
      <c r="EW71" s="284"/>
      <c r="EX71" s="284"/>
      <c r="EY71" s="284"/>
      <c r="EZ71" s="284"/>
      <c r="FA71" s="284"/>
      <c r="FB71" s="284"/>
      <c r="FC71" s="284"/>
      <c r="FD71" s="284"/>
      <c r="FE71" s="284"/>
      <c r="FF71" s="284"/>
      <c r="FG71" s="284"/>
      <c r="FH71" s="284"/>
      <c r="FI71" s="284"/>
      <c r="FJ71" s="284"/>
      <c r="FK71" s="284"/>
      <c r="FL71" s="284"/>
      <c r="FM71" s="284"/>
      <c r="FN71" s="284"/>
      <c r="FO71" s="284"/>
      <c r="FP71" s="284"/>
      <c r="FQ71" s="284"/>
      <c r="FR71" s="284"/>
      <c r="FS71" s="284"/>
      <c r="FT71" s="284"/>
      <c r="FU71" s="284"/>
      <c r="FV71" s="284"/>
      <c r="FW71" s="284"/>
      <c r="FX71" s="284"/>
      <c r="FY71" s="284"/>
      <c r="FZ71" s="284"/>
      <c r="GA71" s="284"/>
      <c r="GB71" s="284"/>
      <c r="GC71" s="284"/>
      <c r="GD71" s="284"/>
      <c r="GE71" s="284"/>
      <c r="GF71" s="284"/>
      <c r="GG71" s="284"/>
      <c r="GH71" s="284"/>
      <c r="GI71" s="284"/>
      <c r="GJ71" s="284"/>
      <c r="GK71" s="284"/>
      <c r="GL71" s="284"/>
      <c r="GM71" s="284"/>
      <c r="GN71" s="284"/>
      <c r="GO71" s="284"/>
      <c r="GP71" s="284"/>
      <c r="GQ71" s="284"/>
      <c r="GR71" s="284"/>
      <c r="GS71" s="284"/>
      <c r="GT71" s="284"/>
      <c r="GU71" s="284"/>
      <c r="GV71" s="284"/>
      <c r="GW71" s="284"/>
      <c r="GX71" s="284"/>
      <c r="GY71" s="284"/>
      <c r="GZ71" s="284"/>
      <c r="HA71" s="284"/>
      <c r="HB71" s="284"/>
      <c r="HC71" s="284"/>
      <c r="HD71" s="284"/>
      <c r="HE71" s="284"/>
      <c r="HF71" s="284"/>
      <c r="HG71" s="284"/>
      <c r="HH71" s="284"/>
      <c r="HI71" s="284"/>
      <c r="HJ71" s="284"/>
      <c r="HK71" s="284"/>
      <c r="KO71" s="284"/>
    </row>
    <row r="72" spans="1:301" s="285" customFormat="1" ht="15">
      <c r="A72" s="260">
        <v>693</v>
      </c>
      <c r="B72" s="374" t="s">
        <v>2110</v>
      </c>
      <c r="C72" s="261" t="s">
        <v>1286</v>
      </c>
      <c r="D72" s="351">
        <v>38626</v>
      </c>
      <c r="E72" s="351">
        <v>38687</v>
      </c>
      <c r="F72" s="285" t="s">
        <v>2111</v>
      </c>
      <c r="G72" s="285" t="s">
        <v>1450</v>
      </c>
      <c r="H72" s="427"/>
      <c r="I72" s="427" t="s">
        <v>2331</v>
      </c>
      <c r="J72" s="298">
        <v>8000</v>
      </c>
      <c r="K72" s="298"/>
      <c r="L72" s="298">
        <v>150000</v>
      </c>
      <c r="M72" s="298">
        <v>126715.7</v>
      </c>
      <c r="N72" s="256">
        <f>M72/J72</f>
        <v>15.8394625</v>
      </c>
      <c r="O72" s="298"/>
      <c r="P72" s="298"/>
      <c r="Q72" s="298"/>
      <c r="R72" s="298"/>
      <c r="S72" s="318" t="s">
        <v>233</v>
      </c>
      <c r="T72" s="298"/>
      <c r="U72" s="298"/>
      <c r="V72" s="298"/>
      <c r="W72" s="298"/>
      <c r="X72" s="256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301">
        <f t="shared" si="9"/>
        <v>0</v>
      </c>
      <c r="AK72" s="298"/>
      <c r="AL72" s="298"/>
      <c r="AM72" s="298"/>
      <c r="AN72" s="374"/>
      <c r="AO72" s="374"/>
      <c r="AP72" s="374"/>
      <c r="AQ72" s="374"/>
      <c r="AR72" s="374"/>
      <c r="AS72" s="374"/>
      <c r="AT72" s="374"/>
      <c r="AU72" s="374"/>
      <c r="AV72" s="282" t="s">
        <v>2109</v>
      </c>
      <c r="AW72" s="284"/>
      <c r="AX72" s="284"/>
      <c r="AY72" s="284"/>
      <c r="AZ72" s="284"/>
      <c r="BA72" s="284"/>
      <c r="BB72" s="284"/>
      <c r="BC72" s="284"/>
      <c r="BD72" s="284"/>
      <c r="BE72" s="284"/>
      <c r="BF72" s="284"/>
      <c r="BG72" s="284"/>
      <c r="BH72" s="284"/>
      <c r="BI72" s="284"/>
      <c r="BJ72" s="284"/>
      <c r="BK72" s="284"/>
      <c r="BL72" s="284"/>
      <c r="BM72" s="284"/>
      <c r="BN72" s="284"/>
      <c r="BO72" s="284"/>
      <c r="BP72" s="284"/>
      <c r="BQ72" s="284"/>
      <c r="BR72" s="284"/>
      <c r="BS72" s="284"/>
      <c r="BT72" s="284"/>
      <c r="BU72" s="284"/>
      <c r="BV72" s="284"/>
      <c r="BW72" s="284"/>
      <c r="BX72" s="284"/>
      <c r="BY72" s="284"/>
      <c r="BZ72" s="284"/>
      <c r="CA72" s="284"/>
      <c r="CB72" s="284"/>
      <c r="CC72" s="284"/>
      <c r="CD72" s="284"/>
      <c r="CE72" s="284"/>
      <c r="CF72" s="284"/>
      <c r="CG72" s="284"/>
      <c r="CH72" s="284"/>
      <c r="CI72" s="284"/>
      <c r="CJ72" s="284"/>
      <c r="CK72" s="284"/>
      <c r="CL72" s="284"/>
      <c r="CM72" s="284"/>
      <c r="CN72" s="284"/>
      <c r="CO72" s="284"/>
      <c r="CP72" s="284"/>
      <c r="CQ72" s="284"/>
      <c r="CR72" s="284"/>
      <c r="CS72" s="284"/>
      <c r="CT72" s="284"/>
      <c r="CU72" s="284"/>
      <c r="CV72" s="284"/>
      <c r="CW72" s="284"/>
      <c r="CX72" s="284"/>
      <c r="CY72" s="284"/>
      <c r="CZ72" s="284"/>
      <c r="DA72" s="284"/>
      <c r="DB72" s="284"/>
      <c r="DC72" s="284"/>
      <c r="DD72" s="284"/>
      <c r="DE72" s="284"/>
      <c r="DF72" s="284"/>
      <c r="DG72" s="284"/>
      <c r="DH72" s="284"/>
      <c r="DI72" s="284"/>
      <c r="DJ72" s="284"/>
      <c r="DK72" s="284"/>
      <c r="DL72" s="284"/>
      <c r="DM72" s="284"/>
      <c r="DN72" s="284"/>
      <c r="DO72" s="284"/>
      <c r="DP72" s="284"/>
      <c r="DQ72" s="284"/>
      <c r="DR72" s="284"/>
      <c r="DS72" s="284"/>
      <c r="DT72" s="284"/>
      <c r="DU72" s="284"/>
      <c r="DV72" s="284"/>
      <c r="DW72" s="284"/>
      <c r="DX72" s="284"/>
      <c r="DY72" s="284"/>
      <c r="DZ72" s="284"/>
      <c r="EA72" s="284"/>
      <c r="EB72" s="284"/>
      <c r="EC72" s="284"/>
      <c r="ED72" s="284"/>
      <c r="EE72" s="284"/>
      <c r="EF72" s="284"/>
      <c r="EG72" s="284"/>
      <c r="EH72" s="284"/>
      <c r="EI72" s="284"/>
      <c r="EJ72" s="284"/>
      <c r="EK72" s="284"/>
      <c r="EL72" s="284"/>
      <c r="EM72" s="284"/>
      <c r="EN72" s="284"/>
      <c r="EO72" s="284"/>
      <c r="EP72" s="284"/>
      <c r="EQ72" s="284"/>
      <c r="ER72" s="284"/>
      <c r="ES72" s="284"/>
      <c r="ET72" s="284"/>
      <c r="EU72" s="284"/>
      <c r="EV72" s="284"/>
      <c r="EW72" s="284"/>
      <c r="EX72" s="284"/>
      <c r="EY72" s="284"/>
      <c r="EZ72" s="284"/>
      <c r="FA72" s="284"/>
      <c r="FB72" s="284"/>
      <c r="FC72" s="284"/>
      <c r="FD72" s="284"/>
      <c r="FE72" s="284"/>
      <c r="FF72" s="284"/>
      <c r="FG72" s="284"/>
      <c r="FH72" s="284"/>
      <c r="FI72" s="284"/>
      <c r="FJ72" s="284"/>
      <c r="FK72" s="284"/>
      <c r="FL72" s="284"/>
      <c r="FM72" s="284"/>
      <c r="FN72" s="284"/>
      <c r="FO72" s="284"/>
      <c r="FP72" s="284"/>
      <c r="FQ72" s="284"/>
      <c r="FR72" s="284"/>
      <c r="FS72" s="284"/>
      <c r="FT72" s="284"/>
      <c r="FU72" s="284"/>
      <c r="FV72" s="284"/>
      <c r="FW72" s="284"/>
      <c r="FX72" s="284"/>
      <c r="FY72" s="284"/>
      <c r="FZ72" s="284"/>
      <c r="GA72" s="284"/>
      <c r="GB72" s="284"/>
      <c r="GC72" s="284"/>
      <c r="GD72" s="284"/>
      <c r="GE72" s="284"/>
      <c r="GF72" s="284"/>
      <c r="GG72" s="284"/>
      <c r="GH72" s="284"/>
      <c r="GI72" s="284"/>
      <c r="GJ72" s="284"/>
      <c r="GK72" s="284"/>
      <c r="GL72" s="284"/>
      <c r="GM72" s="284"/>
      <c r="GN72" s="284"/>
      <c r="GO72" s="284"/>
      <c r="GP72" s="284"/>
      <c r="GQ72" s="284"/>
      <c r="GR72" s="284"/>
      <c r="GS72" s="284"/>
      <c r="GT72" s="284"/>
      <c r="GU72" s="284"/>
      <c r="GV72" s="284"/>
      <c r="GW72" s="284"/>
      <c r="GX72" s="284"/>
      <c r="GY72" s="284"/>
      <c r="GZ72" s="284"/>
      <c r="HA72" s="284"/>
      <c r="HB72" s="284"/>
      <c r="HC72" s="284"/>
      <c r="HD72" s="284"/>
      <c r="HE72" s="284"/>
      <c r="HF72" s="284"/>
      <c r="HG72" s="284"/>
      <c r="HH72" s="284"/>
      <c r="HI72" s="284"/>
      <c r="HJ72" s="284"/>
      <c r="HK72" s="284"/>
      <c r="HL72" s="284"/>
      <c r="HM72" s="284"/>
      <c r="HN72" s="284"/>
      <c r="HO72" s="284"/>
      <c r="HP72" s="284"/>
      <c r="HQ72" s="284"/>
      <c r="HR72" s="284"/>
      <c r="HS72" s="284"/>
      <c r="HT72" s="284"/>
      <c r="HU72" s="284"/>
      <c r="HV72" s="284"/>
      <c r="HW72" s="284"/>
      <c r="HX72" s="284"/>
      <c r="HY72" s="284"/>
      <c r="HZ72" s="284"/>
      <c r="IA72" s="284"/>
      <c r="IB72" s="284"/>
      <c r="IC72" s="284"/>
      <c r="ID72" s="284"/>
      <c r="IE72" s="284"/>
      <c r="IF72" s="284"/>
      <c r="IG72" s="284"/>
      <c r="IH72" s="284"/>
      <c r="II72" s="284"/>
      <c r="IJ72" s="284"/>
      <c r="IK72" s="284"/>
      <c r="IL72" s="284"/>
      <c r="IM72" s="284"/>
      <c r="IN72" s="284"/>
      <c r="IO72" s="284"/>
      <c r="IP72" s="284"/>
      <c r="IQ72" s="284"/>
      <c r="IR72" s="284"/>
      <c r="IS72" s="284"/>
      <c r="IT72" s="284"/>
      <c r="IU72" s="284"/>
      <c r="IV72" s="284"/>
      <c r="IW72" s="284"/>
      <c r="IX72" s="284"/>
      <c r="IY72" s="284"/>
      <c r="IZ72" s="284"/>
      <c r="JA72" s="284"/>
      <c r="JB72" s="284"/>
      <c r="JC72" s="284"/>
      <c r="JD72" s="284"/>
      <c r="JE72" s="284"/>
      <c r="KO72" s="284"/>
    </row>
    <row r="73" spans="1:301" s="284" customFormat="1" ht="15">
      <c r="A73" s="260">
        <v>694</v>
      </c>
      <c r="B73" s="261" t="s">
        <v>1802</v>
      </c>
      <c r="C73" s="372" t="s">
        <v>1286</v>
      </c>
      <c r="D73" s="255">
        <v>38353</v>
      </c>
      <c r="E73" s="255">
        <v>38443</v>
      </c>
      <c r="F73" s="284" t="s">
        <v>5</v>
      </c>
      <c r="G73" s="284" t="s">
        <v>1451</v>
      </c>
      <c r="H73" s="430" t="s">
        <v>2058</v>
      </c>
      <c r="I73" s="259" t="s">
        <v>2440</v>
      </c>
      <c r="J73" s="256">
        <v>5000</v>
      </c>
      <c r="K73" s="256"/>
      <c r="L73" s="256"/>
      <c r="M73" s="256">
        <v>90000</v>
      </c>
      <c r="N73" s="256">
        <f>M73/J73</f>
        <v>18</v>
      </c>
      <c r="O73" s="256"/>
      <c r="P73" s="256"/>
      <c r="Q73" s="256"/>
      <c r="R73" s="256"/>
      <c r="S73" s="318" t="s">
        <v>233</v>
      </c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  <c r="AG73" s="256"/>
      <c r="AH73" s="256"/>
      <c r="AI73" s="256"/>
      <c r="AJ73" s="301">
        <f t="shared" si="9"/>
        <v>0</v>
      </c>
      <c r="AK73" s="256"/>
      <c r="AL73" s="256"/>
      <c r="AM73" s="256"/>
      <c r="AN73" s="372"/>
      <c r="AO73" s="372"/>
      <c r="AP73" s="372"/>
      <c r="AQ73" s="372"/>
      <c r="AR73" s="372"/>
      <c r="AS73" s="372"/>
      <c r="AT73" s="372"/>
      <c r="AU73" s="372"/>
      <c r="AV73" s="433" t="s">
        <v>2056</v>
      </c>
    </row>
    <row r="74" spans="1:301" s="284" customFormat="1" ht="15">
      <c r="A74" s="260">
        <v>695</v>
      </c>
      <c r="B74" s="261" t="s">
        <v>2046</v>
      </c>
      <c r="C74" s="261" t="s">
        <v>1261</v>
      </c>
      <c r="D74" s="255">
        <v>38412</v>
      </c>
      <c r="E74" s="255">
        <v>38534</v>
      </c>
      <c r="F74" s="284" t="s">
        <v>116</v>
      </c>
      <c r="G74" s="284" t="s">
        <v>1452</v>
      </c>
      <c r="H74" s="430" t="s">
        <v>2092</v>
      </c>
      <c r="I74" s="430" t="s">
        <v>2331</v>
      </c>
      <c r="J74" s="256">
        <v>4000</v>
      </c>
      <c r="K74" s="256">
        <v>50000</v>
      </c>
      <c r="L74" s="256">
        <v>50000</v>
      </c>
      <c r="M74" s="256">
        <v>49067</v>
      </c>
      <c r="N74" s="256">
        <f>M74/J74</f>
        <v>12.26675</v>
      </c>
      <c r="O74" s="256">
        <v>100</v>
      </c>
      <c r="P74" s="256"/>
      <c r="Q74" s="256"/>
      <c r="R74" s="256"/>
      <c r="S74" s="318" t="s">
        <v>233</v>
      </c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301">
        <f t="shared" si="9"/>
        <v>0</v>
      </c>
      <c r="AK74" s="256"/>
      <c r="AL74" s="256"/>
      <c r="AM74" s="256"/>
      <c r="AN74" s="372"/>
      <c r="AO74" s="372"/>
      <c r="AP74" s="372"/>
      <c r="AQ74" s="372"/>
      <c r="AR74" s="372"/>
      <c r="AS74" s="372"/>
      <c r="AT74" s="372"/>
      <c r="AU74" s="372"/>
      <c r="AV74" s="284" t="s">
        <v>2091</v>
      </c>
    </row>
    <row r="75" spans="1:301" s="285" customFormat="1" ht="21.75" customHeight="1">
      <c r="A75" s="260">
        <v>696</v>
      </c>
      <c r="B75" s="261" t="s">
        <v>452</v>
      </c>
      <c r="C75" s="388" t="s">
        <v>1278</v>
      </c>
      <c r="D75" s="351">
        <v>38534</v>
      </c>
      <c r="E75" s="351">
        <v>38626</v>
      </c>
      <c r="F75" s="284" t="s">
        <v>1399</v>
      </c>
      <c r="G75" s="285" t="s">
        <v>1464</v>
      </c>
      <c r="H75" s="427" t="s">
        <v>2127</v>
      </c>
      <c r="I75" s="254" t="s">
        <v>2331</v>
      </c>
      <c r="J75" s="298" t="s">
        <v>134</v>
      </c>
      <c r="K75" s="298">
        <v>0</v>
      </c>
      <c r="L75" s="298">
        <v>76340</v>
      </c>
      <c r="M75" s="298">
        <v>76340</v>
      </c>
      <c r="N75" s="256"/>
      <c r="O75" s="298"/>
      <c r="P75" s="298"/>
      <c r="Q75" s="298"/>
      <c r="R75" s="298"/>
      <c r="S75" s="318" t="s">
        <v>233</v>
      </c>
      <c r="T75" s="298"/>
      <c r="U75" s="298"/>
      <c r="V75" s="298"/>
      <c r="W75" s="298"/>
      <c r="X75" s="256"/>
      <c r="Y75" s="298" t="s">
        <v>134</v>
      </c>
      <c r="Z75" s="298"/>
      <c r="AA75" s="298"/>
      <c r="AB75" s="298">
        <v>30</v>
      </c>
      <c r="AC75" s="298"/>
      <c r="AD75" s="298"/>
      <c r="AE75" s="298"/>
      <c r="AF75" s="298"/>
      <c r="AG75" s="298"/>
      <c r="AH75" s="298"/>
      <c r="AI75" s="298"/>
      <c r="AJ75" s="301">
        <f t="shared" si="9"/>
        <v>0</v>
      </c>
      <c r="AK75" s="298">
        <v>0</v>
      </c>
      <c r="AL75" s="298">
        <v>4053</v>
      </c>
      <c r="AM75" s="263"/>
      <c r="AN75" s="374"/>
      <c r="AO75" s="374"/>
      <c r="AP75" s="374"/>
      <c r="AQ75" s="374"/>
      <c r="AR75" s="374"/>
      <c r="AS75" s="374"/>
      <c r="AT75" s="374"/>
      <c r="AU75" s="374"/>
      <c r="AV75" s="282" t="s">
        <v>2104</v>
      </c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4"/>
      <c r="BJ75" s="284"/>
      <c r="BK75" s="284"/>
      <c r="BL75" s="284"/>
      <c r="BM75" s="284"/>
      <c r="BN75" s="284"/>
      <c r="BO75" s="284"/>
      <c r="BP75" s="284"/>
      <c r="BQ75" s="284"/>
      <c r="BR75" s="284"/>
      <c r="BS75" s="284"/>
      <c r="BT75" s="284"/>
      <c r="BU75" s="284"/>
      <c r="BV75" s="284"/>
      <c r="BW75" s="284"/>
      <c r="BX75" s="284"/>
      <c r="BY75" s="284"/>
      <c r="BZ75" s="284"/>
      <c r="CA75" s="284"/>
      <c r="CB75" s="284"/>
      <c r="CC75" s="284"/>
      <c r="CD75" s="284"/>
      <c r="CE75" s="284"/>
      <c r="CF75" s="284"/>
      <c r="CG75" s="284"/>
      <c r="CH75" s="284"/>
      <c r="CI75" s="284"/>
      <c r="CJ75" s="284"/>
      <c r="CK75" s="284"/>
      <c r="CL75" s="284"/>
      <c r="CM75" s="284"/>
      <c r="CN75" s="284"/>
      <c r="CO75" s="284"/>
      <c r="CP75" s="284"/>
      <c r="CQ75" s="284"/>
      <c r="CR75" s="284"/>
      <c r="CS75" s="284"/>
      <c r="CT75" s="284"/>
      <c r="CU75" s="284"/>
      <c r="CV75" s="284"/>
      <c r="CW75" s="284"/>
      <c r="CX75" s="284"/>
      <c r="CY75" s="284"/>
      <c r="CZ75" s="284"/>
      <c r="DA75" s="284"/>
      <c r="DB75" s="284"/>
      <c r="DC75" s="284"/>
      <c r="DD75" s="284"/>
      <c r="DE75" s="284"/>
      <c r="DF75" s="284"/>
      <c r="DG75" s="284"/>
      <c r="DH75" s="284"/>
      <c r="DI75" s="284"/>
      <c r="DJ75" s="284"/>
      <c r="DK75" s="284"/>
      <c r="DL75" s="284"/>
      <c r="DM75" s="284"/>
      <c r="DN75" s="284"/>
      <c r="DO75" s="284"/>
      <c r="DP75" s="284"/>
      <c r="DQ75" s="284"/>
      <c r="DR75" s="284"/>
      <c r="DS75" s="284"/>
      <c r="DT75" s="284"/>
      <c r="DU75" s="284"/>
      <c r="DV75" s="284"/>
      <c r="DW75" s="284"/>
      <c r="DX75" s="284"/>
      <c r="DY75" s="284"/>
      <c r="DZ75" s="284"/>
      <c r="EA75" s="284"/>
      <c r="EB75" s="284"/>
      <c r="EC75" s="284"/>
      <c r="ED75" s="284"/>
      <c r="EE75" s="284"/>
      <c r="EF75" s="284"/>
      <c r="EG75" s="284"/>
      <c r="EH75" s="284"/>
      <c r="EI75" s="284"/>
      <c r="EJ75" s="284"/>
      <c r="EK75" s="284"/>
      <c r="EL75" s="284"/>
      <c r="EM75" s="284"/>
      <c r="EN75" s="284"/>
      <c r="EO75" s="284"/>
      <c r="EP75" s="284"/>
      <c r="EQ75" s="284"/>
      <c r="ER75" s="284"/>
      <c r="ES75" s="284"/>
      <c r="ET75" s="284"/>
      <c r="EU75" s="284"/>
      <c r="EV75" s="284"/>
      <c r="EW75" s="284"/>
      <c r="EX75" s="284"/>
      <c r="EY75" s="284"/>
      <c r="EZ75" s="284"/>
      <c r="FA75" s="284"/>
      <c r="FB75" s="284"/>
      <c r="FC75" s="284"/>
      <c r="FD75" s="284"/>
      <c r="FE75" s="284"/>
      <c r="FF75" s="284"/>
      <c r="FG75" s="284"/>
      <c r="FH75" s="284"/>
      <c r="FI75" s="284"/>
      <c r="FJ75" s="284"/>
      <c r="FK75" s="284"/>
      <c r="FL75" s="284"/>
      <c r="FM75" s="284"/>
      <c r="FN75" s="284"/>
      <c r="FO75" s="284"/>
      <c r="FP75" s="284"/>
      <c r="FQ75" s="284"/>
      <c r="FR75" s="284"/>
      <c r="FS75" s="284"/>
      <c r="FT75" s="284"/>
      <c r="FU75" s="284"/>
      <c r="FV75" s="284"/>
      <c r="FW75" s="284"/>
      <c r="FX75" s="284"/>
      <c r="FY75" s="284"/>
      <c r="FZ75" s="284"/>
      <c r="GA75" s="284"/>
      <c r="GB75" s="284"/>
      <c r="GC75" s="284"/>
      <c r="GD75" s="284"/>
      <c r="GE75" s="284"/>
      <c r="GF75" s="284"/>
      <c r="GG75" s="284"/>
      <c r="GH75" s="284"/>
      <c r="GI75" s="284"/>
      <c r="GJ75" s="284"/>
      <c r="GK75" s="284"/>
      <c r="GL75" s="284"/>
      <c r="GM75" s="284"/>
      <c r="GN75" s="284"/>
      <c r="GO75" s="284"/>
      <c r="GP75" s="284"/>
      <c r="GQ75" s="284"/>
      <c r="GR75" s="284"/>
      <c r="GS75" s="284"/>
      <c r="GT75" s="284"/>
      <c r="GU75" s="284"/>
      <c r="GV75" s="284"/>
      <c r="GW75" s="284"/>
      <c r="GX75" s="284"/>
      <c r="GY75" s="284"/>
      <c r="GZ75" s="284"/>
      <c r="HA75" s="284"/>
      <c r="HB75" s="284"/>
      <c r="HC75" s="284"/>
      <c r="HD75" s="284"/>
      <c r="HE75" s="284"/>
      <c r="HF75" s="284"/>
      <c r="HG75" s="284"/>
      <c r="HH75" s="284"/>
      <c r="HI75" s="284"/>
      <c r="HJ75" s="284"/>
      <c r="HK75" s="284"/>
      <c r="HL75" s="284"/>
      <c r="HM75" s="284"/>
      <c r="HN75" s="284"/>
      <c r="HO75" s="284"/>
      <c r="HP75" s="284"/>
      <c r="HQ75" s="284"/>
      <c r="HR75" s="284"/>
      <c r="HS75" s="284"/>
      <c r="HT75" s="284"/>
      <c r="HU75" s="284"/>
      <c r="HV75" s="284"/>
      <c r="HW75" s="284"/>
      <c r="HX75" s="284"/>
      <c r="HY75" s="284"/>
      <c r="HZ75" s="284"/>
      <c r="IA75" s="284"/>
      <c r="IB75" s="284"/>
      <c r="IC75" s="284"/>
      <c r="ID75" s="284"/>
      <c r="IE75" s="284"/>
      <c r="IF75" s="284"/>
      <c r="IG75" s="284"/>
      <c r="IH75" s="284"/>
      <c r="II75" s="284"/>
      <c r="IJ75" s="284"/>
      <c r="IK75" s="284"/>
      <c r="IL75" s="284"/>
      <c r="IM75" s="284"/>
      <c r="IN75" s="284"/>
      <c r="IO75" s="284"/>
      <c r="IP75" s="284"/>
      <c r="IQ75" s="284"/>
      <c r="IR75" s="284"/>
      <c r="IS75" s="284"/>
      <c r="IT75" s="284"/>
      <c r="IU75" s="284"/>
      <c r="IV75" s="284"/>
      <c r="IW75" s="284"/>
      <c r="IX75" s="284"/>
      <c r="IY75" s="284"/>
      <c r="IZ75" s="284"/>
      <c r="JA75" s="284"/>
      <c r="JB75" s="284"/>
      <c r="JC75" s="284"/>
      <c r="JD75" s="284"/>
      <c r="JE75" s="284"/>
      <c r="KO75" s="284"/>
    </row>
    <row r="76" spans="1:301" s="436" customFormat="1" ht="26.25">
      <c r="A76" s="260">
        <v>697</v>
      </c>
      <c r="B76" s="435" t="s">
        <v>1169</v>
      </c>
      <c r="C76" s="435" t="s">
        <v>1286</v>
      </c>
      <c r="D76" s="487">
        <v>38473</v>
      </c>
      <c r="E76" s="487">
        <v>38687</v>
      </c>
      <c r="F76" s="436" t="s">
        <v>2148</v>
      </c>
      <c r="G76" s="436" t="s">
        <v>1450</v>
      </c>
      <c r="H76" s="437" t="s">
        <v>2160</v>
      </c>
      <c r="I76" s="419" t="s">
        <v>2441</v>
      </c>
      <c r="J76" s="439"/>
      <c r="K76" s="439"/>
      <c r="L76" s="439"/>
      <c r="M76" s="439">
        <v>97862.86</v>
      </c>
      <c r="N76" s="256"/>
      <c r="O76" s="439"/>
      <c r="P76" s="439"/>
      <c r="Q76" s="439"/>
      <c r="R76" s="439"/>
      <c r="S76" s="318" t="s">
        <v>233</v>
      </c>
      <c r="T76" s="439"/>
      <c r="U76" s="439"/>
      <c r="V76" s="439"/>
      <c r="W76" s="439"/>
      <c r="X76" s="256"/>
      <c r="Y76" s="439"/>
      <c r="Z76" s="439"/>
      <c r="AA76" s="439"/>
      <c r="AB76" s="439"/>
      <c r="AC76" s="439"/>
      <c r="AD76" s="439"/>
      <c r="AE76" s="439"/>
      <c r="AF76" s="439"/>
      <c r="AG76" s="439"/>
      <c r="AH76" s="439"/>
      <c r="AI76" s="439"/>
      <c r="AJ76" s="301">
        <f t="shared" si="9"/>
        <v>0</v>
      </c>
      <c r="AK76" s="439"/>
      <c r="AL76" s="439"/>
      <c r="AM76" s="439"/>
      <c r="AN76" s="489"/>
      <c r="AO76" s="489"/>
      <c r="AP76" s="489"/>
      <c r="AQ76" s="489"/>
      <c r="AR76" s="489"/>
      <c r="AS76" s="489"/>
      <c r="AT76" s="489"/>
      <c r="AU76" s="489"/>
      <c r="AW76" s="284"/>
      <c r="AX76" s="284"/>
      <c r="AY76" s="284"/>
      <c r="AZ76" s="284"/>
      <c r="BA76" s="284"/>
      <c r="BB76" s="284"/>
      <c r="BC76" s="284"/>
      <c r="BD76" s="284"/>
      <c r="BE76" s="284"/>
      <c r="BF76" s="284"/>
      <c r="BG76" s="284"/>
      <c r="BH76" s="284"/>
      <c r="BI76" s="284"/>
      <c r="BJ76" s="284"/>
      <c r="BK76" s="284"/>
      <c r="BL76" s="284"/>
      <c r="BM76" s="284"/>
      <c r="BN76" s="284"/>
      <c r="BO76" s="284"/>
      <c r="BP76" s="284"/>
      <c r="BQ76" s="284"/>
      <c r="BR76" s="284"/>
      <c r="BS76" s="284"/>
      <c r="BT76" s="284"/>
      <c r="BU76" s="284"/>
      <c r="BV76" s="284"/>
      <c r="BW76" s="284"/>
      <c r="BX76" s="284"/>
      <c r="BY76" s="284"/>
      <c r="BZ76" s="284"/>
      <c r="CA76" s="284"/>
      <c r="CB76" s="284"/>
      <c r="CC76" s="284"/>
      <c r="CD76" s="284"/>
      <c r="CE76" s="284"/>
      <c r="CF76" s="284"/>
      <c r="CG76" s="284"/>
      <c r="CH76" s="284"/>
      <c r="CI76" s="284"/>
      <c r="CJ76" s="284"/>
      <c r="CK76" s="284"/>
      <c r="CL76" s="284"/>
      <c r="CM76" s="284"/>
      <c r="CN76" s="284"/>
      <c r="CO76" s="284"/>
      <c r="CP76" s="284"/>
      <c r="CQ76" s="284"/>
      <c r="CR76" s="284"/>
      <c r="CS76" s="284"/>
      <c r="CT76" s="284"/>
      <c r="CU76" s="284"/>
      <c r="CV76" s="284"/>
      <c r="CW76" s="284"/>
      <c r="CX76" s="284"/>
      <c r="CY76" s="284"/>
      <c r="CZ76" s="284"/>
      <c r="DA76" s="284"/>
      <c r="DB76" s="284"/>
      <c r="DC76" s="284"/>
      <c r="DD76" s="284"/>
      <c r="DE76" s="284"/>
      <c r="DF76" s="284"/>
      <c r="DG76" s="284"/>
      <c r="DH76" s="284"/>
      <c r="DI76" s="284"/>
      <c r="DJ76" s="284"/>
      <c r="DK76" s="284"/>
      <c r="DL76" s="284"/>
      <c r="DM76" s="284"/>
      <c r="DN76" s="284"/>
      <c r="DO76" s="284"/>
      <c r="DP76" s="284"/>
      <c r="DQ76" s="284"/>
      <c r="DR76" s="284"/>
      <c r="DS76" s="284"/>
      <c r="DT76" s="284"/>
      <c r="DU76" s="284"/>
      <c r="DV76" s="284"/>
      <c r="DW76" s="284"/>
      <c r="DX76" s="284"/>
      <c r="DY76" s="284"/>
      <c r="DZ76" s="284"/>
      <c r="EA76" s="284"/>
      <c r="EB76" s="284"/>
      <c r="EC76" s="284"/>
      <c r="ED76" s="284"/>
      <c r="EE76" s="284"/>
      <c r="EF76" s="284"/>
      <c r="EG76" s="284"/>
      <c r="EH76" s="284"/>
      <c r="EI76" s="284"/>
      <c r="EJ76" s="284"/>
      <c r="EK76" s="284"/>
      <c r="EL76" s="284"/>
      <c r="EM76" s="284"/>
      <c r="EN76" s="284"/>
      <c r="EO76" s="284"/>
      <c r="EP76" s="284"/>
      <c r="EQ76" s="284"/>
      <c r="ER76" s="284"/>
      <c r="ES76" s="284"/>
      <c r="ET76" s="284"/>
      <c r="EU76" s="284"/>
      <c r="EV76" s="284"/>
      <c r="EW76" s="284"/>
      <c r="EX76" s="284"/>
      <c r="EY76" s="284"/>
      <c r="EZ76" s="284"/>
      <c r="FA76" s="284"/>
      <c r="FB76" s="284"/>
      <c r="FC76" s="284"/>
      <c r="FD76" s="284"/>
      <c r="FE76" s="284"/>
      <c r="FF76" s="284"/>
      <c r="FG76" s="284"/>
      <c r="FH76" s="284"/>
      <c r="FI76" s="284"/>
      <c r="FJ76" s="284"/>
      <c r="FK76" s="284"/>
      <c r="FL76" s="284"/>
      <c r="FM76" s="284"/>
      <c r="FN76" s="284"/>
      <c r="FO76" s="284"/>
      <c r="FP76" s="284"/>
      <c r="FQ76" s="284"/>
      <c r="FR76" s="284"/>
      <c r="FS76" s="284"/>
      <c r="FT76" s="284"/>
      <c r="FU76" s="284"/>
      <c r="FV76" s="284"/>
      <c r="FW76" s="284"/>
      <c r="FX76" s="284"/>
      <c r="FY76" s="284"/>
      <c r="FZ76" s="284"/>
      <c r="GA76" s="284"/>
      <c r="GB76" s="284"/>
      <c r="GC76" s="284"/>
      <c r="GD76" s="284"/>
      <c r="GE76" s="284"/>
      <c r="GF76" s="284"/>
      <c r="GG76" s="284"/>
      <c r="GH76" s="284"/>
      <c r="GI76" s="284"/>
      <c r="GJ76" s="284"/>
      <c r="GK76" s="284"/>
      <c r="GL76" s="284"/>
      <c r="GM76" s="284"/>
      <c r="GN76" s="284"/>
      <c r="GO76" s="284"/>
      <c r="GP76" s="284"/>
      <c r="GQ76" s="284"/>
      <c r="GR76" s="284"/>
      <c r="GS76" s="284"/>
      <c r="GT76" s="284"/>
      <c r="GU76" s="284"/>
      <c r="GV76" s="284"/>
      <c r="GW76" s="284"/>
      <c r="GX76" s="284"/>
      <c r="GY76" s="284"/>
      <c r="GZ76" s="284"/>
      <c r="HA76" s="284"/>
      <c r="HB76" s="284"/>
      <c r="HC76" s="284"/>
      <c r="HD76" s="284"/>
      <c r="HE76" s="284"/>
      <c r="HF76" s="284"/>
      <c r="HG76" s="284"/>
      <c r="HH76" s="284"/>
      <c r="HI76" s="284"/>
      <c r="HJ76" s="284"/>
      <c r="HK76" s="284"/>
      <c r="HL76" s="284"/>
      <c r="HM76" s="284"/>
      <c r="HN76" s="284"/>
      <c r="HO76" s="284"/>
      <c r="HP76" s="284"/>
      <c r="HQ76" s="284"/>
      <c r="HR76" s="284"/>
      <c r="HS76" s="284"/>
      <c r="HT76" s="284"/>
      <c r="HU76" s="284"/>
      <c r="HV76" s="284"/>
      <c r="HW76" s="284"/>
      <c r="HX76" s="284"/>
      <c r="HY76" s="284"/>
      <c r="HZ76" s="284"/>
      <c r="IA76" s="284"/>
      <c r="IB76" s="284"/>
      <c r="IC76" s="284"/>
      <c r="ID76" s="284"/>
      <c r="IE76" s="284"/>
      <c r="IF76" s="284"/>
      <c r="IG76" s="284"/>
      <c r="IH76" s="284"/>
      <c r="II76" s="284"/>
      <c r="IJ76" s="284"/>
      <c r="IK76" s="284"/>
      <c r="IL76" s="284"/>
      <c r="IM76" s="284"/>
      <c r="IN76" s="284"/>
      <c r="IO76" s="284"/>
      <c r="IP76" s="284"/>
      <c r="IQ76" s="284"/>
      <c r="IR76" s="284"/>
      <c r="IS76" s="284"/>
      <c r="IT76" s="284"/>
      <c r="IU76" s="284"/>
      <c r="IV76" s="284"/>
      <c r="IW76" s="284"/>
      <c r="IX76" s="284"/>
      <c r="IY76" s="284"/>
      <c r="IZ76" s="284"/>
      <c r="JA76" s="284"/>
      <c r="JB76" s="284"/>
      <c r="JC76" s="284"/>
      <c r="JD76" s="284"/>
      <c r="JE76" s="284"/>
      <c r="JF76" s="284"/>
      <c r="JG76" s="284"/>
      <c r="JH76" s="284"/>
      <c r="JI76" s="284"/>
      <c r="JJ76" s="284"/>
      <c r="JK76" s="284"/>
      <c r="JL76" s="284"/>
      <c r="JM76" s="284"/>
      <c r="JN76" s="284"/>
      <c r="JO76" s="284"/>
      <c r="JP76" s="284"/>
      <c r="JQ76" s="284"/>
      <c r="JR76" s="284"/>
      <c r="JS76" s="284"/>
      <c r="JT76" s="284"/>
      <c r="JU76" s="284"/>
      <c r="JV76" s="284"/>
      <c r="JW76" s="284"/>
      <c r="JX76" s="284"/>
      <c r="JY76" s="284"/>
      <c r="JZ76" s="284"/>
      <c r="KA76" s="284"/>
      <c r="KB76" s="284"/>
      <c r="KC76" s="284"/>
      <c r="KD76" s="284"/>
      <c r="KE76" s="284"/>
      <c r="KF76" s="284"/>
      <c r="KG76" s="284"/>
      <c r="KH76" s="284"/>
      <c r="KI76" s="284"/>
      <c r="KJ76" s="284"/>
      <c r="KK76" s="284"/>
      <c r="KL76" s="284"/>
      <c r="KM76" s="284"/>
      <c r="KN76" s="284"/>
      <c r="KO76" s="284"/>
    </row>
    <row r="77" spans="1:301" s="436" customFormat="1" ht="15.75" customHeight="1">
      <c r="A77" s="260">
        <v>698</v>
      </c>
      <c r="B77" s="435" t="s">
        <v>1260</v>
      </c>
      <c r="C77" s="435" t="s">
        <v>1260</v>
      </c>
      <c r="D77" s="487">
        <v>38412</v>
      </c>
      <c r="E77" s="487">
        <v>38688</v>
      </c>
      <c r="F77" s="436" t="s">
        <v>2149</v>
      </c>
      <c r="H77" s="437" t="s">
        <v>2161</v>
      </c>
      <c r="I77" s="419" t="s">
        <v>2441</v>
      </c>
      <c r="J77" s="439"/>
      <c r="K77" s="439"/>
      <c r="L77" s="439"/>
      <c r="M77" s="439">
        <v>5187.62</v>
      </c>
      <c r="N77" s="256"/>
      <c r="O77" s="439"/>
      <c r="P77" s="439"/>
      <c r="Q77" s="439"/>
      <c r="R77" s="439"/>
      <c r="S77" s="318" t="s">
        <v>233</v>
      </c>
      <c r="T77" s="439"/>
      <c r="U77" s="439"/>
      <c r="V77" s="439"/>
      <c r="W77" s="439"/>
      <c r="X77" s="256"/>
      <c r="Y77" s="439"/>
      <c r="Z77" s="439"/>
      <c r="AA77" s="439"/>
      <c r="AB77" s="439"/>
      <c r="AC77" s="439"/>
      <c r="AD77" s="439"/>
      <c r="AE77" s="439"/>
      <c r="AF77" s="439"/>
      <c r="AG77" s="439"/>
      <c r="AH77" s="439"/>
      <c r="AI77" s="439"/>
      <c r="AJ77" s="301">
        <f t="shared" si="9"/>
        <v>0</v>
      </c>
      <c r="AK77" s="439"/>
      <c r="AL77" s="439"/>
      <c r="AM77" s="439"/>
      <c r="AN77" s="489"/>
      <c r="AO77" s="489"/>
      <c r="AP77" s="489"/>
      <c r="AQ77" s="489"/>
      <c r="AR77" s="489"/>
      <c r="AS77" s="489"/>
      <c r="AT77" s="489"/>
      <c r="AU77" s="489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4"/>
      <c r="BI77" s="284"/>
      <c r="BJ77" s="284"/>
      <c r="BK77" s="284"/>
      <c r="BL77" s="284"/>
      <c r="BM77" s="284"/>
      <c r="BN77" s="284"/>
      <c r="BO77" s="284"/>
      <c r="BP77" s="284"/>
      <c r="BQ77" s="284"/>
      <c r="BR77" s="284"/>
      <c r="BS77" s="284"/>
      <c r="BT77" s="284"/>
      <c r="BU77" s="284"/>
      <c r="BV77" s="284"/>
      <c r="BW77" s="284"/>
      <c r="BX77" s="284"/>
      <c r="BY77" s="284"/>
      <c r="BZ77" s="284"/>
      <c r="CA77" s="284"/>
      <c r="CB77" s="284"/>
      <c r="CC77" s="284"/>
      <c r="CD77" s="284"/>
      <c r="CE77" s="284"/>
      <c r="CF77" s="284"/>
      <c r="CG77" s="284"/>
      <c r="CH77" s="284"/>
      <c r="CI77" s="284"/>
      <c r="CJ77" s="284"/>
      <c r="CK77" s="284"/>
      <c r="CL77" s="284"/>
      <c r="CM77" s="284"/>
      <c r="CN77" s="284"/>
      <c r="CO77" s="284"/>
      <c r="CP77" s="284"/>
      <c r="CQ77" s="284"/>
      <c r="CR77" s="284"/>
      <c r="CS77" s="284"/>
      <c r="CT77" s="284"/>
      <c r="CU77" s="284"/>
      <c r="CV77" s="284"/>
      <c r="CW77" s="284"/>
      <c r="CX77" s="284"/>
      <c r="CY77" s="284"/>
      <c r="CZ77" s="284"/>
      <c r="DA77" s="284"/>
      <c r="DB77" s="284"/>
      <c r="DC77" s="284"/>
      <c r="DD77" s="284"/>
      <c r="DE77" s="284"/>
      <c r="DF77" s="284"/>
      <c r="DG77" s="284"/>
      <c r="DH77" s="284"/>
      <c r="DI77" s="284"/>
      <c r="DJ77" s="284"/>
      <c r="DK77" s="284"/>
      <c r="DL77" s="284"/>
      <c r="DM77" s="284"/>
      <c r="DN77" s="284"/>
      <c r="DO77" s="284"/>
      <c r="DP77" s="284"/>
      <c r="DQ77" s="284"/>
      <c r="DR77" s="284"/>
      <c r="DS77" s="284"/>
      <c r="DT77" s="284"/>
      <c r="DU77" s="284"/>
      <c r="DV77" s="284"/>
      <c r="DW77" s="284"/>
      <c r="DX77" s="284"/>
      <c r="DY77" s="284"/>
      <c r="DZ77" s="284"/>
      <c r="EA77" s="284"/>
      <c r="EB77" s="284"/>
      <c r="EC77" s="284"/>
      <c r="ED77" s="284"/>
      <c r="EE77" s="284"/>
      <c r="EF77" s="284"/>
      <c r="EG77" s="284"/>
      <c r="EH77" s="284"/>
      <c r="EI77" s="284"/>
      <c r="EJ77" s="284"/>
      <c r="EK77" s="284"/>
      <c r="EL77" s="284"/>
      <c r="EM77" s="284"/>
      <c r="EN77" s="284"/>
      <c r="EO77" s="284"/>
      <c r="EP77" s="284"/>
      <c r="EQ77" s="284"/>
      <c r="ER77" s="284"/>
      <c r="ES77" s="284"/>
      <c r="ET77" s="284"/>
      <c r="EU77" s="284"/>
      <c r="EV77" s="284"/>
      <c r="EW77" s="284"/>
      <c r="EX77" s="284"/>
      <c r="EY77" s="284"/>
      <c r="EZ77" s="284"/>
      <c r="FA77" s="284"/>
      <c r="FB77" s="284"/>
      <c r="FC77" s="284"/>
      <c r="FD77" s="284"/>
      <c r="FE77" s="284"/>
      <c r="FF77" s="284"/>
      <c r="FG77" s="284"/>
      <c r="FH77" s="284"/>
      <c r="FI77" s="284"/>
      <c r="FJ77" s="284"/>
      <c r="FK77" s="284"/>
      <c r="FL77" s="284"/>
      <c r="FM77" s="284"/>
      <c r="FN77" s="284"/>
      <c r="FO77" s="284"/>
      <c r="FP77" s="284"/>
      <c r="FQ77" s="284"/>
      <c r="FR77" s="284"/>
      <c r="FS77" s="284"/>
      <c r="FT77" s="284"/>
      <c r="FU77" s="284"/>
      <c r="FV77" s="284"/>
      <c r="FW77" s="284"/>
      <c r="FX77" s="284"/>
      <c r="FY77" s="284"/>
      <c r="FZ77" s="284"/>
      <c r="GA77" s="284"/>
      <c r="GB77" s="284"/>
      <c r="GC77" s="284"/>
      <c r="GD77" s="284"/>
      <c r="GE77" s="284"/>
      <c r="GF77" s="284"/>
      <c r="GG77" s="284"/>
      <c r="GH77" s="284"/>
      <c r="GI77" s="284"/>
      <c r="GJ77" s="284"/>
      <c r="GK77" s="284"/>
      <c r="GL77" s="284"/>
      <c r="GM77" s="284"/>
      <c r="GN77" s="284"/>
      <c r="GO77" s="284"/>
      <c r="GP77" s="284"/>
      <c r="GQ77" s="284"/>
      <c r="GR77" s="284"/>
      <c r="GS77" s="284"/>
      <c r="GT77" s="284"/>
      <c r="GU77" s="284"/>
      <c r="GV77" s="284"/>
      <c r="GW77" s="284"/>
      <c r="GX77" s="284"/>
      <c r="GY77" s="284"/>
      <c r="GZ77" s="284"/>
      <c r="HA77" s="284"/>
      <c r="HB77" s="284"/>
      <c r="HC77" s="284"/>
      <c r="HD77" s="284"/>
      <c r="HE77" s="284"/>
      <c r="HF77" s="284"/>
      <c r="HG77" s="284"/>
      <c r="HH77" s="284"/>
      <c r="HI77" s="284"/>
      <c r="HJ77" s="284"/>
      <c r="HK77" s="284"/>
      <c r="HL77" s="284"/>
      <c r="HM77" s="284"/>
      <c r="HN77" s="284"/>
      <c r="HO77" s="284"/>
      <c r="HP77" s="284"/>
      <c r="HQ77" s="284"/>
      <c r="HR77" s="284"/>
      <c r="HS77" s="284"/>
      <c r="HT77" s="284"/>
      <c r="HU77" s="284"/>
      <c r="HV77" s="284"/>
      <c r="HW77" s="284"/>
      <c r="HX77" s="284"/>
      <c r="HY77" s="284"/>
      <c r="HZ77" s="284"/>
      <c r="IA77" s="284"/>
      <c r="IB77" s="284"/>
      <c r="IC77" s="284"/>
      <c r="ID77" s="284"/>
      <c r="IE77" s="284"/>
      <c r="IF77" s="284"/>
      <c r="IG77" s="284"/>
      <c r="IH77" s="284"/>
      <c r="II77" s="284"/>
      <c r="IJ77" s="284"/>
      <c r="IK77" s="284"/>
      <c r="IL77" s="284"/>
      <c r="IM77" s="284"/>
      <c r="IN77" s="284"/>
      <c r="IO77" s="284"/>
      <c r="IP77" s="284"/>
      <c r="IQ77" s="284"/>
      <c r="IR77" s="284"/>
      <c r="IS77" s="284"/>
      <c r="IT77" s="284"/>
      <c r="IU77" s="284"/>
      <c r="IV77" s="284"/>
      <c r="IW77" s="284"/>
      <c r="IX77" s="284"/>
      <c r="IY77" s="284"/>
      <c r="IZ77" s="284"/>
      <c r="JA77" s="284"/>
      <c r="JB77" s="284"/>
      <c r="JC77" s="284"/>
      <c r="JD77" s="284"/>
      <c r="JE77" s="284"/>
      <c r="JF77" s="284"/>
      <c r="JG77" s="284"/>
      <c r="JH77" s="284"/>
      <c r="JI77" s="284"/>
      <c r="JJ77" s="284"/>
      <c r="JK77" s="284"/>
      <c r="JL77" s="284"/>
      <c r="JM77" s="284"/>
      <c r="JN77" s="284"/>
      <c r="JO77" s="284"/>
      <c r="JP77" s="284"/>
      <c r="JQ77" s="284"/>
      <c r="JR77" s="284"/>
      <c r="JS77" s="284"/>
      <c r="JT77" s="284"/>
      <c r="JU77" s="284"/>
      <c r="JV77" s="284"/>
      <c r="JW77" s="284"/>
      <c r="JX77" s="284"/>
      <c r="JY77" s="284"/>
      <c r="JZ77" s="284"/>
      <c r="KA77" s="284"/>
      <c r="KB77" s="284"/>
      <c r="KC77" s="284"/>
      <c r="KD77" s="284"/>
      <c r="KE77" s="284"/>
      <c r="KF77" s="284"/>
      <c r="KG77" s="284"/>
      <c r="KH77" s="284"/>
      <c r="KI77" s="284"/>
      <c r="KJ77" s="284"/>
      <c r="KK77" s="284"/>
      <c r="KL77" s="284"/>
      <c r="KM77" s="284"/>
      <c r="KN77" s="284"/>
      <c r="KO77" s="284"/>
    </row>
    <row r="78" spans="1:301" s="285" customFormat="1" ht="15">
      <c r="A78" s="260">
        <v>699</v>
      </c>
      <c r="B78" s="374" t="s">
        <v>1040</v>
      </c>
      <c r="C78" s="261" t="s">
        <v>1286</v>
      </c>
      <c r="D78" s="351">
        <v>38657</v>
      </c>
      <c r="E78" s="351">
        <v>38777</v>
      </c>
      <c r="F78" s="284" t="s">
        <v>2117</v>
      </c>
      <c r="G78" s="285" t="s">
        <v>1450</v>
      </c>
      <c r="H78" s="427"/>
      <c r="I78" s="427" t="s">
        <v>2331</v>
      </c>
      <c r="J78" s="298">
        <v>5000</v>
      </c>
      <c r="K78" s="298"/>
      <c r="L78" s="298">
        <v>111000</v>
      </c>
      <c r="M78" s="298">
        <v>107344.69</v>
      </c>
      <c r="N78" s="256">
        <f>M78/J78</f>
        <v>21.468938000000001</v>
      </c>
      <c r="O78" s="298"/>
      <c r="P78" s="298"/>
      <c r="Q78" s="298"/>
      <c r="R78" s="298"/>
      <c r="S78" s="318" t="s">
        <v>233</v>
      </c>
      <c r="T78" s="298"/>
      <c r="U78" s="298"/>
      <c r="V78" s="298"/>
      <c r="W78" s="298"/>
      <c r="X78" s="256"/>
      <c r="Y78" s="298"/>
      <c r="Z78" s="298"/>
      <c r="AA78" s="298"/>
      <c r="AB78" s="298"/>
      <c r="AC78" s="298"/>
      <c r="AD78" s="298"/>
      <c r="AE78" s="298"/>
      <c r="AF78" s="298"/>
      <c r="AG78" s="298"/>
      <c r="AH78" s="298"/>
      <c r="AI78" s="298"/>
      <c r="AJ78" s="301">
        <f t="shared" si="9"/>
        <v>0</v>
      </c>
      <c r="AK78" s="298"/>
      <c r="AL78" s="298"/>
      <c r="AM78" s="298"/>
      <c r="AN78" s="374"/>
      <c r="AO78" s="374"/>
      <c r="AP78" s="374"/>
      <c r="AQ78" s="374"/>
      <c r="AR78" s="374"/>
      <c r="AS78" s="374"/>
      <c r="AT78" s="374"/>
      <c r="AU78" s="374"/>
      <c r="AV78" s="282" t="s">
        <v>2118</v>
      </c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4"/>
      <c r="BJ78" s="284"/>
      <c r="BK78" s="284"/>
      <c r="BL78" s="284"/>
      <c r="BM78" s="284"/>
      <c r="BN78" s="284"/>
      <c r="BO78" s="284"/>
      <c r="BP78" s="284"/>
      <c r="BQ78" s="284"/>
      <c r="BR78" s="284"/>
      <c r="BS78" s="284"/>
      <c r="BT78" s="284"/>
      <c r="BU78" s="284"/>
      <c r="BV78" s="284"/>
      <c r="BW78" s="284"/>
      <c r="BX78" s="284"/>
      <c r="BY78" s="284"/>
      <c r="BZ78" s="284"/>
      <c r="CA78" s="284"/>
      <c r="CB78" s="284"/>
      <c r="CC78" s="284"/>
      <c r="CD78" s="284"/>
      <c r="CE78" s="284"/>
      <c r="CF78" s="284"/>
      <c r="CG78" s="284"/>
      <c r="CH78" s="284"/>
      <c r="CI78" s="284"/>
      <c r="CJ78" s="284"/>
      <c r="CK78" s="284"/>
      <c r="CL78" s="284"/>
      <c r="CM78" s="284"/>
      <c r="CN78" s="284"/>
      <c r="CO78" s="284"/>
      <c r="CP78" s="284"/>
      <c r="CQ78" s="284"/>
      <c r="CR78" s="284"/>
      <c r="CS78" s="284"/>
      <c r="CT78" s="284"/>
      <c r="CU78" s="284"/>
      <c r="CV78" s="284"/>
      <c r="CW78" s="284"/>
      <c r="CX78" s="284"/>
      <c r="CY78" s="284"/>
      <c r="CZ78" s="284"/>
      <c r="DA78" s="284"/>
      <c r="DB78" s="284"/>
      <c r="DC78" s="284"/>
      <c r="DD78" s="284"/>
      <c r="DE78" s="284"/>
      <c r="DF78" s="284"/>
      <c r="DG78" s="284"/>
      <c r="DH78" s="284"/>
      <c r="DI78" s="284"/>
      <c r="DJ78" s="284"/>
      <c r="DK78" s="284"/>
      <c r="DL78" s="284"/>
      <c r="DM78" s="284"/>
      <c r="DN78" s="284"/>
      <c r="DO78" s="284"/>
      <c r="DP78" s="284"/>
      <c r="DQ78" s="284"/>
      <c r="DR78" s="284"/>
      <c r="DS78" s="284"/>
      <c r="DT78" s="284"/>
      <c r="DU78" s="284"/>
      <c r="DV78" s="284"/>
      <c r="DW78" s="284"/>
      <c r="DX78" s="284"/>
      <c r="DY78" s="284"/>
      <c r="DZ78" s="284"/>
      <c r="EA78" s="284"/>
      <c r="EB78" s="284"/>
      <c r="EC78" s="284"/>
      <c r="ED78" s="284"/>
      <c r="EE78" s="284"/>
      <c r="EF78" s="284"/>
      <c r="EG78" s="284"/>
      <c r="EH78" s="284"/>
      <c r="EI78" s="284"/>
      <c r="EJ78" s="284"/>
      <c r="EK78" s="284"/>
      <c r="EL78" s="284"/>
      <c r="EM78" s="284"/>
      <c r="EN78" s="284"/>
      <c r="EO78" s="284"/>
      <c r="EP78" s="284"/>
      <c r="EQ78" s="284"/>
      <c r="ER78" s="284"/>
      <c r="ES78" s="284"/>
      <c r="ET78" s="284"/>
      <c r="EU78" s="284"/>
      <c r="EV78" s="284"/>
      <c r="EW78" s="284"/>
      <c r="EX78" s="284"/>
      <c r="EY78" s="284"/>
      <c r="EZ78" s="284"/>
      <c r="FA78" s="284"/>
      <c r="FB78" s="284"/>
      <c r="FC78" s="284"/>
      <c r="FD78" s="284"/>
      <c r="FE78" s="284"/>
      <c r="FF78" s="284"/>
      <c r="FG78" s="284"/>
      <c r="FH78" s="284"/>
      <c r="FI78" s="284"/>
      <c r="FJ78" s="284"/>
      <c r="FK78" s="284"/>
      <c r="FL78" s="284"/>
      <c r="FM78" s="284"/>
      <c r="FN78" s="284"/>
      <c r="FO78" s="284"/>
      <c r="FP78" s="284"/>
      <c r="FQ78" s="284"/>
      <c r="FR78" s="284"/>
      <c r="FS78" s="284"/>
      <c r="FT78" s="284"/>
      <c r="FU78" s="284"/>
      <c r="FV78" s="284"/>
      <c r="FW78" s="284"/>
      <c r="FX78" s="284"/>
      <c r="FY78" s="284"/>
      <c r="FZ78" s="284"/>
      <c r="GA78" s="284"/>
      <c r="GB78" s="284"/>
      <c r="GC78" s="284"/>
      <c r="GD78" s="284"/>
      <c r="GE78" s="284"/>
      <c r="GF78" s="284"/>
      <c r="GG78" s="284"/>
      <c r="GH78" s="284"/>
      <c r="GI78" s="284"/>
      <c r="GJ78" s="284"/>
      <c r="GK78" s="284"/>
      <c r="GL78" s="284"/>
      <c r="GM78" s="284"/>
      <c r="GN78" s="284"/>
      <c r="GO78" s="284"/>
      <c r="GP78" s="284"/>
      <c r="GQ78" s="284"/>
      <c r="GR78" s="284"/>
      <c r="GS78" s="284"/>
      <c r="GT78" s="284"/>
      <c r="GU78" s="284"/>
      <c r="GV78" s="284"/>
      <c r="GW78" s="284"/>
      <c r="GX78" s="284"/>
      <c r="GY78" s="284"/>
      <c r="GZ78" s="284"/>
      <c r="HA78" s="284"/>
      <c r="HB78" s="284"/>
      <c r="HC78" s="284"/>
      <c r="HD78" s="284"/>
      <c r="HE78" s="284"/>
      <c r="HF78" s="284"/>
      <c r="HG78" s="284"/>
      <c r="HH78" s="284"/>
      <c r="HI78" s="284"/>
      <c r="HJ78" s="284"/>
      <c r="HK78" s="284"/>
      <c r="HL78" s="284"/>
      <c r="HM78" s="284"/>
      <c r="HN78" s="284"/>
      <c r="HO78" s="284"/>
      <c r="HP78" s="284"/>
      <c r="HQ78" s="284"/>
      <c r="HR78" s="284"/>
      <c r="HS78" s="284"/>
      <c r="HT78" s="284"/>
      <c r="HU78" s="284"/>
      <c r="HV78" s="284"/>
      <c r="HW78" s="284"/>
      <c r="HX78" s="284"/>
      <c r="HY78" s="284"/>
      <c r="HZ78" s="284"/>
      <c r="IA78" s="284"/>
      <c r="IB78" s="284"/>
      <c r="IC78" s="284"/>
      <c r="ID78" s="284"/>
      <c r="IE78" s="284"/>
      <c r="IF78" s="284"/>
      <c r="IG78" s="284"/>
      <c r="IH78" s="284"/>
      <c r="II78" s="284"/>
      <c r="IJ78" s="284"/>
      <c r="IK78" s="284"/>
      <c r="IL78" s="284"/>
      <c r="IM78" s="284"/>
      <c r="IN78" s="284"/>
      <c r="IO78" s="284"/>
      <c r="IP78" s="284"/>
      <c r="IQ78" s="284"/>
      <c r="IR78" s="284"/>
      <c r="IS78" s="284"/>
      <c r="IT78" s="284"/>
      <c r="IU78" s="284"/>
      <c r="IV78" s="284"/>
      <c r="IW78" s="284"/>
      <c r="IX78" s="284"/>
      <c r="IY78" s="284"/>
      <c r="IZ78" s="284"/>
      <c r="JA78" s="284"/>
      <c r="JB78" s="284"/>
      <c r="JC78" s="284"/>
      <c r="JD78" s="284"/>
      <c r="JE78" s="284"/>
      <c r="JF78" s="284"/>
      <c r="JG78" s="284"/>
      <c r="JH78" s="284"/>
      <c r="JI78" s="284"/>
      <c r="JJ78" s="284"/>
      <c r="JK78" s="284"/>
      <c r="JL78" s="284"/>
      <c r="JM78" s="284"/>
      <c r="JN78" s="284"/>
      <c r="JO78" s="284"/>
      <c r="JP78" s="284"/>
      <c r="JQ78" s="284"/>
      <c r="JR78" s="284"/>
      <c r="JS78" s="284"/>
      <c r="JT78" s="284"/>
      <c r="JU78" s="284"/>
      <c r="JV78" s="284"/>
      <c r="JW78" s="284"/>
      <c r="JX78" s="284"/>
      <c r="JY78" s="284"/>
      <c r="JZ78" s="284"/>
      <c r="KA78" s="284"/>
      <c r="KB78" s="284"/>
      <c r="KC78" s="284"/>
      <c r="KD78" s="284"/>
      <c r="KE78" s="284"/>
      <c r="KF78" s="284"/>
      <c r="KG78" s="284"/>
      <c r="KH78" s="284"/>
      <c r="KI78" s="284"/>
      <c r="KJ78" s="284"/>
      <c r="KK78" s="284"/>
      <c r="KL78" s="284"/>
      <c r="KM78" s="284"/>
      <c r="KN78" s="284"/>
      <c r="KO78" s="284"/>
    </row>
    <row r="79" spans="1:301" s="285" customFormat="1" ht="15">
      <c r="A79" s="260">
        <v>700</v>
      </c>
      <c r="B79" s="374" t="s">
        <v>2129</v>
      </c>
      <c r="C79" s="261" t="s">
        <v>1286</v>
      </c>
      <c r="D79" s="351">
        <v>38626</v>
      </c>
      <c r="E79" s="351">
        <v>38687</v>
      </c>
      <c r="F79" s="285" t="s">
        <v>2128</v>
      </c>
      <c r="G79" s="285" t="s">
        <v>1450</v>
      </c>
      <c r="H79" s="427" t="s">
        <v>2147</v>
      </c>
      <c r="I79" s="259" t="s">
        <v>2440</v>
      </c>
      <c r="J79" s="298">
        <v>400000</v>
      </c>
      <c r="K79" s="298"/>
      <c r="L79" s="298"/>
      <c r="M79" s="298">
        <v>20482.12</v>
      </c>
      <c r="N79" s="256">
        <f>M79/J79</f>
        <v>5.1205299999999995E-2</v>
      </c>
      <c r="O79" s="298"/>
      <c r="P79" s="298"/>
      <c r="Q79" s="298"/>
      <c r="R79" s="298"/>
      <c r="S79" s="318" t="s">
        <v>233</v>
      </c>
      <c r="T79" s="298"/>
      <c r="U79" s="298"/>
      <c r="V79" s="298"/>
      <c r="W79" s="298"/>
      <c r="X79" s="256"/>
      <c r="Y79" s="298"/>
      <c r="Z79" s="298">
        <v>455000</v>
      </c>
      <c r="AA79" s="298"/>
      <c r="AB79" s="298"/>
      <c r="AC79" s="298"/>
      <c r="AD79" s="298"/>
      <c r="AE79" s="298"/>
      <c r="AF79" s="298"/>
      <c r="AG79" s="298"/>
      <c r="AH79" s="298"/>
      <c r="AI79" s="298"/>
      <c r="AJ79" s="301">
        <f t="shared" si="9"/>
        <v>455000</v>
      </c>
      <c r="AK79" s="298"/>
      <c r="AL79" s="298"/>
      <c r="AM79" s="298"/>
      <c r="AN79" s="374"/>
      <c r="AO79" s="374"/>
      <c r="AP79" s="374"/>
      <c r="AQ79" s="374"/>
      <c r="AR79" s="374"/>
      <c r="AS79" s="374"/>
      <c r="AT79" s="374"/>
      <c r="AU79" s="374"/>
      <c r="AV79" s="282" t="s">
        <v>2105</v>
      </c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4"/>
      <c r="BJ79" s="284"/>
      <c r="BK79" s="284"/>
      <c r="BL79" s="284"/>
      <c r="BM79" s="284"/>
      <c r="BN79" s="284"/>
      <c r="BO79" s="284"/>
      <c r="BP79" s="284"/>
      <c r="BQ79" s="284"/>
      <c r="BR79" s="284"/>
      <c r="BS79" s="284"/>
      <c r="BT79" s="284"/>
      <c r="BU79" s="284"/>
      <c r="BV79" s="284"/>
      <c r="BW79" s="284"/>
      <c r="BX79" s="284"/>
      <c r="BY79" s="284"/>
      <c r="BZ79" s="284"/>
      <c r="CA79" s="284"/>
      <c r="CB79" s="284"/>
      <c r="CC79" s="284"/>
      <c r="CD79" s="284"/>
      <c r="CE79" s="284"/>
      <c r="CF79" s="284"/>
      <c r="CG79" s="284"/>
      <c r="CH79" s="284"/>
      <c r="CI79" s="284"/>
      <c r="CJ79" s="284"/>
      <c r="CK79" s="284"/>
      <c r="CL79" s="284"/>
      <c r="CM79" s="284"/>
      <c r="CN79" s="284"/>
      <c r="CO79" s="284"/>
      <c r="CP79" s="284"/>
      <c r="CQ79" s="284"/>
      <c r="CR79" s="284"/>
      <c r="CS79" s="284"/>
      <c r="CT79" s="284"/>
      <c r="CU79" s="284"/>
      <c r="CV79" s="284"/>
      <c r="CW79" s="284"/>
      <c r="CX79" s="284"/>
      <c r="CY79" s="284"/>
      <c r="CZ79" s="284"/>
      <c r="DA79" s="284"/>
      <c r="DB79" s="284"/>
      <c r="DC79" s="284"/>
      <c r="DD79" s="284"/>
      <c r="DE79" s="284"/>
      <c r="DF79" s="284"/>
      <c r="DG79" s="284"/>
      <c r="DH79" s="284"/>
      <c r="DI79" s="284"/>
      <c r="DJ79" s="284"/>
      <c r="DK79" s="284"/>
      <c r="DL79" s="284"/>
      <c r="DM79" s="284"/>
      <c r="DN79" s="284"/>
      <c r="DO79" s="284"/>
      <c r="DP79" s="284"/>
      <c r="DQ79" s="284"/>
      <c r="DR79" s="284"/>
      <c r="DS79" s="284"/>
      <c r="DT79" s="284"/>
      <c r="DU79" s="284"/>
      <c r="DV79" s="284"/>
      <c r="DW79" s="284"/>
      <c r="DX79" s="284"/>
      <c r="DY79" s="284"/>
      <c r="DZ79" s="284"/>
      <c r="EA79" s="284"/>
      <c r="EB79" s="284"/>
      <c r="EC79" s="284"/>
      <c r="ED79" s="284"/>
      <c r="EE79" s="284"/>
      <c r="EF79" s="284"/>
      <c r="EG79" s="284"/>
      <c r="EH79" s="284"/>
      <c r="EI79" s="284"/>
      <c r="EJ79" s="284"/>
      <c r="EK79" s="284"/>
      <c r="EL79" s="284"/>
      <c r="EM79" s="284"/>
      <c r="EN79" s="284"/>
      <c r="EO79" s="284"/>
      <c r="EP79" s="284"/>
      <c r="EQ79" s="284"/>
      <c r="ER79" s="284"/>
      <c r="ES79" s="284"/>
      <c r="ET79" s="284"/>
      <c r="EU79" s="284"/>
      <c r="EV79" s="284"/>
      <c r="EW79" s="284"/>
      <c r="EX79" s="284"/>
      <c r="EY79" s="284"/>
      <c r="EZ79" s="284"/>
      <c r="FA79" s="284"/>
      <c r="FB79" s="284"/>
      <c r="FC79" s="284"/>
      <c r="FD79" s="284"/>
      <c r="FE79" s="284"/>
      <c r="FF79" s="284"/>
      <c r="FG79" s="284"/>
      <c r="FH79" s="284"/>
      <c r="FI79" s="284"/>
      <c r="FJ79" s="284"/>
      <c r="FK79" s="284"/>
      <c r="FL79" s="284"/>
      <c r="FM79" s="284"/>
      <c r="FN79" s="284"/>
      <c r="FO79" s="284"/>
      <c r="FP79" s="284"/>
      <c r="FQ79" s="284"/>
      <c r="FR79" s="284"/>
      <c r="FS79" s="284"/>
      <c r="FT79" s="284"/>
      <c r="FU79" s="284"/>
      <c r="FV79" s="284"/>
      <c r="FW79" s="284"/>
      <c r="FX79" s="284"/>
      <c r="FY79" s="284"/>
      <c r="FZ79" s="284"/>
      <c r="GA79" s="284"/>
      <c r="GB79" s="284"/>
      <c r="GC79" s="284"/>
      <c r="GD79" s="284"/>
      <c r="GE79" s="284"/>
      <c r="GF79" s="284"/>
      <c r="GG79" s="284"/>
      <c r="GH79" s="284"/>
      <c r="GI79" s="284"/>
      <c r="GJ79" s="284"/>
      <c r="GK79" s="284"/>
      <c r="GL79" s="284"/>
      <c r="GM79" s="284"/>
      <c r="GN79" s="284"/>
      <c r="GO79" s="284"/>
      <c r="GP79" s="284"/>
      <c r="GQ79" s="284"/>
      <c r="GR79" s="284"/>
      <c r="GS79" s="284"/>
      <c r="GT79" s="284"/>
      <c r="GU79" s="284"/>
      <c r="GV79" s="284"/>
      <c r="GW79" s="284"/>
      <c r="GX79" s="284"/>
      <c r="GY79" s="284"/>
      <c r="GZ79" s="284"/>
      <c r="HA79" s="284"/>
      <c r="HB79" s="284"/>
      <c r="HC79" s="284"/>
      <c r="HD79" s="284"/>
      <c r="HE79" s="284"/>
      <c r="HF79" s="284"/>
      <c r="HG79" s="284"/>
      <c r="HH79" s="284"/>
      <c r="HI79" s="284"/>
      <c r="HJ79" s="284"/>
      <c r="HK79" s="284"/>
      <c r="HL79" s="284"/>
      <c r="HM79" s="284"/>
      <c r="HN79" s="284"/>
      <c r="HO79" s="284"/>
      <c r="HP79" s="284"/>
      <c r="HQ79" s="284"/>
      <c r="HR79" s="284"/>
      <c r="HS79" s="284"/>
      <c r="HT79" s="284"/>
      <c r="HU79" s="284"/>
      <c r="HV79" s="284"/>
      <c r="HW79" s="284"/>
      <c r="HX79" s="284"/>
      <c r="HY79" s="284"/>
      <c r="HZ79" s="284"/>
      <c r="IA79" s="284"/>
      <c r="IB79" s="284"/>
      <c r="IC79" s="284"/>
      <c r="ID79" s="284"/>
      <c r="IE79" s="284"/>
      <c r="IF79" s="284"/>
      <c r="IG79" s="284"/>
      <c r="IH79" s="284"/>
      <c r="II79" s="284"/>
      <c r="IJ79" s="284"/>
      <c r="IK79" s="284"/>
      <c r="IL79" s="284"/>
      <c r="IM79" s="284"/>
      <c r="IN79" s="284"/>
      <c r="IO79" s="284"/>
      <c r="IP79" s="284"/>
      <c r="IQ79" s="284"/>
      <c r="IR79" s="284"/>
      <c r="IS79" s="284"/>
      <c r="IT79" s="284"/>
      <c r="IU79" s="284"/>
      <c r="IV79" s="284"/>
      <c r="IW79" s="284"/>
      <c r="IX79" s="284"/>
      <c r="IY79" s="284"/>
      <c r="IZ79" s="284"/>
      <c r="JA79" s="284"/>
      <c r="JB79" s="284"/>
      <c r="JC79" s="284"/>
      <c r="JD79" s="284"/>
      <c r="JE79" s="284"/>
      <c r="JF79" s="284"/>
      <c r="JG79" s="284"/>
      <c r="JH79" s="284"/>
      <c r="JI79" s="284"/>
      <c r="JJ79" s="284"/>
      <c r="JK79" s="284"/>
      <c r="JL79" s="284"/>
      <c r="JM79" s="284"/>
      <c r="JN79" s="284"/>
      <c r="JO79" s="284"/>
      <c r="JP79" s="284"/>
      <c r="JQ79" s="284"/>
      <c r="JR79" s="284"/>
      <c r="JS79" s="284"/>
      <c r="JT79" s="284"/>
      <c r="JU79" s="284"/>
      <c r="JV79" s="284"/>
      <c r="JW79" s="284"/>
      <c r="JX79" s="284"/>
      <c r="JY79" s="284"/>
      <c r="JZ79" s="284"/>
      <c r="KA79" s="284"/>
      <c r="KB79" s="284"/>
      <c r="KC79" s="284"/>
      <c r="KD79" s="284"/>
      <c r="KE79" s="284"/>
      <c r="KF79" s="284"/>
      <c r="KG79" s="284"/>
      <c r="KH79" s="284"/>
      <c r="KI79" s="284"/>
      <c r="KJ79" s="284"/>
      <c r="KK79" s="284"/>
      <c r="KL79" s="284"/>
      <c r="KM79" s="284"/>
      <c r="KN79" s="284"/>
      <c r="KO79" s="284"/>
    </row>
    <row r="80" spans="1:301" s="436" customFormat="1" ht="26.25">
      <c r="A80" s="260">
        <v>701</v>
      </c>
      <c r="B80" s="435" t="s">
        <v>143</v>
      </c>
      <c r="C80" s="435" t="s">
        <v>1299</v>
      </c>
      <c r="D80" s="487">
        <v>38412</v>
      </c>
      <c r="E80" s="487">
        <v>38534</v>
      </c>
      <c r="F80" s="436" t="s">
        <v>168</v>
      </c>
      <c r="G80" s="436" t="s">
        <v>2096</v>
      </c>
      <c r="H80" s="437" t="s">
        <v>2163</v>
      </c>
      <c r="I80" s="419" t="s">
        <v>2441</v>
      </c>
      <c r="J80" s="439"/>
      <c r="K80" s="439"/>
      <c r="L80" s="439"/>
      <c r="M80" s="439">
        <v>17040</v>
      </c>
      <c r="N80" s="256"/>
      <c r="O80" s="439"/>
      <c r="P80" s="439"/>
      <c r="Q80" s="439"/>
      <c r="R80" s="439"/>
      <c r="S80" s="318" t="s">
        <v>233</v>
      </c>
      <c r="T80" s="439"/>
      <c r="U80" s="439"/>
      <c r="V80" s="439"/>
      <c r="W80" s="439"/>
      <c r="X80" s="256"/>
      <c r="Y80" s="439"/>
      <c r="Z80" s="439"/>
      <c r="AA80" s="439"/>
      <c r="AB80" s="439"/>
      <c r="AC80" s="439"/>
      <c r="AD80" s="439"/>
      <c r="AE80" s="439"/>
      <c r="AF80" s="439"/>
      <c r="AG80" s="439"/>
      <c r="AH80" s="439"/>
      <c r="AI80" s="439"/>
      <c r="AJ80" s="301">
        <f t="shared" si="9"/>
        <v>0</v>
      </c>
      <c r="AK80" s="439"/>
      <c r="AL80" s="439"/>
      <c r="AM80" s="439"/>
      <c r="AN80" s="489"/>
      <c r="AO80" s="489"/>
      <c r="AP80" s="489"/>
      <c r="AQ80" s="489"/>
      <c r="AR80" s="489"/>
      <c r="AS80" s="489"/>
      <c r="AT80" s="489"/>
      <c r="AU80" s="489"/>
      <c r="AW80" s="284"/>
      <c r="AX80" s="284"/>
      <c r="AY80" s="284"/>
      <c r="AZ80" s="284"/>
      <c r="BA80" s="284"/>
      <c r="BB80" s="284"/>
      <c r="BC80" s="284"/>
      <c r="BD80" s="284"/>
      <c r="BE80" s="284"/>
      <c r="BF80" s="284"/>
      <c r="BG80" s="284"/>
      <c r="BH80" s="284"/>
      <c r="BI80" s="284"/>
      <c r="BJ80" s="284"/>
      <c r="BK80" s="284"/>
      <c r="BL80" s="284"/>
      <c r="BM80" s="284"/>
      <c r="BN80" s="284"/>
      <c r="BO80" s="284"/>
      <c r="BP80" s="284"/>
      <c r="BQ80" s="284"/>
      <c r="BR80" s="284"/>
      <c r="BS80" s="284"/>
      <c r="BT80" s="284"/>
      <c r="BU80" s="284"/>
      <c r="BV80" s="284"/>
      <c r="BW80" s="284"/>
      <c r="BX80" s="284"/>
      <c r="BY80" s="284"/>
      <c r="BZ80" s="284"/>
      <c r="CA80" s="284"/>
      <c r="CB80" s="284"/>
      <c r="CC80" s="284"/>
      <c r="CD80" s="284"/>
      <c r="CE80" s="284"/>
      <c r="CF80" s="284"/>
      <c r="CG80" s="284"/>
      <c r="CH80" s="284"/>
      <c r="CI80" s="284"/>
      <c r="CJ80" s="284"/>
      <c r="CK80" s="284"/>
      <c r="CL80" s="284"/>
      <c r="CM80" s="284"/>
      <c r="CN80" s="284"/>
      <c r="CO80" s="284"/>
      <c r="CP80" s="284"/>
      <c r="CQ80" s="284"/>
      <c r="CR80" s="284"/>
      <c r="CS80" s="284"/>
      <c r="CT80" s="284"/>
      <c r="CU80" s="284"/>
      <c r="CV80" s="284"/>
      <c r="CW80" s="284"/>
      <c r="CX80" s="284"/>
      <c r="CY80" s="284"/>
      <c r="CZ80" s="284"/>
      <c r="DA80" s="284"/>
      <c r="DB80" s="284"/>
      <c r="DC80" s="284"/>
      <c r="DD80" s="284"/>
      <c r="DE80" s="284"/>
      <c r="DF80" s="284"/>
      <c r="DG80" s="284"/>
      <c r="DH80" s="284"/>
      <c r="DI80" s="284"/>
      <c r="DJ80" s="284"/>
      <c r="DK80" s="284"/>
      <c r="DL80" s="284"/>
      <c r="DM80" s="284"/>
      <c r="DN80" s="284"/>
      <c r="DO80" s="284"/>
      <c r="DP80" s="284"/>
      <c r="DQ80" s="284"/>
      <c r="DR80" s="284"/>
      <c r="DS80" s="284"/>
      <c r="DT80" s="284"/>
      <c r="DU80" s="284"/>
      <c r="DV80" s="284"/>
      <c r="DW80" s="284"/>
      <c r="DX80" s="284"/>
      <c r="DY80" s="284"/>
      <c r="DZ80" s="284"/>
      <c r="EA80" s="284"/>
      <c r="EB80" s="284"/>
      <c r="EC80" s="284"/>
      <c r="ED80" s="284"/>
      <c r="EE80" s="284"/>
      <c r="EF80" s="284"/>
      <c r="EG80" s="284"/>
      <c r="EH80" s="284"/>
      <c r="EI80" s="284"/>
      <c r="EJ80" s="284"/>
      <c r="EK80" s="284"/>
      <c r="EL80" s="284"/>
      <c r="EM80" s="284"/>
      <c r="EN80" s="284"/>
      <c r="EO80" s="284"/>
      <c r="EP80" s="284"/>
      <c r="EQ80" s="284"/>
      <c r="ER80" s="284"/>
      <c r="ES80" s="284"/>
      <c r="ET80" s="284"/>
      <c r="EU80" s="284"/>
      <c r="EV80" s="284"/>
      <c r="EW80" s="284"/>
      <c r="EX80" s="284"/>
      <c r="EY80" s="284"/>
      <c r="EZ80" s="284"/>
      <c r="FA80" s="284"/>
      <c r="FB80" s="284"/>
      <c r="FC80" s="284"/>
      <c r="FD80" s="284"/>
      <c r="FE80" s="284"/>
      <c r="FF80" s="284"/>
      <c r="FG80" s="284"/>
      <c r="FH80" s="284"/>
      <c r="FI80" s="284"/>
      <c r="FJ80" s="284"/>
      <c r="FK80" s="284"/>
      <c r="FL80" s="284"/>
      <c r="FM80" s="284"/>
      <c r="FN80" s="284"/>
      <c r="FO80" s="284"/>
      <c r="FP80" s="284"/>
      <c r="FQ80" s="284"/>
      <c r="FR80" s="284"/>
      <c r="FS80" s="284"/>
      <c r="FT80" s="284"/>
      <c r="FU80" s="284"/>
      <c r="FV80" s="284"/>
      <c r="FW80" s="284"/>
      <c r="FX80" s="284"/>
      <c r="FY80" s="284"/>
      <c r="FZ80" s="284"/>
      <c r="GA80" s="284"/>
      <c r="GB80" s="284"/>
      <c r="GC80" s="284"/>
      <c r="GD80" s="284"/>
      <c r="GE80" s="284"/>
      <c r="GF80" s="284"/>
      <c r="GG80" s="284"/>
      <c r="GH80" s="284"/>
      <c r="GI80" s="284"/>
      <c r="GJ80" s="284"/>
      <c r="GK80" s="284"/>
      <c r="GL80" s="284"/>
      <c r="GM80" s="284"/>
      <c r="GN80" s="284"/>
      <c r="GO80" s="284"/>
      <c r="GP80" s="284"/>
      <c r="GQ80" s="284"/>
      <c r="GR80" s="284"/>
      <c r="GS80" s="284"/>
      <c r="GT80" s="284"/>
      <c r="GU80" s="284"/>
      <c r="GV80" s="284"/>
      <c r="GW80" s="284"/>
      <c r="GX80" s="284"/>
      <c r="GY80" s="284"/>
      <c r="GZ80" s="284"/>
      <c r="HA80" s="284"/>
      <c r="HB80" s="284"/>
      <c r="HC80" s="284"/>
      <c r="HD80" s="284"/>
      <c r="HE80" s="284"/>
      <c r="HF80" s="284"/>
      <c r="HG80" s="284"/>
      <c r="HH80" s="284"/>
      <c r="HI80" s="284"/>
      <c r="HJ80" s="284"/>
      <c r="HK80" s="284"/>
      <c r="HL80" s="284"/>
      <c r="HM80" s="284"/>
      <c r="HN80" s="284"/>
      <c r="HO80" s="284"/>
      <c r="HP80" s="284"/>
      <c r="HQ80" s="284"/>
      <c r="HR80" s="284"/>
      <c r="HS80" s="284"/>
      <c r="HT80" s="284"/>
      <c r="HU80" s="284"/>
      <c r="HV80" s="284"/>
      <c r="HW80" s="284"/>
      <c r="HX80" s="284"/>
      <c r="HY80" s="284"/>
      <c r="HZ80" s="284"/>
      <c r="IA80" s="284"/>
      <c r="IB80" s="284"/>
      <c r="IC80" s="284"/>
      <c r="ID80" s="284"/>
      <c r="IE80" s="284"/>
      <c r="IF80" s="284"/>
      <c r="IG80" s="284"/>
      <c r="IH80" s="284"/>
      <c r="II80" s="284"/>
      <c r="IJ80" s="284"/>
      <c r="IK80" s="284"/>
      <c r="IL80" s="284"/>
      <c r="IM80" s="284"/>
      <c r="IN80" s="284"/>
      <c r="IO80" s="284"/>
      <c r="IP80" s="284"/>
      <c r="IQ80" s="284"/>
      <c r="IR80" s="284"/>
      <c r="IS80" s="284"/>
      <c r="IT80" s="284"/>
      <c r="IU80" s="284"/>
      <c r="IV80" s="284"/>
      <c r="IW80" s="284"/>
      <c r="IX80" s="284"/>
      <c r="IY80" s="284"/>
      <c r="IZ80" s="284"/>
      <c r="JA80" s="284"/>
      <c r="JB80" s="284"/>
      <c r="JC80" s="284"/>
      <c r="JD80" s="284"/>
      <c r="JE80" s="284"/>
      <c r="JF80" s="284"/>
      <c r="JG80" s="284"/>
      <c r="JH80" s="284"/>
      <c r="JI80" s="284"/>
      <c r="JJ80" s="284"/>
      <c r="JK80" s="284"/>
      <c r="JL80" s="284"/>
      <c r="JM80" s="284"/>
      <c r="JN80" s="284"/>
      <c r="JO80" s="284"/>
      <c r="JP80" s="284"/>
      <c r="JQ80" s="284"/>
      <c r="JR80" s="284"/>
      <c r="JS80" s="284"/>
      <c r="JT80" s="284"/>
      <c r="JU80" s="284"/>
      <c r="JV80" s="284"/>
      <c r="JW80" s="284"/>
      <c r="JX80" s="284"/>
      <c r="JY80" s="284"/>
      <c r="JZ80" s="284"/>
      <c r="KA80" s="284"/>
      <c r="KB80" s="284"/>
      <c r="KC80" s="284"/>
      <c r="KD80" s="284"/>
      <c r="KE80" s="284"/>
      <c r="KF80" s="284"/>
      <c r="KG80" s="284"/>
      <c r="KH80" s="284"/>
      <c r="KI80" s="284"/>
      <c r="KJ80" s="284"/>
      <c r="KK80" s="284"/>
      <c r="KL80" s="284"/>
      <c r="KM80" s="284"/>
      <c r="KN80" s="284"/>
      <c r="KO80" s="284"/>
    </row>
    <row r="81" spans="1:301" s="436" customFormat="1" ht="26.25">
      <c r="A81" s="260">
        <v>702</v>
      </c>
      <c r="B81" s="435" t="s">
        <v>2151</v>
      </c>
      <c r="C81" s="435" t="s">
        <v>1261</v>
      </c>
      <c r="D81" s="487">
        <v>38443</v>
      </c>
      <c r="E81" s="487">
        <v>38535</v>
      </c>
      <c r="F81" s="436" t="s">
        <v>2150</v>
      </c>
      <c r="H81" s="437" t="s">
        <v>2165</v>
      </c>
      <c r="I81" s="419" t="s">
        <v>2441</v>
      </c>
      <c r="J81" s="439"/>
      <c r="K81" s="439"/>
      <c r="L81" s="439"/>
      <c r="M81" s="439">
        <v>29000</v>
      </c>
      <c r="N81" s="256"/>
      <c r="O81" s="439"/>
      <c r="P81" s="439"/>
      <c r="Q81" s="439"/>
      <c r="R81" s="439"/>
      <c r="S81" s="318" t="s">
        <v>233</v>
      </c>
      <c r="T81" s="439"/>
      <c r="U81" s="439"/>
      <c r="V81" s="439"/>
      <c r="W81" s="439"/>
      <c r="X81" s="256"/>
      <c r="Y81" s="439"/>
      <c r="Z81" s="439"/>
      <c r="AA81" s="439"/>
      <c r="AB81" s="439"/>
      <c r="AC81" s="439"/>
      <c r="AD81" s="439"/>
      <c r="AE81" s="439"/>
      <c r="AF81" s="439"/>
      <c r="AG81" s="439"/>
      <c r="AH81" s="439"/>
      <c r="AI81" s="439"/>
      <c r="AJ81" s="301">
        <f t="shared" si="9"/>
        <v>0</v>
      </c>
      <c r="AK81" s="439"/>
      <c r="AL81" s="439"/>
      <c r="AM81" s="439"/>
      <c r="AN81" s="489"/>
      <c r="AO81" s="489"/>
      <c r="AP81" s="489"/>
      <c r="AQ81" s="489"/>
      <c r="AR81" s="489"/>
      <c r="AS81" s="489"/>
      <c r="AT81" s="489"/>
      <c r="AU81" s="489"/>
      <c r="AW81" s="284"/>
      <c r="AX81" s="284"/>
      <c r="AY81" s="284"/>
      <c r="AZ81" s="284"/>
      <c r="BA81" s="284"/>
      <c r="BB81" s="284"/>
      <c r="BC81" s="284"/>
      <c r="BD81" s="284"/>
      <c r="BE81" s="284"/>
      <c r="BF81" s="284"/>
      <c r="BG81" s="284"/>
      <c r="BH81" s="284"/>
      <c r="BI81" s="284"/>
      <c r="BJ81" s="284"/>
      <c r="BK81" s="284"/>
      <c r="BL81" s="284"/>
      <c r="BM81" s="284"/>
      <c r="BN81" s="284"/>
      <c r="BO81" s="284"/>
      <c r="BP81" s="284"/>
      <c r="BQ81" s="284"/>
      <c r="BR81" s="284"/>
      <c r="BS81" s="284"/>
      <c r="BT81" s="284"/>
      <c r="BU81" s="284"/>
      <c r="BV81" s="284"/>
      <c r="BW81" s="284"/>
      <c r="BX81" s="284"/>
      <c r="BY81" s="284"/>
      <c r="BZ81" s="284"/>
      <c r="CA81" s="284"/>
      <c r="CB81" s="284"/>
      <c r="CC81" s="284"/>
      <c r="CD81" s="284"/>
      <c r="CE81" s="284"/>
      <c r="CF81" s="284"/>
      <c r="CG81" s="284"/>
      <c r="CH81" s="284"/>
      <c r="CI81" s="284"/>
      <c r="CJ81" s="284"/>
      <c r="CK81" s="284"/>
      <c r="CL81" s="284"/>
      <c r="CM81" s="284"/>
      <c r="CN81" s="284"/>
      <c r="CO81" s="284"/>
      <c r="CP81" s="284"/>
      <c r="CQ81" s="284"/>
      <c r="CR81" s="284"/>
      <c r="CS81" s="284"/>
      <c r="CT81" s="284"/>
      <c r="CU81" s="284"/>
      <c r="CV81" s="284"/>
      <c r="CW81" s="284"/>
      <c r="CX81" s="284"/>
      <c r="CY81" s="284"/>
      <c r="CZ81" s="284"/>
      <c r="DA81" s="284"/>
      <c r="DB81" s="284"/>
      <c r="DC81" s="284"/>
      <c r="DD81" s="284"/>
      <c r="DE81" s="284"/>
      <c r="DF81" s="284"/>
      <c r="DG81" s="284"/>
      <c r="DH81" s="284"/>
      <c r="DI81" s="284"/>
      <c r="DJ81" s="284"/>
      <c r="DK81" s="284"/>
      <c r="DL81" s="284"/>
      <c r="DM81" s="284"/>
      <c r="DN81" s="284"/>
      <c r="DO81" s="284"/>
      <c r="DP81" s="284"/>
      <c r="DQ81" s="284"/>
      <c r="DR81" s="284"/>
      <c r="DS81" s="284"/>
      <c r="DT81" s="284"/>
      <c r="DU81" s="284"/>
      <c r="DV81" s="284"/>
      <c r="DW81" s="284"/>
      <c r="DX81" s="284"/>
      <c r="DY81" s="284"/>
      <c r="DZ81" s="284"/>
      <c r="EA81" s="284"/>
      <c r="EB81" s="284"/>
      <c r="EC81" s="284"/>
      <c r="ED81" s="284"/>
      <c r="EE81" s="284"/>
      <c r="EF81" s="284"/>
      <c r="EG81" s="284"/>
      <c r="EH81" s="284"/>
      <c r="EI81" s="284"/>
      <c r="EJ81" s="284"/>
      <c r="EK81" s="284"/>
      <c r="EL81" s="284"/>
      <c r="EM81" s="284"/>
      <c r="EN81" s="284"/>
      <c r="EO81" s="284"/>
      <c r="EP81" s="284"/>
      <c r="EQ81" s="284"/>
      <c r="ER81" s="284"/>
      <c r="ES81" s="284"/>
      <c r="ET81" s="284"/>
      <c r="EU81" s="284"/>
      <c r="EV81" s="284"/>
      <c r="EW81" s="284"/>
      <c r="EX81" s="284"/>
      <c r="EY81" s="284"/>
      <c r="EZ81" s="284"/>
      <c r="FA81" s="284"/>
      <c r="FB81" s="284"/>
      <c r="FC81" s="284"/>
      <c r="FD81" s="284"/>
      <c r="FE81" s="284"/>
      <c r="FF81" s="284"/>
      <c r="FG81" s="284"/>
      <c r="FH81" s="284"/>
      <c r="FI81" s="284"/>
      <c r="FJ81" s="284"/>
      <c r="FK81" s="284"/>
      <c r="FL81" s="284"/>
      <c r="FM81" s="284"/>
      <c r="FN81" s="284"/>
      <c r="FO81" s="284"/>
      <c r="FP81" s="284"/>
      <c r="FQ81" s="284"/>
      <c r="FR81" s="284"/>
      <c r="FS81" s="284"/>
      <c r="FT81" s="284"/>
      <c r="FU81" s="284"/>
      <c r="FV81" s="284"/>
      <c r="FW81" s="284"/>
      <c r="FX81" s="284"/>
      <c r="FY81" s="284"/>
      <c r="FZ81" s="284"/>
      <c r="GA81" s="284"/>
      <c r="GB81" s="284"/>
      <c r="GC81" s="284"/>
      <c r="GD81" s="284"/>
      <c r="GE81" s="284"/>
      <c r="GF81" s="284"/>
      <c r="GG81" s="284"/>
      <c r="GH81" s="284"/>
      <c r="GI81" s="284"/>
      <c r="GJ81" s="284"/>
      <c r="GK81" s="284"/>
      <c r="GL81" s="284"/>
      <c r="GM81" s="284"/>
      <c r="GN81" s="284"/>
      <c r="GO81" s="284"/>
      <c r="GP81" s="284"/>
      <c r="GQ81" s="284"/>
      <c r="GR81" s="284"/>
      <c r="GS81" s="284"/>
      <c r="GT81" s="284"/>
      <c r="GU81" s="284"/>
      <c r="GV81" s="284"/>
      <c r="GW81" s="284"/>
      <c r="GX81" s="284"/>
      <c r="GY81" s="284"/>
      <c r="GZ81" s="284"/>
      <c r="HA81" s="284"/>
      <c r="HB81" s="284"/>
      <c r="HC81" s="284"/>
      <c r="HD81" s="284"/>
      <c r="HE81" s="284"/>
      <c r="HF81" s="284"/>
      <c r="HG81" s="284"/>
      <c r="HH81" s="284"/>
      <c r="HI81" s="284"/>
      <c r="HJ81" s="284"/>
      <c r="HK81" s="284"/>
      <c r="HL81" s="284"/>
      <c r="HM81" s="284"/>
      <c r="HN81" s="284"/>
      <c r="HO81" s="284"/>
      <c r="HP81" s="284"/>
      <c r="HQ81" s="284"/>
      <c r="HR81" s="284"/>
      <c r="HS81" s="284"/>
      <c r="HT81" s="284"/>
      <c r="HU81" s="284"/>
      <c r="HV81" s="284"/>
      <c r="HW81" s="284"/>
      <c r="HX81" s="284"/>
      <c r="HY81" s="284"/>
      <c r="HZ81" s="284"/>
      <c r="IA81" s="284"/>
      <c r="IB81" s="284"/>
      <c r="IC81" s="284"/>
      <c r="ID81" s="284"/>
      <c r="IE81" s="284"/>
      <c r="IF81" s="284"/>
      <c r="IG81" s="284"/>
      <c r="IH81" s="284"/>
      <c r="II81" s="284"/>
      <c r="IJ81" s="284"/>
      <c r="IK81" s="284"/>
      <c r="IL81" s="284"/>
      <c r="IM81" s="284"/>
      <c r="IN81" s="284"/>
      <c r="IO81" s="284"/>
      <c r="IP81" s="284"/>
      <c r="IQ81" s="284"/>
      <c r="IR81" s="284"/>
      <c r="IS81" s="284"/>
      <c r="IT81" s="284"/>
      <c r="IU81" s="284"/>
      <c r="IV81" s="284"/>
      <c r="IW81" s="284"/>
      <c r="IX81" s="284"/>
      <c r="IY81" s="284"/>
      <c r="IZ81" s="284"/>
      <c r="JA81" s="284"/>
      <c r="JB81" s="284"/>
      <c r="JC81" s="284"/>
      <c r="JD81" s="284"/>
      <c r="JE81" s="284"/>
      <c r="JF81" s="284"/>
      <c r="JG81" s="284"/>
      <c r="JH81" s="284"/>
      <c r="JI81" s="284"/>
      <c r="JJ81" s="284"/>
      <c r="JK81" s="284"/>
      <c r="JL81" s="284"/>
      <c r="JM81" s="284"/>
      <c r="JN81" s="284"/>
      <c r="JO81" s="284"/>
      <c r="JP81" s="284"/>
      <c r="JQ81" s="284"/>
      <c r="JR81" s="284"/>
      <c r="JS81" s="284"/>
      <c r="JT81" s="284"/>
      <c r="JU81" s="284"/>
      <c r="JV81" s="284"/>
      <c r="JW81" s="284"/>
      <c r="JX81" s="284"/>
      <c r="JY81" s="284"/>
      <c r="JZ81" s="284"/>
      <c r="KA81" s="284"/>
      <c r="KB81" s="284"/>
      <c r="KC81" s="284"/>
      <c r="KD81" s="284"/>
      <c r="KE81" s="284"/>
      <c r="KF81" s="284"/>
      <c r="KG81" s="284"/>
      <c r="KH81" s="284"/>
      <c r="KI81" s="284"/>
      <c r="KJ81" s="284"/>
      <c r="KK81" s="284"/>
      <c r="KL81" s="284"/>
      <c r="KM81" s="284"/>
      <c r="KN81" s="284"/>
      <c r="KO81" s="284"/>
    </row>
    <row r="82" spans="1:301" s="285" customFormat="1" ht="15">
      <c r="A82" s="260">
        <v>703</v>
      </c>
      <c r="B82" s="374" t="s">
        <v>2049</v>
      </c>
      <c r="C82" s="261" t="s">
        <v>1286</v>
      </c>
      <c r="D82" s="351">
        <v>38596</v>
      </c>
      <c r="E82" s="351">
        <v>38687</v>
      </c>
      <c r="F82" s="285" t="s">
        <v>2114</v>
      </c>
      <c r="H82" s="427" t="s">
        <v>2146</v>
      </c>
      <c r="I82" s="278" t="s">
        <v>2438</v>
      </c>
      <c r="J82" s="298">
        <f>30000+25000+20000+200000+15000+25000+20000+5000</f>
        <v>340000</v>
      </c>
      <c r="K82" s="298">
        <v>1622621</v>
      </c>
      <c r="L82" s="298">
        <v>726254</v>
      </c>
      <c r="M82" s="298">
        <v>726668</v>
      </c>
      <c r="N82" s="256">
        <f>M82/J82</f>
        <v>2.1372588235294119</v>
      </c>
      <c r="O82" s="298">
        <f>(L82*100)/K82</f>
        <v>44.758079674797749</v>
      </c>
      <c r="P82" s="298"/>
      <c r="Q82" s="298"/>
      <c r="R82" s="298"/>
      <c r="S82" s="318" t="s">
        <v>233</v>
      </c>
      <c r="T82" s="298"/>
      <c r="U82" s="298"/>
      <c r="V82" s="298"/>
      <c r="W82" s="298"/>
      <c r="X82" s="256"/>
      <c r="Y82" s="298"/>
      <c r="Z82" s="298"/>
      <c r="AA82" s="298"/>
      <c r="AB82" s="298" t="s">
        <v>134</v>
      </c>
      <c r="AC82" s="298"/>
      <c r="AD82" s="298"/>
      <c r="AE82" s="298"/>
      <c r="AF82" s="298"/>
      <c r="AG82" s="298"/>
      <c r="AH82" s="298"/>
      <c r="AI82" s="298"/>
      <c r="AJ82" s="301">
        <f t="shared" si="9"/>
        <v>0</v>
      </c>
      <c r="AK82" s="298"/>
      <c r="AL82" s="298"/>
      <c r="AM82" s="298"/>
      <c r="AN82" s="374"/>
      <c r="AO82" s="374"/>
      <c r="AP82" s="374"/>
      <c r="AQ82" s="374"/>
      <c r="AR82" s="374"/>
      <c r="AS82" s="374"/>
      <c r="AT82" s="374"/>
      <c r="AU82" s="374"/>
      <c r="AV82" s="282" t="s">
        <v>2106</v>
      </c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4"/>
      <c r="BJ82" s="284"/>
      <c r="BK82" s="284"/>
      <c r="BL82" s="284"/>
      <c r="BM82" s="284"/>
      <c r="BN82" s="284"/>
      <c r="BO82" s="284"/>
      <c r="BP82" s="284"/>
      <c r="BQ82" s="284"/>
      <c r="BR82" s="284"/>
      <c r="BS82" s="284"/>
      <c r="BT82" s="284"/>
      <c r="BU82" s="284"/>
      <c r="BV82" s="284"/>
      <c r="BW82" s="284"/>
      <c r="BX82" s="284"/>
      <c r="BY82" s="284"/>
      <c r="BZ82" s="284"/>
      <c r="CA82" s="284"/>
      <c r="CB82" s="284"/>
      <c r="CC82" s="284"/>
      <c r="CD82" s="284"/>
      <c r="CE82" s="284"/>
      <c r="CF82" s="284"/>
      <c r="CG82" s="284"/>
      <c r="CH82" s="284"/>
      <c r="CI82" s="284"/>
      <c r="CJ82" s="284"/>
      <c r="CK82" s="284"/>
      <c r="CL82" s="284"/>
      <c r="CM82" s="284"/>
      <c r="CN82" s="284"/>
      <c r="CO82" s="284"/>
      <c r="CP82" s="284"/>
      <c r="CQ82" s="284"/>
      <c r="CR82" s="284"/>
      <c r="CS82" s="284"/>
      <c r="CT82" s="284"/>
      <c r="CU82" s="284"/>
      <c r="CV82" s="284"/>
      <c r="CW82" s="284"/>
      <c r="CX82" s="284"/>
      <c r="CY82" s="284"/>
      <c r="CZ82" s="284"/>
      <c r="DA82" s="284"/>
      <c r="DB82" s="284"/>
      <c r="DC82" s="284"/>
      <c r="DD82" s="284"/>
      <c r="DE82" s="284"/>
      <c r="DF82" s="284"/>
      <c r="DG82" s="284"/>
      <c r="DH82" s="284"/>
      <c r="DI82" s="284"/>
      <c r="DJ82" s="284"/>
      <c r="DK82" s="284"/>
      <c r="DL82" s="284"/>
      <c r="DM82" s="284"/>
      <c r="DN82" s="284"/>
      <c r="DO82" s="284"/>
      <c r="DP82" s="284"/>
      <c r="DQ82" s="284"/>
      <c r="DR82" s="284"/>
      <c r="DS82" s="284"/>
      <c r="DT82" s="284"/>
      <c r="DU82" s="284"/>
      <c r="DV82" s="284"/>
      <c r="DW82" s="284"/>
      <c r="DX82" s="284"/>
      <c r="DY82" s="284"/>
      <c r="DZ82" s="284"/>
      <c r="EA82" s="284"/>
      <c r="EB82" s="284"/>
      <c r="EC82" s="284"/>
      <c r="ED82" s="284"/>
      <c r="EE82" s="284"/>
      <c r="EF82" s="284"/>
      <c r="EG82" s="284"/>
      <c r="EH82" s="284"/>
      <c r="EI82" s="284"/>
      <c r="EJ82" s="284"/>
      <c r="EK82" s="284"/>
      <c r="EL82" s="284"/>
      <c r="EM82" s="284"/>
      <c r="EN82" s="284"/>
      <c r="EO82" s="284"/>
      <c r="EP82" s="284"/>
      <c r="EQ82" s="284"/>
      <c r="ER82" s="284"/>
      <c r="ES82" s="284"/>
      <c r="ET82" s="284"/>
      <c r="EU82" s="284"/>
      <c r="EV82" s="284"/>
      <c r="EW82" s="284"/>
      <c r="EX82" s="284"/>
      <c r="EY82" s="284"/>
      <c r="EZ82" s="284"/>
      <c r="FA82" s="284"/>
      <c r="FB82" s="284"/>
      <c r="FC82" s="284"/>
      <c r="FD82" s="284"/>
      <c r="FE82" s="284"/>
      <c r="FF82" s="284"/>
      <c r="FG82" s="284"/>
      <c r="FH82" s="284"/>
      <c r="FI82" s="284"/>
      <c r="FJ82" s="284"/>
      <c r="FK82" s="284"/>
      <c r="FL82" s="284"/>
      <c r="FM82" s="284"/>
      <c r="FN82" s="284"/>
      <c r="FO82" s="284"/>
      <c r="FP82" s="284"/>
      <c r="FQ82" s="284"/>
      <c r="FR82" s="284"/>
      <c r="FS82" s="284"/>
      <c r="FT82" s="284"/>
      <c r="FU82" s="284"/>
      <c r="FV82" s="284"/>
      <c r="FW82" s="284"/>
      <c r="FX82" s="284"/>
      <c r="FY82" s="284"/>
      <c r="FZ82" s="284"/>
      <c r="GA82" s="284"/>
      <c r="GB82" s="284"/>
      <c r="GC82" s="284"/>
      <c r="GD82" s="284"/>
      <c r="GE82" s="284"/>
      <c r="GF82" s="284"/>
      <c r="GG82" s="284"/>
      <c r="GH82" s="284"/>
      <c r="GI82" s="284"/>
      <c r="GJ82" s="284"/>
      <c r="GK82" s="284"/>
      <c r="GL82" s="284"/>
      <c r="GM82" s="284"/>
      <c r="GN82" s="284"/>
      <c r="GO82" s="284"/>
      <c r="GP82" s="284"/>
      <c r="GQ82" s="284"/>
      <c r="GR82" s="284"/>
      <c r="GS82" s="284"/>
      <c r="GT82" s="284"/>
      <c r="GU82" s="284"/>
      <c r="GV82" s="284"/>
      <c r="GW82" s="284"/>
      <c r="GX82" s="284"/>
      <c r="GY82" s="284"/>
      <c r="GZ82" s="284"/>
      <c r="HA82" s="284"/>
      <c r="HB82" s="284"/>
      <c r="HC82" s="284"/>
      <c r="HD82" s="284"/>
      <c r="HE82" s="284"/>
      <c r="HF82" s="284"/>
      <c r="HG82" s="284"/>
      <c r="HH82" s="284"/>
      <c r="HI82" s="284"/>
      <c r="HJ82" s="284"/>
      <c r="HK82" s="284"/>
      <c r="HL82" s="284"/>
      <c r="HM82" s="284"/>
      <c r="HN82" s="284"/>
      <c r="HO82" s="284"/>
      <c r="HP82" s="284"/>
      <c r="HQ82" s="284"/>
      <c r="HR82" s="284"/>
      <c r="HS82" s="284"/>
      <c r="HT82" s="284"/>
      <c r="HU82" s="284"/>
      <c r="HV82" s="284"/>
      <c r="HW82" s="284"/>
      <c r="HX82" s="284"/>
      <c r="HY82" s="284"/>
      <c r="HZ82" s="284"/>
      <c r="IA82" s="284"/>
      <c r="IB82" s="284"/>
      <c r="IC82" s="284"/>
      <c r="ID82" s="284"/>
      <c r="IE82" s="284"/>
      <c r="IF82" s="284"/>
      <c r="IG82" s="284"/>
      <c r="IH82" s="284"/>
      <c r="II82" s="284"/>
      <c r="IJ82" s="284"/>
      <c r="IK82" s="284"/>
      <c r="IL82" s="284"/>
      <c r="IM82" s="284"/>
      <c r="IN82" s="284"/>
      <c r="IO82" s="284"/>
      <c r="IP82" s="284"/>
      <c r="IQ82" s="284"/>
      <c r="IR82" s="284"/>
      <c r="IS82" s="284"/>
      <c r="IT82" s="284"/>
      <c r="IU82" s="284"/>
      <c r="IV82" s="284"/>
      <c r="IW82" s="284"/>
      <c r="IX82" s="284"/>
      <c r="IY82" s="284"/>
      <c r="IZ82" s="284"/>
      <c r="JA82" s="284"/>
      <c r="JB82" s="284"/>
      <c r="JC82" s="284"/>
      <c r="JD82" s="284"/>
      <c r="JE82" s="284"/>
      <c r="JF82" s="284"/>
      <c r="JG82" s="284"/>
      <c r="JH82" s="284"/>
      <c r="JI82" s="284"/>
      <c r="JJ82" s="284"/>
      <c r="JK82" s="284"/>
      <c r="JL82" s="284"/>
      <c r="JM82" s="284"/>
      <c r="JN82" s="284"/>
      <c r="JO82" s="284"/>
      <c r="JP82" s="284"/>
      <c r="JQ82" s="284"/>
      <c r="JR82" s="284"/>
      <c r="JS82" s="284"/>
      <c r="JT82" s="284"/>
      <c r="JU82" s="284"/>
      <c r="JV82" s="284"/>
      <c r="JW82" s="284"/>
      <c r="JX82" s="284"/>
      <c r="JY82" s="284"/>
      <c r="JZ82" s="284"/>
      <c r="KA82" s="284"/>
      <c r="KB82" s="284"/>
      <c r="KC82" s="284"/>
      <c r="KD82" s="284"/>
      <c r="KE82" s="284"/>
      <c r="KF82" s="284"/>
      <c r="KG82" s="284"/>
      <c r="KH82" s="284"/>
      <c r="KI82" s="284"/>
      <c r="KJ82" s="284"/>
      <c r="KK82" s="284"/>
      <c r="KL82" s="284"/>
      <c r="KM82" s="284"/>
      <c r="KN82" s="284"/>
      <c r="KO82" s="284"/>
    </row>
    <row r="83" spans="1:301" s="285" customFormat="1" ht="15">
      <c r="A83" s="260">
        <v>704</v>
      </c>
      <c r="B83" s="374" t="s">
        <v>1475</v>
      </c>
      <c r="C83" s="261" t="s">
        <v>1286</v>
      </c>
      <c r="D83" s="351">
        <v>38626</v>
      </c>
      <c r="E83" s="351">
        <v>38687</v>
      </c>
      <c r="F83" s="285" t="s">
        <v>79</v>
      </c>
      <c r="G83" s="285" t="s">
        <v>1453</v>
      </c>
      <c r="H83" s="427" t="s">
        <v>2155</v>
      </c>
      <c r="I83" s="427" t="s">
        <v>2331</v>
      </c>
      <c r="J83" s="298">
        <f>5976*5</f>
        <v>29880</v>
      </c>
      <c r="K83" s="298"/>
      <c r="L83" s="298">
        <v>55000</v>
      </c>
      <c r="M83" s="298">
        <v>52761.08</v>
      </c>
      <c r="N83" s="256">
        <f>M83/J83</f>
        <v>1.7657657295850067</v>
      </c>
      <c r="O83" s="298"/>
      <c r="P83" s="298">
        <f>4194*5</f>
        <v>20970</v>
      </c>
      <c r="Q83" s="298"/>
      <c r="R83" s="298">
        <f>4194*5</f>
        <v>20970</v>
      </c>
      <c r="S83" s="318" t="s">
        <v>233</v>
      </c>
      <c r="T83" s="298" t="s">
        <v>134</v>
      </c>
      <c r="U83" s="298">
        <f>4194*5</f>
        <v>20970</v>
      </c>
      <c r="V83" s="298"/>
      <c r="W83" s="298"/>
      <c r="X83" s="349">
        <f>W83/R83</f>
        <v>0</v>
      </c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/>
      <c r="AJ83" s="301">
        <f t="shared" si="9"/>
        <v>0</v>
      </c>
      <c r="AK83" s="298"/>
      <c r="AL83" s="298"/>
      <c r="AM83" s="298"/>
      <c r="AN83" s="374"/>
      <c r="AO83" s="374"/>
      <c r="AP83" s="374"/>
      <c r="AQ83" s="374"/>
      <c r="AR83" s="374"/>
      <c r="AS83" s="374"/>
      <c r="AT83" s="374"/>
      <c r="AU83" s="374"/>
      <c r="AV83" s="282" t="s">
        <v>2108</v>
      </c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4"/>
      <c r="BJ83" s="284"/>
      <c r="BK83" s="284"/>
      <c r="BL83" s="284"/>
      <c r="BM83" s="284"/>
      <c r="BN83" s="284"/>
      <c r="BO83" s="284"/>
      <c r="BP83" s="284"/>
      <c r="BQ83" s="284"/>
      <c r="BR83" s="284"/>
      <c r="BS83" s="284"/>
      <c r="BT83" s="284"/>
      <c r="BU83" s="284"/>
      <c r="BV83" s="284"/>
      <c r="BW83" s="284"/>
      <c r="BX83" s="284"/>
      <c r="BY83" s="284"/>
      <c r="BZ83" s="284"/>
      <c r="CA83" s="284"/>
      <c r="CB83" s="284"/>
      <c r="CC83" s="284"/>
      <c r="CD83" s="284"/>
      <c r="CE83" s="284"/>
      <c r="CF83" s="284"/>
      <c r="CG83" s="284"/>
      <c r="CH83" s="284"/>
      <c r="CI83" s="284"/>
      <c r="CJ83" s="284"/>
      <c r="CK83" s="284"/>
      <c r="CL83" s="284"/>
      <c r="CM83" s="284"/>
      <c r="CN83" s="284"/>
      <c r="CO83" s="284"/>
      <c r="CP83" s="284"/>
      <c r="CQ83" s="284"/>
      <c r="CR83" s="284"/>
      <c r="CS83" s="284"/>
      <c r="CT83" s="284"/>
      <c r="CU83" s="284"/>
      <c r="CV83" s="284"/>
      <c r="CW83" s="284"/>
      <c r="CX83" s="284"/>
      <c r="CY83" s="284"/>
      <c r="CZ83" s="284"/>
      <c r="DA83" s="284"/>
      <c r="DB83" s="284"/>
      <c r="DC83" s="284"/>
      <c r="DD83" s="284"/>
      <c r="DE83" s="284"/>
      <c r="DF83" s="284"/>
      <c r="DG83" s="284"/>
      <c r="DH83" s="284"/>
      <c r="DI83" s="284"/>
      <c r="DJ83" s="284"/>
      <c r="DK83" s="284"/>
      <c r="DL83" s="284"/>
      <c r="DM83" s="284"/>
      <c r="DN83" s="284"/>
      <c r="DO83" s="284"/>
      <c r="DP83" s="284"/>
      <c r="DQ83" s="284"/>
      <c r="DR83" s="284"/>
      <c r="DS83" s="284"/>
      <c r="DT83" s="284"/>
      <c r="DU83" s="284"/>
      <c r="DV83" s="284"/>
      <c r="DW83" s="284"/>
      <c r="DX83" s="284"/>
      <c r="DY83" s="284"/>
      <c r="DZ83" s="284"/>
      <c r="EA83" s="284"/>
      <c r="EB83" s="284"/>
      <c r="EC83" s="284"/>
      <c r="ED83" s="284"/>
      <c r="EE83" s="284"/>
      <c r="EF83" s="284"/>
      <c r="EG83" s="284"/>
      <c r="EH83" s="284"/>
      <c r="EI83" s="284"/>
      <c r="EJ83" s="284"/>
      <c r="EK83" s="284"/>
      <c r="EL83" s="284"/>
      <c r="EM83" s="284"/>
      <c r="EN83" s="284"/>
      <c r="EO83" s="284"/>
      <c r="EP83" s="284"/>
      <c r="EQ83" s="284"/>
      <c r="ER83" s="284"/>
      <c r="ES83" s="284"/>
      <c r="ET83" s="284"/>
      <c r="EU83" s="284"/>
      <c r="EV83" s="284"/>
      <c r="EW83" s="284"/>
      <c r="EX83" s="284"/>
      <c r="EY83" s="284"/>
      <c r="EZ83" s="284"/>
      <c r="FA83" s="284"/>
      <c r="FB83" s="284"/>
      <c r="FC83" s="284"/>
      <c r="FD83" s="284"/>
      <c r="FE83" s="284"/>
      <c r="FF83" s="284"/>
      <c r="FG83" s="284"/>
      <c r="FH83" s="284"/>
      <c r="FI83" s="284"/>
      <c r="FJ83" s="284"/>
      <c r="FK83" s="284"/>
      <c r="FL83" s="284"/>
      <c r="FM83" s="284"/>
      <c r="FN83" s="284"/>
      <c r="FO83" s="284"/>
      <c r="FP83" s="284"/>
      <c r="FQ83" s="284"/>
      <c r="FR83" s="284"/>
      <c r="FS83" s="284"/>
      <c r="FT83" s="284"/>
      <c r="FU83" s="284"/>
      <c r="FV83" s="284"/>
      <c r="FW83" s="284"/>
      <c r="FX83" s="284"/>
      <c r="FY83" s="284"/>
      <c r="FZ83" s="284"/>
      <c r="GA83" s="284"/>
      <c r="GB83" s="284"/>
      <c r="GC83" s="284"/>
      <c r="GD83" s="284"/>
      <c r="GE83" s="284"/>
      <c r="GF83" s="284"/>
      <c r="GG83" s="284"/>
      <c r="GH83" s="284"/>
      <c r="GI83" s="284"/>
      <c r="GJ83" s="284"/>
      <c r="GK83" s="284"/>
      <c r="GL83" s="284"/>
      <c r="GM83" s="284"/>
      <c r="GN83" s="284"/>
      <c r="GO83" s="284"/>
      <c r="GP83" s="284"/>
      <c r="GQ83" s="284"/>
      <c r="GR83" s="284"/>
      <c r="GS83" s="284"/>
      <c r="GT83" s="284"/>
      <c r="GU83" s="284"/>
      <c r="GV83" s="284"/>
      <c r="GW83" s="284"/>
      <c r="GX83" s="284"/>
      <c r="GY83" s="284"/>
      <c r="GZ83" s="284"/>
      <c r="HA83" s="284"/>
      <c r="HB83" s="284"/>
      <c r="HC83" s="284"/>
      <c r="HD83" s="284"/>
      <c r="HE83" s="284"/>
      <c r="HF83" s="284"/>
      <c r="HG83" s="284"/>
      <c r="HH83" s="284"/>
      <c r="HI83" s="284"/>
      <c r="HJ83" s="284"/>
      <c r="HK83" s="284"/>
      <c r="HL83" s="284"/>
      <c r="HM83" s="284"/>
      <c r="HN83" s="284"/>
      <c r="HO83" s="284"/>
      <c r="HP83" s="284"/>
      <c r="HQ83" s="284"/>
      <c r="HR83" s="284"/>
      <c r="HS83" s="284"/>
      <c r="HT83" s="284"/>
      <c r="HU83" s="284"/>
      <c r="HV83" s="284"/>
      <c r="HW83" s="284"/>
      <c r="HX83" s="284"/>
      <c r="HY83" s="284"/>
      <c r="HZ83" s="284"/>
      <c r="IA83" s="284"/>
      <c r="IB83" s="284"/>
      <c r="IC83" s="284"/>
      <c r="ID83" s="284"/>
      <c r="IE83" s="284"/>
      <c r="IF83" s="284"/>
      <c r="IG83" s="284"/>
      <c r="IH83" s="284"/>
      <c r="II83" s="284"/>
      <c r="IJ83" s="284"/>
      <c r="IK83" s="284"/>
      <c r="IL83" s="284"/>
      <c r="IM83" s="284"/>
      <c r="IN83" s="284"/>
      <c r="IO83" s="284"/>
      <c r="IP83" s="284"/>
      <c r="IQ83" s="284"/>
      <c r="IR83" s="284"/>
      <c r="IS83" s="284"/>
      <c r="IT83" s="284"/>
      <c r="IU83" s="284"/>
      <c r="IV83" s="284"/>
      <c r="IW83" s="284"/>
      <c r="IX83" s="284"/>
      <c r="IY83" s="284"/>
      <c r="IZ83" s="284"/>
      <c r="JA83" s="284"/>
      <c r="JB83" s="284"/>
      <c r="JC83" s="284"/>
      <c r="JD83" s="284"/>
      <c r="JE83" s="284"/>
      <c r="JF83" s="284"/>
      <c r="JG83" s="284"/>
      <c r="JH83" s="284"/>
      <c r="JI83" s="284"/>
      <c r="JJ83" s="284"/>
      <c r="JK83" s="284"/>
      <c r="JL83" s="284"/>
      <c r="JM83" s="284"/>
      <c r="JN83" s="284"/>
      <c r="JO83" s="284"/>
      <c r="JP83" s="284"/>
      <c r="JQ83" s="284"/>
      <c r="JR83" s="284"/>
      <c r="JS83" s="284"/>
      <c r="JT83" s="284"/>
      <c r="JU83" s="284"/>
      <c r="JV83" s="284"/>
      <c r="JW83" s="284"/>
      <c r="JX83" s="284"/>
      <c r="JY83" s="284"/>
      <c r="JZ83" s="284"/>
      <c r="KA83" s="284"/>
      <c r="KB83" s="284"/>
      <c r="KC83" s="284"/>
      <c r="KD83" s="284"/>
      <c r="KE83" s="284"/>
      <c r="KF83" s="284"/>
      <c r="KG83" s="284"/>
      <c r="KH83" s="284"/>
      <c r="KI83" s="284"/>
      <c r="KJ83" s="284"/>
      <c r="KK83" s="284"/>
      <c r="KL83" s="284"/>
      <c r="KM83" s="284"/>
      <c r="KN83" s="284"/>
      <c r="KO83" s="284"/>
    </row>
    <row r="84" spans="1:301" s="285" customFormat="1" ht="15">
      <c r="A84" s="260">
        <v>705</v>
      </c>
      <c r="B84" s="374" t="s">
        <v>550</v>
      </c>
      <c r="C84" s="261" t="s">
        <v>1286</v>
      </c>
      <c r="D84" s="351">
        <v>38596</v>
      </c>
      <c r="E84" s="351">
        <v>38687</v>
      </c>
      <c r="F84" s="285" t="s">
        <v>24</v>
      </c>
      <c r="G84" s="285" t="s">
        <v>1454</v>
      </c>
      <c r="H84" s="427" t="s">
        <v>2154</v>
      </c>
      <c r="I84" s="427" t="s">
        <v>2331</v>
      </c>
      <c r="J84" s="298">
        <f>500*5</f>
        <v>2500</v>
      </c>
      <c r="K84" s="298"/>
      <c r="L84" s="298">
        <v>22000</v>
      </c>
      <c r="M84" s="298">
        <v>18287.16</v>
      </c>
      <c r="N84" s="256">
        <f>M84/J84</f>
        <v>7.314864</v>
      </c>
      <c r="O84" s="298"/>
      <c r="P84" s="298">
        <v>2500</v>
      </c>
      <c r="Q84" s="298"/>
      <c r="R84" s="298">
        <v>2500</v>
      </c>
      <c r="S84" s="318" t="s">
        <v>233</v>
      </c>
      <c r="T84" s="298"/>
      <c r="U84" s="298"/>
      <c r="V84" s="298"/>
      <c r="W84" s="298"/>
      <c r="X84" s="349">
        <f>W84/R84</f>
        <v>0</v>
      </c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/>
      <c r="AJ84" s="301">
        <f t="shared" si="9"/>
        <v>0</v>
      </c>
      <c r="AK84" s="298"/>
      <c r="AL84" s="298"/>
      <c r="AM84" s="298"/>
      <c r="AN84" s="374"/>
      <c r="AO84" s="374"/>
      <c r="AP84" s="374"/>
      <c r="AQ84" s="374"/>
      <c r="AR84" s="374"/>
      <c r="AS84" s="374"/>
      <c r="AT84" s="374"/>
      <c r="AU84" s="374"/>
      <c r="AV84" s="282" t="s">
        <v>2107</v>
      </c>
      <c r="AW84" s="284"/>
      <c r="AX84" s="284"/>
      <c r="AY84" s="284"/>
      <c r="AZ84" s="284"/>
      <c r="BA84" s="284"/>
      <c r="BB84" s="284"/>
      <c r="BC84" s="284"/>
      <c r="BD84" s="284"/>
      <c r="BE84" s="284"/>
      <c r="BF84" s="284"/>
      <c r="BG84" s="284"/>
      <c r="BH84" s="284"/>
      <c r="BI84" s="284"/>
      <c r="BJ84" s="284"/>
      <c r="BK84" s="284"/>
      <c r="BL84" s="284"/>
      <c r="BM84" s="284"/>
      <c r="BN84" s="284"/>
      <c r="BO84" s="284"/>
      <c r="BP84" s="284"/>
      <c r="BQ84" s="284"/>
      <c r="BR84" s="284"/>
      <c r="BS84" s="284"/>
      <c r="BT84" s="284"/>
      <c r="BU84" s="284"/>
      <c r="BV84" s="284"/>
      <c r="BW84" s="284"/>
      <c r="BX84" s="284"/>
      <c r="BY84" s="284"/>
      <c r="BZ84" s="284"/>
      <c r="CA84" s="284"/>
      <c r="CB84" s="284"/>
      <c r="CC84" s="284"/>
      <c r="CD84" s="284"/>
      <c r="CE84" s="284"/>
      <c r="CF84" s="284"/>
      <c r="CG84" s="284"/>
      <c r="CH84" s="284"/>
      <c r="CI84" s="284"/>
      <c r="CJ84" s="284"/>
      <c r="CK84" s="284"/>
      <c r="CL84" s="284"/>
      <c r="CM84" s="284"/>
      <c r="CN84" s="284"/>
      <c r="CO84" s="284"/>
      <c r="CP84" s="284"/>
      <c r="CQ84" s="284"/>
      <c r="CR84" s="284"/>
      <c r="CS84" s="284"/>
      <c r="CT84" s="284"/>
      <c r="CU84" s="284"/>
      <c r="CV84" s="284"/>
      <c r="CW84" s="284"/>
      <c r="CX84" s="284"/>
      <c r="CY84" s="284"/>
      <c r="CZ84" s="284"/>
      <c r="DA84" s="284"/>
      <c r="DB84" s="284"/>
      <c r="DC84" s="284"/>
      <c r="DD84" s="284"/>
      <c r="DE84" s="284"/>
      <c r="DF84" s="284"/>
      <c r="DG84" s="284"/>
      <c r="DH84" s="284"/>
      <c r="DI84" s="284"/>
      <c r="DJ84" s="284"/>
      <c r="DK84" s="284"/>
      <c r="DL84" s="284"/>
      <c r="DM84" s="284"/>
      <c r="DN84" s="284"/>
      <c r="DO84" s="284"/>
      <c r="DP84" s="284"/>
      <c r="DQ84" s="284"/>
      <c r="DR84" s="284"/>
      <c r="DS84" s="284"/>
      <c r="DT84" s="284"/>
      <c r="DU84" s="284"/>
      <c r="DV84" s="284"/>
      <c r="DW84" s="284"/>
      <c r="DX84" s="284"/>
      <c r="DY84" s="284"/>
      <c r="DZ84" s="284"/>
      <c r="EA84" s="284"/>
      <c r="EB84" s="284"/>
      <c r="EC84" s="284"/>
      <c r="ED84" s="284"/>
      <c r="EE84" s="284"/>
      <c r="EF84" s="284"/>
      <c r="EG84" s="284"/>
      <c r="EH84" s="284"/>
      <c r="EI84" s="284"/>
      <c r="EJ84" s="284"/>
      <c r="EK84" s="284"/>
      <c r="EL84" s="284"/>
      <c r="EM84" s="284"/>
      <c r="EN84" s="284"/>
      <c r="EO84" s="284"/>
      <c r="EP84" s="284"/>
      <c r="EQ84" s="284"/>
      <c r="ER84" s="284"/>
      <c r="ES84" s="284"/>
      <c r="ET84" s="284"/>
      <c r="EU84" s="284"/>
      <c r="EV84" s="284"/>
      <c r="EW84" s="284"/>
      <c r="EX84" s="284"/>
      <c r="EY84" s="284"/>
      <c r="EZ84" s="284"/>
      <c r="FA84" s="284"/>
      <c r="FB84" s="284"/>
      <c r="FC84" s="284"/>
      <c r="FD84" s="284"/>
      <c r="FE84" s="284"/>
      <c r="FF84" s="284"/>
      <c r="FG84" s="284"/>
      <c r="FH84" s="284"/>
      <c r="FI84" s="284"/>
      <c r="FJ84" s="284"/>
      <c r="FK84" s="284"/>
      <c r="FL84" s="284"/>
      <c r="FM84" s="284"/>
      <c r="FN84" s="284"/>
      <c r="FO84" s="284"/>
      <c r="FP84" s="284"/>
      <c r="FQ84" s="284"/>
      <c r="FR84" s="284"/>
      <c r="FS84" s="284"/>
      <c r="FT84" s="284"/>
      <c r="FU84" s="284"/>
      <c r="FV84" s="284"/>
      <c r="FW84" s="284"/>
      <c r="FX84" s="284"/>
      <c r="FY84" s="284"/>
      <c r="FZ84" s="284"/>
      <c r="GA84" s="284"/>
      <c r="GB84" s="284"/>
      <c r="GC84" s="284"/>
      <c r="GD84" s="284"/>
      <c r="GE84" s="284"/>
      <c r="GF84" s="284"/>
      <c r="GG84" s="284"/>
      <c r="GH84" s="284"/>
      <c r="GI84" s="284"/>
      <c r="GJ84" s="284"/>
      <c r="GK84" s="284"/>
      <c r="GL84" s="284"/>
      <c r="GM84" s="284"/>
      <c r="GN84" s="284"/>
      <c r="GO84" s="284"/>
      <c r="GP84" s="284"/>
      <c r="GQ84" s="284"/>
      <c r="GR84" s="284"/>
      <c r="GS84" s="284"/>
      <c r="GT84" s="284"/>
      <c r="GU84" s="284"/>
      <c r="GV84" s="284"/>
      <c r="GW84" s="284"/>
      <c r="GX84" s="284"/>
      <c r="GY84" s="284"/>
      <c r="GZ84" s="284"/>
      <c r="HA84" s="284"/>
      <c r="HB84" s="284"/>
      <c r="HC84" s="284"/>
      <c r="HD84" s="284"/>
      <c r="HE84" s="284"/>
      <c r="HF84" s="284"/>
      <c r="HG84" s="284"/>
      <c r="HH84" s="284"/>
      <c r="HI84" s="284"/>
      <c r="HJ84" s="284"/>
      <c r="HK84" s="284"/>
      <c r="HL84" s="284"/>
      <c r="HM84" s="284"/>
      <c r="HN84" s="284"/>
      <c r="HO84" s="284"/>
      <c r="HP84" s="284"/>
      <c r="HQ84" s="284"/>
      <c r="HR84" s="284"/>
      <c r="HS84" s="284"/>
      <c r="HT84" s="284"/>
      <c r="HU84" s="284"/>
      <c r="HV84" s="284"/>
      <c r="HW84" s="284"/>
      <c r="HX84" s="284"/>
      <c r="HY84" s="284"/>
      <c r="HZ84" s="284"/>
      <c r="IA84" s="284"/>
      <c r="IB84" s="284"/>
      <c r="IC84" s="284"/>
      <c r="ID84" s="284"/>
      <c r="IE84" s="284"/>
      <c r="IF84" s="284"/>
      <c r="IG84" s="284"/>
      <c r="IH84" s="284"/>
      <c r="II84" s="284"/>
      <c r="IJ84" s="284"/>
      <c r="IK84" s="284"/>
      <c r="IL84" s="284"/>
      <c r="IM84" s="284"/>
      <c r="IN84" s="284"/>
      <c r="IO84" s="284"/>
      <c r="IP84" s="284"/>
      <c r="IQ84" s="284"/>
      <c r="IR84" s="284"/>
      <c r="IS84" s="284"/>
      <c r="IT84" s="284"/>
      <c r="IU84" s="284"/>
      <c r="IV84" s="284"/>
      <c r="IW84" s="284"/>
      <c r="IX84" s="284"/>
      <c r="IY84" s="284"/>
      <c r="IZ84" s="284"/>
      <c r="JA84" s="284"/>
      <c r="JB84" s="284"/>
      <c r="JC84" s="284"/>
      <c r="JD84" s="284"/>
      <c r="JE84" s="284"/>
      <c r="JF84" s="284"/>
      <c r="JG84" s="284"/>
      <c r="JH84" s="284"/>
      <c r="JI84" s="284"/>
      <c r="JJ84" s="284"/>
      <c r="JK84" s="284"/>
      <c r="JL84" s="284"/>
      <c r="JM84" s="284"/>
      <c r="JN84" s="284"/>
      <c r="JO84" s="284"/>
      <c r="JP84" s="284"/>
      <c r="JQ84" s="284"/>
      <c r="JR84" s="284"/>
      <c r="JS84" s="284"/>
      <c r="JT84" s="284"/>
      <c r="JU84" s="284"/>
      <c r="JV84" s="284"/>
      <c r="JW84" s="284"/>
      <c r="JX84" s="284"/>
      <c r="JY84" s="284"/>
      <c r="JZ84" s="284"/>
      <c r="KA84" s="284"/>
      <c r="KB84" s="284"/>
      <c r="KC84" s="284"/>
      <c r="KD84" s="284"/>
      <c r="KE84" s="284"/>
      <c r="KF84" s="284"/>
      <c r="KG84" s="284"/>
      <c r="KH84" s="284"/>
      <c r="KI84" s="284"/>
      <c r="KJ84" s="284"/>
      <c r="KK84" s="284"/>
      <c r="KL84" s="284"/>
      <c r="KM84" s="284"/>
      <c r="KN84" s="284"/>
      <c r="KO84" s="284"/>
    </row>
    <row r="85" spans="1:301" s="284" customFormat="1" ht="15">
      <c r="A85" s="260">
        <v>706</v>
      </c>
      <c r="B85" s="372" t="s">
        <v>871</v>
      </c>
      <c r="C85" s="261" t="s">
        <v>1260</v>
      </c>
      <c r="D85" s="255">
        <v>38687</v>
      </c>
      <c r="E85" s="255">
        <v>38869</v>
      </c>
      <c r="F85" s="284" t="s">
        <v>2094</v>
      </c>
      <c r="G85" s="284" t="s">
        <v>1461</v>
      </c>
      <c r="H85" s="430" t="s">
        <v>2095</v>
      </c>
      <c r="I85" s="254" t="s">
        <v>2331</v>
      </c>
      <c r="J85" s="256">
        <v>4560</v>
      </c>
      <c r="K85" s="256">
        <v>36000</v>
      </c>
      <c r="L85" s="256">
        <v>28642</v>
      </c>
      <c r="M85" s="256">
        <v>28642</v>
      </c>
      <c r="N85" s="256">
        <f>M85/J85</f>
        <v>6.2811403508771928</v>
      </c>
      <c r="O85" s="256">
        <f>(L85*100)/K85</f>
        <v>79.561111111111117</v>
      </c>
      <c r="P85" s="256">
        <v>3000</v>
      </c>
      <c r="Q85" s="256"/>
      <c r="R85" s="256">
        <v>3000</v>
      </c>
      <c r="S85" s="318" t="s">
        <v>233</v>
      </c>
      <c r="T85" s="256">
        <v>210</v>
      </c>
      <c r="U85" s="256"/>
      <c r="V85" s="256">
        <v>9546</v>
      </c>
      <c r="W85" s="256">
        <v>9546</v>
      </c>
      <c r="X85" s="349">
        <f>W85/R85</f>
        <v>3.1819999999999999</v>
      </c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  <c r="AI85" s="256"/>
      <c r="AJ85" s="301">
        <f t="shared" si="9"/>
        <v>0</v>
      </c>
      <c r="AK85" s="256" t="s">
        <v>66</v>
      </c>
      <c r="AL85" s="256" t="s">
        <v>66</v>
      </c>
      <c r="AM85" s="256"/>
      <c r="AN85" s="372"/>
      <c r="AO85" s="372"/>
      <c r="AP85" s="372"/>
      <c r="AQ85" s="372"/>
      <c r="AR85" s="372"/>
      <c r="AS85" s="372"/>
      <c r="AT85" s="372"/>
      <c r="AU85" s="372"/>
      <c r="AV85" s="284" t="s">
        <v>2093</v>
      </c>
    </row>
    <row r="86" spans="1:301" s="436" customFormat="1" ht="26.25">
      <c r="A86" s="260">
        <v>707</v>
      </c>
      <c r="B86" s="489" t="s">
        <v>871</v>
      </c>
      <c r="C86" s="435" t="s">
        <v>1260</v>
      </c>
      <c r="D86" s="487">
        <v>38657</v>
      </c>
      <c r="E86" s="487">
        <v>38473</v>
      </c>
      <c r="F86" s="436" t="s">
        <v>2113</v>
      </c>
      <c r="G86" s="436" t="s">
        <v>1449</v>
      </c>
      <c r="H86" s="437" t="s">
        <v>2166</v>
      </c>
      <c r="I86" s="419" t="s">
        <v>2441</v>
      </c>
      <c r="J86" s="439"/>
      <c r="K86" s="439"/>
      <c r="L86" s="439"/>
      <c r="M86" s="439">
        <v>2961.81</v>
      </c>
      <c r="N86" s="256"/>
      <c r="O86" s="439"/>
      <c r="P86" s="439"/>
      <c r="Q86" s="439"/>
      <c r="R86" s="439"/>
      <c r="S86" s="318" t="s">
        <v>233</v>
      </c>
      <c r="T86" s="439"/>
      <c r="U86" s="439"/>
      <c r="V86" s="439"/>
      <c r="W86" s="439"/>
      <c r="X86" s="256"/>
      <c r="Y86" s="439"/>
      <c r="Z86" s="439"/>
      <c r="AA86" s="439"/>
      <c r="AB86" s="439"/>
      <c r="AC86" s="439"/>
      <c r="AD86" s="439"/>
      <c r="AE86" s="439"/>
      <c r="AF86" s="439"/>
      <c r="AG86" s="439"/>
      <c r="AH86" s="439"/>
      <c r="AI86" s="439"/>
      <c r="AJ86" s="301">
        <f t="shared" si="9"/>
        <v>0</v>
      </c>
      <c r="AK86" s="439"/>
      <c r="AL86" s="439"/>
      <c r="AM86" s="439"/>
      <c r="AN86" s="489"/>
      <c r="AO86" s="489"/>
      <c r="AP86" s="489"/>
      <c r="AQ86" s="489"/>
      <c r="AR86" s="489"/>
      <c r="AS86" s="489"/>
      <c r="AT86" s="489"/>
      <c r="AU86" s="489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4"/>
      <c r="BJ86" s="284"/>
      <c r="BK86" s="284"/>
      <c r="BL86" s="284"/>
      <c r="BM86" s="284"/>
      <c r="BN86" s="284"/>
      <c r="BO86" s="284"/>
      <c r="BP86" s="284"/>
      <c r="BQ86" s="284"/>
      <c r="BR86" s="284"/>
      <c r="BS86" s="284"/>
      <c r="BT86" s="284"/>
      <c r="BU86" s="284"/>
      <c r="BV86" s="284"/>
      <c r="BW86" s="284"/>
      <c r="BX86" s="284"/>
      <c r="BY86" s="284"/>
      <c r="BZ86" s="284"/>
      <c r="CA86" s="284"/>
      <c r="CB86" s="284"/>
      <c r="CC86" s="284"/>
      <c r="CD86" s="284"/>
      <c r="CE86" s="284"/>
      <c r="CF86" s="284"/>
      <c r="CG86" s="284"/>
      <c r="CH86" s="284"/>
      <c r="CI86" s="284"/>
      <c r="CJ86" s="284"/>
      <c r="CK86" s="284"/>
      <c r="CL86" s="284"/>
      <c r="CM86" s="284"/>
      <c r="CN86" s="284"/>
      <c r="CO86" s="284"/>
      <c r="CP86" s="284"/>
      <c r="CQ86" s="284"/>
      <c r="CR86" s="284"/>
      <c r="CS86" s="284"/>
      <c r="CT86" s="284"/>
      <c r="CU86" s="284"/>
      <c r="CV86" s="284"/>
      <c r="CW86" s="284"/>
      <c r="CX86" s="284"/>
      <c r="CY86" s="284"/>
      <c r="CZ86" s="284"/>
      <c r="DA86" s="284"/>
      <c r="DB86" s="284"/>
      <c r="DC86" s="284"/>
      <c r="DD86" s="284"/>
      <c r="DE86" s="284"/>
      <c r="DF86" s="284"/>
      <c r="DG86" s="284"/>
      <c r="DH86" s="284"/>
      <c r="DI86" s="284"/>
      <c r="DJ86" s="284"/>
      <c r="DK86" s="284"/>
      <c r="DL86" s="284"/>
      <c r="DM86" s="284"/>
      <c r="DN86" s="284"/>
      <c r="DO86" s="284"/>
      <c r="DP86" s="284"/>
      <c r="DQ86" s="284"/>
      <c r="DR86" s="284"/>
      <c r="DS86" s="284"/>
      <c r="DT86" s="284"/>
      <c r="DU86" s="284"/>
      <c r="DV86" s="284"/>
      <c r="DW86" s="284"/>
      <c r="DX86" s="284"/>
      <c r="DY86" s="284"/>
      <c r="DZ86" s="284"/>
      <c r="EA86" s="284"/>
      <c r="EB86" s="284"/>
      <c r="EC86" s="284"/>
      <c r="ED86" s="284"/>
      <c r="EE86" s="284"/>
      <c r="EF86" s="284"/>
      <c r="EG86" s="284"/>
      <c r="EH86" s="284"/>
      <c r="EI86" s="284"/>
      <c r="EJ86" s="284"/>
      <c r="EK86" s="284"/>
      <c r="EL86" s="284"/>
      <c r="EM86" s="284"/>
      <c r="EN86" s="284"/>
      <c r="EO86" s="284"/>
      <c r="EP86" s="284"/>
      <c r="EQ86" s="284"/>
      <c r="ER86" s="284"/>
      <c r="ES86" s="284"/>
      <c r="ET86" s="284"/>
      <c r="EU86" s="284"/>
      <c r="EV86" s="284"/>
      <c r="EW86" s="284"/>
      <c r="EX86" s="284"/>
      <c r="EY86" s="284"/>
      <c r="EZ86" s="284"/>
      <c r="FA86" s="284"/>
      <c r="FB86" s="284"/>
      <c r="FC86" s="284"/>
      <c r="FD86" s="284"/>
      <c r="FE86" s="284"/>
      <c r="FF86" s="284"/>
      <c r="FG86" s="284"/>
      <c r="FH86" s="284"/>
      <c r="FI86" s="284"/>
      <c r="FJ86" s="284"/>
      <c r="FK86" s="284"/>
      <c r="FL86" s="284"/>
      <c r="FM86" s="284"/>
      <c r="FN86" s="284"/>
      <c r="FO86" s="284"/>
      <c r="FP86" s="284"/>
      <c r="FQ86" s="284"/>
      <c r="FR86" s="284"/>
      <c r="FS86" s="284"/>
      <c r="FT86" s="284"/>
      <c r="FU86" s="284"/>
      <c r="FV86" s="284"/>
      <c r="FW86" s="284"/>
      <c r="FX86" s="284"/>
      <c r="FY86" s="284"/>
      <c r="FZ86" s="284"/>
      <c r="GA86" s="284"/>
      <c r="GB86" s="284"/>
      <c r="GC86" s="284"/>
      <c r="GD86" s="284"/>
      <c r="GE86" s="284"/>
      <c r="GF86" s="284"/>
      <c r="GG86" s="284"/>
      <c r="GH86" s="284"/>
      <c r="GI86" s="284"/>
      <c r="GJ86" s="284"/>
      <c r="GK86" s="284"/>
      <c r="GL86" s="284"/>
      <c r="GM86" s="284"/>
      <c r="GN86" s="284"/>
      <c r="GO86" s="284"/>
      <c r="GP86" s="284"/>
      <c r="GQ86" s="284"/>
      <c r="GR86" s="284"/>
      <c r="GS86" s="284"/>
      <c r="GT86" s="284"/>
      <c r="GU86" s="284"/>
      <c r="GV86" s="284"/>
      <c r="GW86" s="284"/>
      <c r="GX86" s="284"/>
      <c r="GY86" s="284"/>
      <c r="GZ86" s="284"/>
      <c r="HA86" s="284"/>
      <c r="HB86" s="284"/>
      <c r="HC86" s="284"/>
      <c r="HD86" s="284"/>
      <c r="HE86" s="284"/>
      <c r="HF86" s="284"/>
      <c r="HG86" s="284"/>
      <c r="HH86" s="284"/>
      <c r="HI86" s="284"/>
      <c r="HJ86" s="284"/>
      <c r="HK86" s="284"/>
      <c r="HL86" s="284"/>
      <c r="HM86" s="284"/>
      <c r="HN86" s="284"/>
      <c r="HO86" s="284"/>
      <c r="HP86" s="284"/>
      <c r="HQ86" s="284"/>
      <c r="HR86" s="284"/>
      <c r="HS86" s="284"/>
      <c r="HT86" s="284"/>
      <c r="HU86" s="284"/>
      <c r="HV86" s="284"/>
      <c r="HW86" s="284"/>
      <c r="HX86" s="284"/>
      <c r="HY86" s="284"/>
      <c r="HZ86" s="284"/>
      <c r="IA86" s="284"/>
      <c r="IB86" s="284"/>
      <c r="IC86" s="284"/>
      <c r="ID86" s="284"/>
      <c r="IE86" s="284"/>
      <c r="IF86" s="284"/>
      <c r="IG86" s="284"/>
      <c r="IH86" s="284"/>
      <c r="II86" s="284"/>
      <c r="IJ86" s="284"/>
      <c r="IK86" s="284"/>
      <c r="IL86" s="284"/>
      <c r="IM86" s="284"/>
      <c r="IN86" s="284"/>
      <c r="IO86" s="284"/>
      <c r="IP86" s="284"/>
      <c r="IQ86" s="284"/>
      <c r="IR86" s="284"/>
      <c r="IS86" s="284"/>
      <c r="IT86" s="284"/>
      <c r="IU86" s="284"/>
      <c r="IV86" s="284"/>
      <c r="IW86" s="284"/>
      <c r="IX86" s="284"/>
      <c r="IY86" s="284"/>
      <c r="IZ86" s="284"/>
      <c r="JA86" s="284"/>
      <c r="JB86" s="284"/>
      <c r="JC86" s="284"/>
      <c r="JD86" s="284"/>
      <c r="JE86" s="284"/>
      <c r="JF86" s="284"/>
      <c r="JG86" s="284"/>
      <c r="JH86" s="284"/>
      <c r="JI86" s="284"/>
      <c r="JJ86" s="284"/>
      <c r="JK86" s="284"/>
      <c r="JL86" s="284"/>
      <c r="JM86" s="284"/>
      <c r="JN86" s="284"/>
      <c r="JO86" s="284"/>
      <c r="JP86" s="284"/>
      <c r="JQ86" s="284"/>
      <c r="JR86" s="284"/>
      <c r="JS86" s="284"/>
      <c r="JT86" s="284"/>
      <c r="JU86" s="284"/>
      <c r="JV86" s="284"/>
      <c r="JW86" s="284"/>
      <c r="JX86" s="284"/>
      <c r="JY86" s="284"/>
      <c r="JZ86" s="284"/>
      <c r="KA86" s="284"/>
      <c r="KB86" s="284"/>
      <c r="KC86" s="284"/>
      <c r="KD86" s="284"/>
      <c r="KE86" s="284"/>
      <c r="KF86" s="284"/>
      <c r="KG86" s="284"/>
      <c r="KH86" s="284"/>
      <c r="KI86" s="284"/>
      <c r="KJ86" s="284"/>
      <c r="KK86" s="284"/>
      <c r="KL86" s="284"/>
      <c r="KM86" s="284"/>
      <c r="KN86" s="284"/>
      <c r="KO86" s="284"/>
    </row>
    <row r="87" spans="1:301" s="436" customFormat="1" ht="26.25">
      <c r="A87" s="260">
        <v>708</v>
      </c>
      <c r="B87" s="435" t="s">
        <v>2047</v>
      </c>
      <c r="C87" s="435" t="s">
        <v>1260</v>
      </c>
      <c r="D87" s="487">
        <v>38412</v>
      </c>
      <c r="E87" s="487">
        <v>38443</v>
      </c>
      <c r="F87" s="436" t="s">
        <v>2067</v>
      </c>
      <c r="G87" s="436" t="s">
        <v>1453</v>
      </c>
      <c r="H87" s="437" t="s">
        <v>2164</v>
      </c>
      <c r="I87" s="419" t="s">
        <v>2441</v>
      </c>
      <c r="J87" s="439"/>
      <c r="K87" s="439"/>
      <c r="L87" s="439"/>
      <c r="M87" s="439">
        <v>105568.06</v>
      </c>
      <c r="N87" s="256"/>
      <c r="O87" s="439"/>
      <c r="P87" s="439"/>
      <c r="Q87" s="439"/>
      <c r="R87" s="439"/>
      <c r="S87" s="318" t="s">
        <v>233</v>
      </c>
      <c r="T87" s="439"/>
      <c r="U87" s="439"/>
      <c r="V87" s="439"/>
      <c r="W87" s="439"/>
      <c r="X87" s="256"/>
      <c r="Y87" s="439"/>
      <c r="Z87" s="439"/>
      <c r="AA87" s="439"/>
      <c r="AB87" s="439"/>
      <c r="AC87" s="439"/>
      <c r="AD87" s="439"/>
      <c r="AE87" s="439"/>
      <c r="AF87" s="439"/>
      <c r="AG87" s="439"/>
      <c r="AH87" s="439"/>
      <c r="AI87" s="439"/>
      <c r="AJ87" s="301">
        <f t="shared" si="9"/>
        <v>0</v>
      </c>
      <c r="AK87" s="439"/>
      <c r="AL87" s="439"/>
      <c r="AM87" s="439"/>
      <c r="AN87" s="489"/>
      <c r="AO87" s="489"/>
      <c r="AP87" s="489"/>
      <c r="AQ87" s="489"/>
      <c r="AR87" s="489"/>
      <c r="AS87" s="489"/>
      <c r="AT87" s="489"/>
      <c r="AU87" s="489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4"/>
      <c r="BJ87" s="284"/>
      <c r="BK87" s="284"/>
      <c r="BL87" s="284"/>
      <c r="BM87" s="284"/>
      <c r="BN87" s="284"/>
      <c r="BO87" s="284"/>
      <c r="BP87" s="284"/>
      <c r="BQ87" s="284"/>
      <c r="BR87" s="284"/>
      <c r="BS87" s="284"/>
      <c r="BT87" s="284"/>
      <c r="BU87" s="284"/>
      <c r="BV87" s="284"/>
      <c r="BW87" s="284"/>
      <c r="BX87" s="284"/>
      <c r="BY87" s="284"/>
      <c r="BZ87" s="284"/>
      <c r="CA87" s="284"/>
      <c r="CB87" s="284"/>
      <c r="CC87" s="284"/>
      <c r="CD87" s="284"/>
      <c r="CE87" s="284"/>
      <c r="CF87" s="284"/>
      <c r="CG87" s="284"/>
      <c r="CH87" s="284"/>
      <c r="CI87" s="284"/>
      <c r="CJ87" s="284"/>
      <c r="CK87" s="284"/>
      <c r="CL87" s="284"/>
      <c r="CM87" s="284"/>
      <c r="CN87" s="284"/>
      <c r="CO87" s="284"/>
      <c r="CP87" s="284"/>
      <c r="CQ87" s="284"/>
      <c r="CR87" s="284"/>
      <c r="CS87" s="284"/>
      <c r="CT87" s="284"/>
      <c r="CU87" s="284"/>
      <c r="CV87" s="284"/>
      <c r="CW87" s="284"/>
      <c r="CX87" s="284"/>
      <c r="CY87" s="284"/>
      <c r="CZ87" s="284"/>
      <c r="DA87" s="284"/>
      <c r="DB87" s="284"/>
      <c r="DC87" s="284"/>
      <c r="DD87" s="284"/>
      <c r="DE87" s="284"/>
      <c r="DF87" s="284"/>
      <c r="DG87" s="284"/>
      <c r="DH87" s="284"/>
      <c r="DI87" s="284"/>
      <c r="DJ87" s="284"/>
      <c r="DK87" s="284"/>
      <c r="DL87" s="284"/>
      <c r="DM87" s="284"/>
      <c r="DN87" s="284"/>
      <c r="DO87" s="284"/>
      <c r="DP87" s="284"/>
      <c r="DQ87" s="284"/>
      <c r="DR87" s="284"/>
      <c r="DS87" s="284"/>
      <c r="DT87" s="284"/>
      <c r="DU87" s="284"/>
      <c r="DV87" s="284"/>
      <c r="DW87" s="284"/>
      <c r="DX87" s="284"/>
      <c r="DY87" s="284"/>
      <c r="DZ87" s="284"/>
      <c r="EA87" s="284"/>
      <c r="EB87" s="284"/>
      <c r="EC87" s="284"/>
      <c r="ED87" s="284"/>
      <c r="EE87" s="284"/>
      <c r="EF87" s="284"/>
      <c r="EG87" s="284"/>
      <c r="EH87" s="284"/>
      <c r="EI87" s="284"/>
      <c r="EJ87" s="284"/>
      <c r="EK87" s="284"/>
      <c r="EL87" s="284"/>
      <c r="EM87" s="284"/>
      <c r="EN87" s="284"/>
      <c r="EO87" s="284"/>
      <c r="EP87" s="284"/>
      <c r="EQ87" s="284"/>
      <c r="ER87" s="284"/>
      <c r="ES87" s="284"/>
      <c r="ET87" s="284"/>
      <c r="EU87" s="284"/>
      <c r="EV87" s="284"/>
      <c r="EW87" s="284"/>
      <c r="EX87" s="284"/>
      <c r="EY87" s="284"/>
      <c r="EZ87" s="284"/>
      <c r="FA87" s="284"/>
      <c r="FB87" s="284"/>
      <c r="FC87" s="284"/>
      <c r="FD87" s="284"/>
      <c r="FE87" s="284"/>
      <c r="FF87" s="284"/>
      <c r="FG87" s="284"/>
      <c r="FH87" s="284"/>
      <c r="FI87" s="284"/>
      <c r="FJ87" s="284"/>
      <c r="FK87" s="284"/>
      <c r="FL87" s="284"/>
      <c r="FM87" s="284"/>
      <c r="FN87" s="284"/>
      <c r="FO87" s="284"/>
      <c r="FP87" s="284"/>
      <c r="FQ87" s="284"/>
      <c r="FR87" s="284"/>
      <c r="FS87" s="284"/>
      <c r="FT87" s="284"/>
      <c r="FU87" s="284"/>
      <c r="FV87" s="284"/>
      <c r="FW87" s="284"/>
      <c r="FX87" s="284"/>
      <c r="FY87" s="284"/>
      <c r="FZ87" s="284"/>
      <c r="GA87" s="284"/>
      <c r="GB87" s="284"/>
      <c r="GC87" s="284"/>
      <c r="GD87" s="284"/>
      <c r="GE87" s="284"/>
      <c r="GF87" s="284"/>
      <c r="GG87" s="284"/>
      <c r="GH87" s="284"/>
      <c r="GI87" s="284"/>
      <c r="GJ87" s="284"/>
      <c r="GK87" s="284"/>
      <c r="GL87" s="284"/>
      <c r="GM87" s="284"/>
      <c r="GN87" s="284"/>
      <c r="GO87" s="284"/>
      <c r="GP87" s="284"/>
      <c r="GQ87" s="284"/>
      <c r="GR87" s="284"/>
      <c r="GS87" s="284"/>
      <c r="GT87" s="284"/>
      <c r="GU87" s="284"/>
      <c r="GV87" s="284"/>
      <c r="GW87" s="284"/>
      <c r="GX87" s="284"/>
      <c r="GY87" s="284"/>
      <c r="GZ87" s="284"/>
      <c r="HA87" s="284"/>
      <c r="HB87" s="284"/>
      <c r="HC87" s="284"/>
      <c r="HD87" s="284"/>
      <c r="HE87" s="284"/>
      <c r="HF87" s="284"/>
      <c r="HG87" s="284"/>
      <c r="HH87" s="284"/>
      <c r="HI87" s="284"/>
      <c r="HJ87" s="284"/>
      <c r="HK87" s="284"/>
      <c r="HL87" s="284"/>
      <c r="HM87" s="284"/>
      <c r="HN87" s="284"/>
      <c r="HO87" s="284"/>
      <c r="HP87" s="284"/>
      <c r="HQ87" s="284"/>
      <c r="HR87" s="284"/>
      <c r="HS87" s="284"/>
      <c r="HT87" s="284"/>
      <c r="HU87" s="284"/>
      <c r="HV87" s="284"/>
      <c r="HW87" s="284"/>
      <c r="HX87" s="284"/>
      <c r="HY87" s="284"/>
      <c r="HZ87" s="284"/>
      <c r="IA87" s="284"/>
      <c r="IB87" s="284"/>
      <c r="IC87" s="284"/>
      <c r="ID87" s="284"/>
      <c r="IE87" s="284"/>
      <c r="IF87" s="284"/>
      <c r="IG87" s="284"/>
      <c r="IH87" s="284"/>
      <c r="II87" s="284"/>
      <c r="IJ87" s="284"/>
      <c r="IK87" s="284"/>
      <c r="IL87" s="284"/>
      <c r="IM87" s="284"/>
      <c r="IN87" s="284"/>
      <c r="IO87" s="284"/>
      <c r="IP87" s="284"/>
      <c r="IQ87" s="284"/>
      <c r="IR87" s="284"/>
      <c r="IS87" s="284"/>
      <c r="IT87" s="284"/>
      <c r="IU87" s="284"/>
      <c r="IV87" s="284"/>
      <c r="IW87" s="284"/>
      <c r="IX87" s="284"/>
      <c r="IY87" s="284"/>
      <c r="IZ87" s="284"/>
      <c r="JA87" s="284"/>
      <c r="JB87" s="284"/>
      <c r="JC87" s="284"/>
      <c r="JD87" s="284"/>
      <c r="JE87" s="284"/>
      <c r="JF87" s="284"/>
      <c r="JG87" s="284"/>
      <c r="JH87" s="284"/>
      <c r="JI87" s="284"/>
      <c r="JJ87" s="284"/>
      <c r="JK87" s="284"/>
      <c r="JL87" s="284"/>
      <c r="JM87" s="284"/>
      <c r="JN87" s="284"/>
      <c r="JO87" s="284"/>
      <c r="JP87" s="284"/>
      <c r="JQ87" s="284"/>
      <c r="JR87" s="284"/>
      <c r="JS87" s="284"/>
      <c r="JT87" s="284"/>
      <c r="JU87" s="284"/>
      <c r="JV87" s="284"/>
      <c r="JW87" s="284"/>
      <c r="JX87" s="284"/>
      <c r="JY87" s="284"/>
      <c r="JZ87" s="284"/>
      <c r="KA87" s="284"/>
      <c r="KB87" s="284"/>
      <c r="KC87" s="284"/>
      <c r="KD87" s="284"/>
      <c r="KE87" s="284"/>
      <c r="KF87" s="284"/>
      <c r="KG87" s="284"/>
      <c r="KH87" s="284"/>
      <c r="KI87" s="284"/>
      <c r="KJ87" s="284"/>
      <c r="KK87" s="284"/>
      <c r="KL87" s="284"/>
      <c r="KM87" s="284"/>
      <c r="KN87" s="284"/>
      <c r="KO87" s="284"/>
    </row>
    <row r="88" spans="1:301" s="284" customFormat="1" ht="15">
      <c r="A88" s="260">
        <v>709</v>
      </c>
      <c r="B88" s="261" t="s">
        <v>26</v>
      </c>
      <c r="C88" s="254" t="s">
        <v>1299</v>
      </c>
      <c r="D88" s="255">
        <v>38657</v>
      </c>
      <c r="E88" s="255">
        <v>39295</v>
      </c>
      <c r="F88" s="284" t="s">
        <v>2055</v>
      </c>
      <c r="G88" s="284" t="s">
        <v>1452</v>
      </c>
      <c r="H88" s="430" t="s">
        <v>2054</v>
      </c>
      <c r="I88" s="278" t="s">
        <v>2438</v>
      </c>
      <c r="J88" s="256">
        <v>145000</v>
      </c>
      <c r="K88" s="256">
        <v>14097272</v>
      </c>
      <c r="L88" s="256">
        <f>K88*0.29</f>
        <v>4088208.88</v>
      </c>
      <c r="M88" s="292">
        <v>4088208.88</v>
      </c>
      <c r="N88" s="256">
        <f>M88/J88</f>
        <v>28.194544</v>
      </c>
      <c r="O88" s="256">
        <v>29</v>
      </c>
      <c r="P88" s="256">
        <f>163*500</f>
        <v>81500</v>
      </c>
      <c r="Q88" s="256"/>
      <c r="R88" s="256">
        <v>81500</v>
      </c>
      <c r="S88" s="256" t="s">
        <v>2</v>
      </c>
      <c r="T88" s="256">
        <v>200</v>
      </c>
      <c r="U88" s="256">
        <f>152000*5</f>
        <v>760000</v>
      </c>
      <c r="V88" s="256"/>
      <c r="W88" s="256"/>
      <c r="X88" s="349">
        <f>W88/R88</f>
        <v>0</v>
      </c>
      <c r="Y88" s="256"/>
      <c r="Z88" s="256"/>
      <c r="AA88" s="256">
        <v>650000</v>
      </c>
      <c r="AB88" s="256">
        <v>331</v>
      </c>
      <c r="AC88" s="256">
        <v>15</v>
      </c>
      <c r="AD88" s="256"/>
      <c r="AE88" s="256"/>
      <c r="AF88" s="256"/>
      <c r="AG88" s="256"/>
      <c r="AH88" s="256"/>
      <c r="AI88" s="256"/>
      <c r="AJ88" s="301">
        <f t="shared" si="9"/>
        <v>650000</v>
      </c>
      <c r="AK88" s="256"/>
      <c r="AL88" s="256"/>
      <c r="AM88" s="256"/>
      <c r="AN88" s="372"/>
      <c r="AO88" s="372"/>
      <c r="AP88" s="372"/>
      <c r="AQ88" s="372"/>
      <c r="AR88" s="372"/>
      <c r="AS88" s="372"/>
      <c r="AT88" s="372"/>
      <c r="AU88" s="372"/>
      <c r="AV88" s="433" t="s">
        <v>2053</v>
      </c>
    </row>
    <row r="89" spans="1:301" s="284" customFormat="1" ht="24" customHeight="1">
      <c r="A89" s="260">
        <v>710</v>
      </c>
      <c r="B89" s="261" t="s">
        <v>160</v>
      </c>
      <c r="C89" s="388" t="s">
        <v>1278</v>
      </c>
      <c r="D89" s="255">
        <v>38596</v>
      </c>
      <c r="E89" s="255">
        <v>38534</v>
      </c>
      <c r="F89" s="284" t="s">
        <v>2073</v>
      </c>
      <c r="G89" s="284" t="s">
        <v>1450</v>
      </c>
      <c r="H89" s="430" t="s">
        <v>2072</v>
      </c>
      <c r="I89" s="430" t="s">
        <v>2331</v>
      </c>
      <c r="J89" s="256" t="s">
        <v>134</v>
      </c>
      <c r="K89" s="256">
        <v>11000</v>
      </c>
      <c r="L89" s="256">
        <v>11116</v>
      </c>
      <c r="M89" s="256">
        <v>11116</v>
      </c>
      <c r="N89" s="256"/>
      <c r="O89" s="256">
        <f>(M89*100)/K89</f>
        <v>101.05454545454545</v>
      </c>
      <c r="P89" s="256"/>
      <c r="Q89" s="256"/>
      <c r="R89" s="256"/>
      <c r="S89" s="318" t="s">
        <v>233</v>
      </c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301">
        <f t="shared" si="9"/>
        <v>0</v>
      </c>
      <c r="AK89" s="256"/>
      <c r="AL89" s="256"/>
      <c r="AM89" s="256"/>
      <c r="AN89" s="372"/>
      <c r="AO89" s="372"/>
      <c r="AP89" s="372"/>
      <c r="AQ89" s="372"/>
      <c r="AR89" s="372"/>
      <c r="AS89" s="372"/>
      <c r="AT89" s="372"/>
      <c r="AU89" s="372"/>
      <c r="AV89" s="37" t="s">
        <v>2071</v>
      </c>
    </row>
    <row r="90" spans="1:301" s="284" customFormat="1" ht="15">
      <c r="A90" s="260">
        <v>711</v>
      </c>
      <c r="B90" s="261" t="s">
        <v>148</v>
      </c>
      <c r="C90" s="372" t="s">
        <v>1299</v>
      </c>
      <c r="D90" s="255">
        <v>38384</v>
      </c>
      <c r="E90" s="255">
        <v>38596</v>
      </c>
      <c r="F90" s="284" t="s">
        <v>2065</v>
      </c>
      <c r="G90" s="284" t="s">
        <v>1452</v>
      </c>
      <c r="H90" s="430" t="s">
        <v>2064</v>
      </c>
      <c r="I90" s="430" t="s">
        <v>2331</v>
      </c>
      <c r="J90" s="256">
        <v>5000</v>
      </c>
      <c r="K90" s="256"/>
      <c r="L90" s="256"/>
      <c r="M90" s="256">
        <v>55250</v>
      </c>
      <c r="N90" s="256">
        <f>M90/J90</f>
        <v>11.05</v>
      </c>
      <c r="O90" s="256"/>
      <c r="P90" s="256"/>
      <c r="Q90" s="256"/>
      <c r="R90" s="256"/>
      <c r="S90" s="318" t="s">
        <v>233</v>
      </c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256"/>
      <c r="AJ90" s="301">
        <f t="shared" si="9"/>
        <v>0</v>
      </c>
      <c r="AK90" s="256"/>
      <c r="AL90" s="256"/>
      <c r="AM90" s="256"/>
      <c r="AN90" s="372"/>
      <c r="AO90" s="372"/>
      <c r="AP90" s="372"/>
      <c r="AQ90" s="372"/>
      <c r="AR90" s="372"/>
      <c r="AS90" s="372"/>
      <c r="AT90" s="372"/>
      <c r="AU90" s="372"/>
      <c r="AV90" s="284" t="s">
        <v>2063</v>
      </c>
    </row>
    <row r="91" spans="1:301" s="436" customFormat="1" ht="26.25">
      <c r="A91" s="260">
        <v>712</v>
      </c>
      <c r="B91" s="489" t="s">
        <v>251</v>
      </c>
      <c r="C91" s="421" t="s">
        <v>1260</v>
      </c>
      <c r="D91" s="487">
        <v>38687</v>
      </c>
      <c r="E91" s="487">
        <v>38718</v>
      </c>
      <c r="F91" s="436" t="s">
        <v>2119</v>
      </c>
      <c r="G91" s="436" t="s">
        <v>1449</v>
      </c>
      <c r="H91" s="436" t="s">
        <v>2167</v>
      </c>
      <c r="I91" s="419" t="s">
        <v>2441</v>
      </c>
      <c r="J91" s="439"/>
      <c r="K91" s="439"/>
      <c r="L91" s="439"/>
      <c r="M91" s="439">
        <v>4386.03</v>
      </c>
      <c r="N91" s="256"/>
      <c r="O91" s="439"/>
      <c r="P91" s="439"/>
      <c r="Q91" s="439"/>
      <c r="R91" s="439"/>
      <c r="S91" s="318" t="s">
        <v>233</v>
      </c>
      <c r="T91" s="439"/>
      <c r="U91" s="439"/>
      <c r="V91" s="439"/>
      <c r="W91" s="439"/>
      <c r="X91" s="256"/>
      <c r="Y91" s="439"/>
      <c r="Z91" s="439"/>
      <c r="AA91" s="439"/>
      <c r="AB91" s="439"/>
      <c r="AC91" s="439"/>
      <c r="AD91" s="439"/>
      <c r="AE91" s="439"/>
      <c r="AF91" s="439"/>
      <c r="AG91" s="439"/>
      <c r="AH91" s="439"/>
      <c r="AI91" s="439"/>
      <c r="AJ91" s="301">
        <f t="shared" si="9"/>
        <v>0</v>
      </c>
      <c r="AK91" s="439"/>
      <c r="AL91" s="439"/>
      <c r="AM91" s="439"/>
      <c r="AN91" s="489"/>
      <c r="AO91" s="489"/>
      <c r="AP91" s="489"/>
      <c r="AQ91" s="489"/>
      <c r="AR91" s="489"/>
      <c r="AS91" s="489"/>
      <c r="AT91" s="489"/>
      <c r="AU91" s="489"/>
      <c r="AW91" s="284"/>
      <c r="AX91" s="284"/>
      <c r="AY91" s="284"/>
      <c r="AZ91" s="284"/>
      <c r="BA91" s="284"/>
      <c r="BB91" s="284"/>
      <c r="BC91" s="284"/>
      <c r="BD91" s="284"/>
      <c r="BE91" s="284"/>
      <c r="BF91" s="284"/>
      <c r="BG91" s="284"/>
      <c r="BH91" s="284"/>
      <c r="BI91" s="284"/>
      <c r="BJ91" s="284"/>
      <c r="BK91" s="284"/>
      <c r="BL91" s="284"/>
      <c r="BM91" s="284"/>
      <c r="BN91" s="284"/>
      <c r="BO91" s="284"/>
      <c r="BP91" s="284"/>
      <c r="BQ91" s="284"/>
      <c r="BR91" s="284"/>
      <c r="BS91" s="284"/>
      <c r="BT91" s="284"/>
      <c r="BU91" s="284"/>
      <c r="BV91" s="284"/>
      <c r="BW91" s="284"/>
      <c r="BX91" s="284"/>
      <c r="BY91" s="284"/>
      <c r="BZ91" s="284"/>
      <c r="CA91" s="284"/>
      <c r="CB91" s="284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  <c r="CW91" s="284"/>
      <c r="CX91" s="284"/>
      <c r="CY91" s="284"/>
      <c r="CZ91" s="284"/>
      <c r="DA91" s="284"/>
      <c r="DB91" s="284"/>
      <c r="DC91" s="284"/>
      <c r="DD91" s="284"/>
      <c r="DE91" s="284"/>
      <c r="DF91" s="284"/>
      <c r="DG91" s="284"/>
      <c r="DH91" s="284"/>
      <c r="DI91" s="284"/>
      <c r="DJ91" s="284"/>
      <c r="DK91" s="284"/>
      <c r="DL91" s="284"/>
      <c r="DM91" s="284"/>
      <c r="DN91" s="284"/>
      <c r="DO91" s="284"/>
      <c r="DP91" s="284"/>
      <c r="DQ91" s="284"/>
      <c r="DR91" s="284"/>
      <c r="DS91" s="284"/>
      <c r="DT91" s="284"/>
      <c r="DU91" s="284"/>
      <c r="DV91" s="284"/>
      <c r="DW91" s="284"/>
      <c r="DX91" s="284"/>
      <c r="DY91" s="284"/>
      <c r="DZ91" s="284"/>
      <c r="EA91" s="284"/>
      <c r="EB91" s="284"/>
      <c r="EC91" s="284"/>
      <c r="ED91" s="284"/>
      <c r="EE91" s="284"/>
      <c r="EF91" s="284"/>
      <c r="EG91" s="284"/>
      <c r="EH91" s="284"/>
      <c r="EI91" s="284"/>
      <c r="EJ91" s="284"/>
      <c r="EK91" s="284"/>
      <c r="EL91" s="284"/>
      <c r="EM91" s="284"/>
      <c r="EN91" s="284"/>
      <c r="EO91" s="284"/>
      <c r="EP91" s="284"/>
      <c r="EQ91" s="284"/>
      <c r="ER91" s="284"/>
      <c r="ES91" s="284"/>
      <c r="ET91" s="284"/>
      <c r="EU91" s="284"/>
      <c r="EV91" s="284"/>
      <c r="EW91" s="284"/>
      <c r="EX91" s="284"/>
      <c r="EY91" s="284"/>
      <c r="EZ91" s="284"/>
      <c r="FA91" s="284"/>
      <c r="FB91" s="284"/>
      <c r="FC91" s="284"/>
      <c r="FD91" s="284"/>
      <c r="FE91" s="284"/>
      <c r="FF91" s="284"/>
      <c r="FG91" s="284"/>
      <c r="FH91" s="284"/>
      <c r="FI91" s="284"/>
      <c r="FJ91" s="284"/>
      <c r="FK91" s="284"/>
      <c r="FL91" s="284"/>
      <c r="FM91" s="284"/>
      <c r="FN91" s="284"/>
      <c r="FO91" s="284"/>
      <c r="FP91" s="284"/>
      <c r="FQ91" s="284"/>
      <c r="FR91" s="284"/>
      <c r="FS91" s="284"/>
      <c r="FT91" s="284"/>
      <c r="FU91" s="284"/>
      <c r="FV91" s="284"/>
      <c r="FW91" s="284"/>
      <c r="FX91" s="284"/>
      <c r="FY91" s="284"/>
      <c r="FZ91" s="284"/>
      <c r="GA91" s="284"/>
      <c r="GB91" s="284"/>
      <c r="GC91" s="284"/>
      <c r="GD91" s="284"/>
      <c r="GE91" s="284"/>
      <c r="GF91" s="284"/>
      <c r="GG91" s="284"/>
      <c r="GH91" s="284"/>
      <c r="GI91" s="284"/>
      <c r="GJ91" s="284"/>
      <c r="GK91" s="284"/>
      <c r="GL91" s="284"/>
      <c r="GM91" s="284"/>
      <c r="GN91" s="284"/>
      <c r="GO91" s="284"/>
      <c r="GP91" s="284"/>
      <c r="GQ91" s="284"/>
      <c r="GR91" s="284"/>
      <c r="GS91" s="284"/>
      <c r="GT91" s="284"/>
      <c r="GU91" s="284"/>
      <c r="GV91" s="284"/>
      <c r="GW91" s="284"/>
      <c r="GX91" s="284"/>
      <c r="GY91" s="284"/>
      <c r="GZ91" s="284"/>
      <c r="HA91" s="284"/>
      <c r="HB91" s="284"/>
      <c r="HC91" s="284"/>
      <c r="HD91" s="284"/>
      <c r="HE91" s="284"/>
      <c r="HF91" s="284"/>
      <c r="HG91" s="284"/>
      <c r="HH91" s="284"/>
      <c r="HI91" s="284"/>
      <c r="HJ91" s="284"/>
      <c r="HK91" s="284"/>
      <c r="HL91" s="284"/>
      <c r="HM91" s="284"/>
      <c r="HN91" s="284"/>
      <c r="HO91" s="284"/>
      <c r="HP91" s="284"/>
      <c r="HQ91" s="284"/>
      <c r="HR91" s="284"/>
      <c r="HS91" s="284"/>
      <c r="HT91" s="284"/>
      <c r="HU91" s="284"/>
      <c r="HV91" s="284"/>
      <c r="HW91" s="284"/>
      <c r="HX91" s="284"/>
      <c r="HY91" s="284"/>
      <c r="HZ91" s="284"/>
      <c r="IA91" s="284"/>
      <c r="IB91" s="284"/>
      <c r="IC91" s="284"/>
      <c r="ID91" s="284"/>
      <c r="IE91" s="284"/>
      <c r="IF91" s="284"/>
      <c r="IG91" s="284"/>
      <c r="IH91" s="284"/>
      <c r="II91" s="284"/>
      <c r="IJ91" s="284"/>
      <c r="IK91" s="284"/>
      <c r="IL91" s="284"/>
      <c r="IM91" s="284"/>
      <c r="IN91" s="284"/>
      <c r="IO91" s="284"/>
      <c r="IP91" s="284"/>
      <c r="IQ91" s="284"/>
      <c r="IR91" s="284"/>
      <c r="IS91" s="284"/>
      <c r="IT91" s="284"/>
      <c r="IU91" s="284"/>
      <c r="IV91" s="284"/>
      <c r="IW91" s="284"/>
      <c r="IX91" s="284"/>
      <c r="IY91" s="284"/>
      <c r="IZ91" s="284"/>
      <c r="JA91" s="284"/>
      <c r="JB91" s="284"/>
      <c r="JC91" s="284"/>
      <c r="JD91" s="284"/>
      <c r="JE91" s="284"/>
      <c r="JF91" s="284"/>
      <c r="JG91" s="284"/>
      <c r="JH91" s="284"/>
      <c r="JI91" s="284"/>
      <c r="JJ91" s="284"/>
      <c r="JK91" s="284"/>
      <c r="JL91" s="284"/>
      <c r="JM91" s="284"/>
      <c r="JN91" s="284"/>
      <c r="JO91" s="284"/>
      <c r="JP91" s="284"/>
      <c r="JQ91" s="284"/>
      <c r="JR91" s="284"/>
      <c r="JS91" s="284"/>
      <c r="JT91" s="284"/>
      <c r="JU91" s="284"/>
      <c r="JV91" s="284"/>
      <c r="JW91" s="284"/>
      <c r="JX91" s="284"/>
      <c r="JY91" s="284"/>
      <c r="JZ91" s="284"/>
      <c r="KA91" s="284"/>
      <c r="KB91" s="284"/>
      <c r="KC91" s="284"/>
      <c r="KD91" s="284"/>
      <c r="KE91" s="284"/>
      <c r="KF91" s="284"/>
      <c r="KG91" s="284"/>
      <c r="KH91" s="284"/>
      <c r="KI91" s="284"/>
      <c r="KJ91" s="284"/>
      <c r="KK91" s="284"/>
      <c r="KL91" s="284"/>
      <c r="KM91" s="284"/>
      <c r="KN91" s="284"/>
      <c r="KO91" s="284"/>
    </row>
    <row r="92" spans="1:301" s="284" customFormat="1" ht="15">
      <c r="A92" s="260">
        <v>713</v>
      </c>
      <c r="B92" s="261" t="s">
        <v>1401</v>
      </c>
      <c r="C92" s="254" t="s">
        <v>1286</v>
      </c>
      <c r="D92" s="255">
        <v>38384</v>
      </c>
      <c r="E92" s="255"/>
      <c r="F92" s="284" t="s">
        <v>5</v>
      </c>
      <c r="G92" s="284" t="s">
        <v>1451</v>
      </c>
      <c r="H92" s="430" t="s">
        <v>2069</v>
      </c>
      <c r="I92" s="259" t="s">
        <v>2440</v>
      </c>
      <c r="J92" s="256">
        <v>5000</v>
      </c>
      <c r="K92" s="256"/>
      <c r="L92" s="256"/>
      <c r="M92" s="256">
        <v>100000</v>
      </c>
      <c r="N92" s="256">
        <f>M92/J92</f>
        <v>20</v>
      </c>
      <c r="O92" s="256"/>
      <c r="P92" s="256">
        <v>5000</v>
      </c>
      <c r="Q92" s="256"/>
      <c r="R92" s="256">
        <v>5000</v>
      </c>
      <c r="S92" s="318" t="s">
        <v>233</v>
      </c>
      <c r="T92" s="256"/>
      <c r="U92" s="256">
        <v>5000</v>
      </c>
      <c r="V92" s="256"/>
      <c r="W92" s="256"/>
      <c r="X92" s="349">
        <f>W92/R92</f>
        <v>0</v>
      </c>
      <c r="Y92" s="256"/>
      <c r="Z92" s="256">
        <v>5000</v>
      </c>
      <c r="AA92" s="256"/>
      <c r="AB92" s="256"/>
      <c r="AC92" s="256"/>
      <c r="AD92" s="256"/>
      <c r="AE92" s="256">
        <v>700</v>
      </c>
      <c r="AF92" s="256"/>
      <c r="AG92" s="256"/>
      <c r="AH92" s="256"/>
      <c r="AI92" s="256"/>
      <c r="AJ92" s="301">
        <f t="shared" si="9"/>
        <v>5000</v>
      </c>
      <c r="AK92" s="256"/>
      <c r="AL92" s="256"/>
      <c r="AM92" s="256"/>
      <c r="AN92" s="372"/>
      <c r="AO92" s="372"/>
      <c r="AP92" s="372"/>
      <c r="AQ92" s="372"/>
      <c r="AR92" s="372"/>
      <c r="AS92" s="372"/>
      <c r="AT92" s="372"/>
      <c r="AU92" s="372"/>
      <c r="AV92" s="284" t="s">
        <v>2068</v>
      </c>
    </row>
    <row r="93" spans="1:301" s="285" customFormat="1" ht="35.25" customHeight="1">
      <c r="A93" s="260">
        <v>714</v>
      </c>
      <c r="B93" s="261" t="s">
        <v>2048</v>
      </c>
      <c r="C93" s="388" t="s">
        <v>1278</v>
      </c>
      <c r="D93" s="351">
        <v>38473</v>
      </c>
      <c r="E93" s="351">
        <v>38687</v>
      </c>
      <c r="F93" s="284" t="s">
        <v>5</v>
      </c>
      <c r="G93" s="284" t="s">
        <v>1451</v>
      </c>
      <c r="H93" s="430" t="s">
        <v>2122</v>
      </c>
      <c r="I93" s="430" t="s">
        <v>2331</v>
      </c>
      <c r="J93" s="256">
        <v>400</v>
      </c>
      <c r="K93" s="298"/>
      <c r="L93" s="298"/>
      <c r="M93" s="298">
        <v>59999.99</v>
      </c>
      <c r="N93" s="256">
        <f>M93/J93</f>
        <v>149.99997500000001</v>
      </c>
      <c r="O93" s="298"/>
      <c r="P93" s="298"/>
      <c r="Q93" s="298"/>
      <c r="R93" s="298"/>
      <c r="S93" s="318" t="s">
        <v>233</v>
      </c>
      <c r="T93" s="298"/>
      <c r="U93" s="298"/>
      <c r="V93" s="298" t="s">
        <v>66</v>
      </c>
      <c r="W93" s="298">
        <v>12</v>
      </c>
      <c r="X93" s="256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301">
        <f t="shared" si="9"/>
        <v>0</v>
      </c>
      <c r="AK93" s="298" t="s">
        <v>66</v>
      </c>
      <c r="AL93" s="298" t="s">
        <v>66</v>
      </c>
      <c r="AM93" s="298"/>
      <c r="AN93" s="374"/>
      <c r="AO93" s="374"/>
      <c r="AP93" s="374"/>
      <c r="AQ93" s="374"/>
      <c r="AR93" s="374"/>
      <c r="AS93" s="374"/>
      <c r="AT93" s="374"/>
      <c r="AU93" s="374"/>
      <c r="AV93" s="282" t="s">
        <v>2097</v>
      </c>
      <c r="AW93" s="284"/>
      <c r="AX93" s="284"/>
      <c r="AY93" s="284"/>
      <c r="AZ93" s="284"/>
      <c r="BA93" s="284"/>
      <c r="BB93" s="284"/>
      <c r="BC93" s="284"/>
      <c r="BD93" s="284"/>
      <c r="BE93" s="284"/>
      <c r="BF93" s="284"/>
      <c r="BG93" s="284"/>
      <c r="BH93" s="284"/>
      <c r="BI93" s="284"/>
      <c r="BJ93" s="284"/>
      <c r="BK93" s="284"/>
      <c r="BL93" s="284"/>
      <c r="BM93" s="284"/>
      <c r="BN93" s="284"/>
      <c r="BO93" s="284"/>
      <c r="BP93" s="284"/>
      <c r="BQ93" s="284"/>
      <c r="BR93" s="284"/>
      <c r="BS93" s="284"/>
      <c r="BT93" s="284"/>
      <c r="BU93" s="284"/>
      <c r="BV93" s="284"/>
      <c r="BW93" s="284"/>
      <c r="BX93" s="284"/>
      <c r="BY93" s="284"/>
      <c r="BZ93" s="284"/>
      <c r="CA93" s="284"/>
      <c r="CB93" s="284"/>
      <c r="CC93" s="284"/>
      <c r="CD93" s="284"/>
      <c r="CE93" s="284"/>
      <c r="CF93" s="284"/>
      <c r="CG93" s="284"/>
      <c r="CH93" s="284"/>
      <c r="CI93" s="284"/>
      <c r="CJ93" s="284"/>
      <c r="CK93" s="284"/>
      <c r="CL93" s="284"/>
      <c r="CM93" s="284"/>
      <c r="CN93" s="284"/>
      <c r="CO93" s="284"/>
      <c r="CP93" s="284"/>
      <c r="CQ93" s="284"/>
      <c r="CR93" s="284"/>
      <c r="CS93" s="284"/>
      <c r="CT93" s="284"/>
      <c r="CU93" s="284"/>
      <c r="CV93" s="284"/>
      <c r="CW93" s="284"/>
      <c r="CX93" s="284"/>
      <c r="CY93" s="284"/>
      <c r="CZ93" s="284"/>
      <c r="DA93" s="284"/>
      <c r="DB93" s="284"/>
      <c r="DC93" s="284"/>
      <c r="DD93" s="284"/>
      <c r="DE93" s="284"/>
      <c r="DF93" s="284"/>
      <c r="DG93" s="284"/>
      <c r="DH93" s="284"/>
      <c r="DI93" s="284"/>
      <c r="DJ93" s="284"/>
      <c r="DK93" s="284"/>
      <c r="DL93" s="284"/>
      <c r="DM93" s="284"/>
      <c r="DN93" s="284"/>
      <c r="DO93" s="284"/>
      <c r="DP93" s="284"/>
      <c r="DQ93" s="284"/>
      <c r="DR93" s="284"/>
      <c r="DS93" s="284"/>
      <c r="DT93" s="284"/>
      <c r="DU93" s="284"/>
      <c r="DV93" s="284"/>
      <c r="DW93" s="284"/>
      <c r="DX93" s="284"/>
      <c r="DY93" s="284"/>
      <c r="DZ93" s="284"/>
      <c r="EA93" s="284"/>
      <c r="EB93" s="284"/>
      <c r="EC93" s="284"/>
      <c r="ED93" s="284"/>
      <c r="EE93" s="284"/>
      <c r="EF93" s="284"/>
      <c r="EG93" s="284"/>
      <c r="EH93" s="284"/>
      <c r="EI93" s="284"/>
      <c r="EJ93" s="284"/>
      <c r="EK93" s="284"/>
      <c r="EL93" s="284"/>
      <c r="EM93" s="284"/>
      <c r="EN93" s="284"/>
      <c r="EO93" s="284"/>
      <c r="EP93" s="284"/>
      <c r="EQ93" s="284"/>
      <c r="ER93" s="284"/>
      <c r="ES93" s="284"/>
      <c r="ET93" s="284"/>
      <c r="EU93" s="284"/>
      <c r="EV93" s="284"/>
      <c r="EW93" s="284"/>
      <c r="EX93" s="284"/>
      <c r="EY93" s="284"/>
      <c r="EZ93" s="284"/>
      <c r="FA93" s="284"/>
      <c r="FB93" s="284"/>
      <c r="FC93" s="284"/>
      <c r="FD93" s="284"/>
      <c r="FE93" s="284"/>
      <c r="FF93" s="284"/>
      <c r="FG93" s="284"/>
      <c r="FH93" s="284"/>
      <c r="FI93" s="284"/>
      <c r="FJ93" s="284"/>
      <c r="FK93" s="284"/>
      <c r="FL93" s="284"/>
      <c r="FM93" s="284"/>
      <c r="FN93" s="284"/>
      <c r="FO93" s="284"/>
      <c r="FP93" s="284"/>
      <c r="FQ93" s="284"/>
      <c r="FR93" s="284"/>
      <c r="FS93" s="284"/>
      <c r="FT93" s="284"/>
      <c r="FU93" s="284"/>
      <c r="FV93" s="284"/>
      <c r="FW93" s="284"/>
      <c r="FX93" s="284"/>
      <c r="FY93" s="284"/>
      <c r="FZ93" s="284"/>
      <c r="GA93" s="284"/>
      <c r="GB93" s="284"/>
      <c r="GC93" s="284"/>
      <c r="GD93" s="284"/>
      <c r="GE93" s="284"/>
      <c r="GF93" s="284"/>
      <c r="GG93" s="284"/>
      <c r="GH93" s="284"/>
      <c r="GI93" s="284"/>
      <c r="GJ93" s="284"/>
      <c r="GK93" s="284"/>
      <c r="GL93" s="284"/>
      <c r="GM93" s="284"/>
      <c r="GN93" s="284"/>
      <c r="GO93" s="284"/>
      <c r="GP93" s="284"/>
      <c r="GQ93" s="284"/>
      <c r="GR93" s="284"/>
      <c r="GS93" s="284"/>
      <c r="GT93" s="284"/>
      <c r="GU93" s="284"/>
      <c r="GV93" s="284"/>
      <c r="GW93" s="284"/>
      <c r="GX93" s="284"/>
      <c r="GY93" s="284"/>
      <c r="GZ93" s="284"/>
      <c r="HA93" s="284"/>
      <c r="HB93" s="284"/>
      <c r="HC93" s="284"/>
      <c r="HD93" s="284"/>
      <c r="HE93" s="284"/>
      <c r="HF93" s="284"/>
      <c r="HG93" s="284"/>
      <c r="HH93" s="284"/>
      <c r="HI93" s="284"/>
      <c r="HJ93" s="284"/>
      <c r="HK93" s="284"/>
      <c r="HL93" s="284"/>
      <c r="HM93" s="284"/>
      <c r="HN93" s="284"/>
      <c r="HO93" s="284"/>
      <c r="HP93" s="284"/>
      <c r="HQ93" s="284"/>
      <c r="HR93" s="284"/>
      <c r="HS93" s="284"/>
      <c r="HT93" s="284"/>
      <c r="HU93" s="284"/>
      <c r="HV93" s="284"/>
      <c r="HW93" s="284"/>
      <c r="HX93" s="284"/>
      <c r="HY93" s="284"/>
      <c r="HZ93" s="284"/>
      <c r="IA93" s="284"/>
      <c r="IB93" s="284"/>
      <c r="IC93" s="284"/>
      <c r="ID93" s="284"/>
      <c r="IE93" s="284"/>
      <c r="IF93" s="284"/>
      <c r="IG93" s="284"/>
      <c r="IH93" s="284"/>
      <c r="II93" s="284"/>
      <c r="IJ93" s="284"/>
      <c r="IK93" s="284"/>
      <c r="IL93" s="284"/>
      <c r="IM93" s="284"/>
      <c r="IN93" s="284"/>
      <c r="IO93" s="284"/>
      <c r="IP93" s="284"/>
      <c r="IQ93" s="284"/>
      <c r="IR93" s="284"/>
      <c r="IS93" s="284"/>
      <c r="IT93" s="284"/>
      <c r="IU93" s="284"/>
      <c r="IV93" s="284"/>
      <c r="IW93" s="284"/>
      <c r="IX93" s="284"/>
      <c r="IY93" s="284"/>
      <c r="IZ93" s="284"/>
      <c r="JA93" s="284"/>
      <c r="JB93" s="284"/>
      <c r="JC93" s="284"/>
      <c r="JD93" s="284"/>
      <c r="JE93" s="284"/>
      <c r="JF93" s="284"/>
      <c r="JG93" s="284"/>
      <c r="JH93" s="284"/>
      <c r="JI93" s="284"/>
      <c r="JJ93" s="284"/>
      <c r="JK93" s="284"/>
      <c r="JL93" s="284"/>
      <c r="JM93" s="284"/>
      <c r="JN93" s="284"/>
      <c r="JO93" s="284"/>
      <c r="JP93" s="284"/>
      <c r="JQ93" s="284"/>
      <c r="JR93" s="284"/>
      <c r="JS93" s="284"/>
      <c r="JT93" s="284"/>
      <c r="JU93" s="284"/>
      <c r="JV93" s="284"/>
      <c r="JW93" s="284"/>
      <c r="JX93" s="284"/>
      <c r="JY93" s="284"/>
      <c r="JZ93" s="284"/>
      <c r="KA93" s="284"/>
      <c r="KB93" s="284"/>
      <c r="KC93" s="284"/>
      <c r="KD93" s="284"/>
      <c r="KE93" s="284"/>
      <c r="KF93" s="284"/>
      <c r="KG93" s="284"/>
      <c r="KH93" s="284"/>
      <c r="KI93" s="284"/>
      <c r="KJ93" s="284"/>
      <c r="KK93" s="284"/>
      <c r="KL93" s="284"/>
      <c r="KM93" s="284"/>
      <c r="KN93" s="284"/>
      <c r="KO93" s="284"/>
    </row>
    <row r="94" spans="1:301" s="285" customFormat="1" ht="15">
      <c r="A94" s="260">
        <v>715</v>
      </c>
      <c r="B94" s="261" t="s">
        <v>321</v>
      </c>
      <c r="C94" s="374" t="s">
        <v>1261</v>
      </c>
      <c r="D94" s="351">
        <v>38412</v>
      </c>
      <c r="E94" s="351">
        <v>38991</v>
      </c>
      <c r="F94" s="285" t="s">
        <v>2059</v>
      </c>
      <c r="G94" s="285" t="s">
        <v>1451</v>
      </c>
      <c r="H94" s="427" t="s">
        <v>322</v>
      </c>
      <c r="I94" s="278" t="s">
        <v>2438</v>
      </c>
      <c r="J94" s="298">
        <v>70000</v>
      </c>
      <c r="K94" s="298">
        <v>1648032</v>
      </c>
      <c r="L94" s="298">
        <v>1546226</v>
      </c>
      <c r="M94" s="298">
        <v>1546226</v>
      </c>
      <c r="N94" s="256">
        <f>M94/J94</f>
        <v>22.088942857142857</v>
      </c>
      <c r="O94" s="298">
        <f>(L94*100)/K94</f>
        <v>93.822571406380462</v>
      </c>
      <c r="P94" s="298"/>
      <c r="Q94" s="298"/>
      <c r="R94" s="298"/>
      <c r="S94" s="318" t="s">
        <v>233</v>
      </c>
      <c r="T94" s="298"/>
      <c r="U94" s="298">
        <v>10000</v>
      </c>
      <c r="V94" s="298" t="s">
        <v>66</v>
      </c>
      <c r="W94" s="298">
        <v>1251</v>
      </c>
      <c r="X94" s="256"/>
      <c r="Y94" s="298"/>
      <c r="Z94" s="298"/>
      <c r="AA94" s="298"/>
      <c r="AB94" s="298"/>
      <c r="AC94" s="298">
        <v>500</v>
      </c>
      <c r="AD94" s="298"/>
      <c r="AE94" s="298"/>
      <c r="AF94" s="298"/>
      <c r="AG94" s="298"/>
      <c r="AH94" s="298"/>
      <c r="AI94" s="298"/>
      <c r="AJ94" s="301">
        <f t="shared" si="9"/>
        <v>0</v>
      </c>
      <c r="AK94" s="298">
        <v>65911</v>
      </c>
      <c r="AL94" s="298">
        <v>71365</v>
      </c>
      <c r="AM94" s="263"/>
      <c r="AN94" s="374"/>
      <c r="AO94" s="374"/>
      <c r="AP94" s="374"/>
      <c r="AQ94" s="374"/>
      <c r="AR94" s="374"/>
      <c r="AS94" s="374"/>
      <c r="AT94" s="374"/>
      <c r="AU94" s="374"/>
      <c r="AV94" s="285" t="s">
        <v>2057</v>
      </c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  <c r="BG94" s="284"/>
      <c r="BH94" s="284"/>
      <c r="BI94" s="284"/>
      <c r="BJ94" s="284"/>
      <c r="BK94" s="284"/>
      <c r="BL94" s="284"/>
      <c r="BM94" s="284"/>
      <c r="BN94" s="284"/>
      <c r="BO94" s="284"/>
      <c r="BP94" s="284"/>
      <c r="BQ94" s="284"/>
      <c r="BR94" s="284"/>
      <c r="BS94" s="284"/>
      <c r="BT94" s="284"/>
      <c r="BU94" s="284"/>
      <c r="BV94" s="284"/>
      <c r="BW94" s="284"/>
      <c r="BX94" s="284"/>
      <c r="BY94" s="284"/>
      <c r="BZ94" s="284"/>
      <c r="CA94" s="284"/>
      <c r="CB94" s="284"/>
      <c r="CC94" s="284"/>
      <c r="CD94" s="284"/>
      <c r="CE94" s="284"/>
      <c r="CF94" s="284"/>
      <c r="CG94" s="284"/>
      <c r="CH94" s="284"/>
      <c r="CI94" s="284"/>
      <c r="CJ94" s="284"/>
      <c r="CK94" s="284"/>
      <c r="CL94" s="284"/>
      <c r="CM94" s="284"/>
      <c r="CN94" s="284"/>
      <c r="CO94" s="284"/>
      <c r="CP94" s="284"/>
      <c r="CQ94" s="284"/>
      <c r="CR94" s="284"/>
      <c r="CS94" s="284"/>
      <c r="CT94" s="284"/>
      <c r="CU94" s="284"/>
      <c r="CV94" s="284"/>
      <c r="CW94" s="284"/>
      <c r="CX94" s="284"/>
      <c r="CY94" s="284"/>
      <c r="CZ94" s="284"/>
      <c r="DA94" s="284"/>
      <c r="DB94" s="284"/>
      <c r="DC94" s="284"/>
      <c r="DD94" s="284"/>
      <c r="DE94" s="284"/>
      <c r="DF94" s="284"/>
      <c r="DG94" s="284"/>
      <c r="DH94" s="284"/>
      <c r="DI94" s="284"/>
      <c r="DJ94" s="284"/>
      <c r="DK94" s="284"/>
      <c r="DL94" s="284"/>
      <c r="DM94" s="284"/>
      <c r="DN94" s="284"/>
      <c r="DO94" s="284"/>
      <c r="DP94" s="284"/>
      <c r="DQ94" s="284"/>
      <c r="DR94" s="284"/>
      <c r="DS94" s="284"/>
      <c r="DT94" s="284"/>
      <c r="DU94" s="284"/>
      <c r="DV94" s="284"/>
      <c r="DW94" s="284"/>
      <c r="DX94" s="284"/>
      <c r="DY94" s="284"/>
      <c r="DZ94" s="284"/>
      <c r="EA94" s="284"/>
      <c r="EB94" s="284"/>
      <c r="EC94" s="284"/>
      <c r="ED94" s="284"/>
      <c r="EE94" s="284"/>
      <c r="EF94" s="284"/>
      <c r="EG94" s="284"/>
      <c r="EH94" s="284"/>
      <c r="EI94" s="284"/>
      <c r="EJ94" s="284"/>
      <c r="EK94" s="284"/>
      <c r="EL94" s="284"/>
      <c r="EM94" s="284"/>
      <c r="EN94" s="284"/>
      <c r="EO94" s="284"/>
      <c r="EP94" s="284"/>
      <c r="EQ94" s="284"/>
      <c r="ER94" s="284"/>
      <c r="ES94" s="284"/>
      <c r="ET94" s="284"/>
      <c r="EU94" s="284"/>
      <c r="EV94" s="284"/>
      <c r="EW94" s="284"/>
      <c r="EX94" s="284"/>
      <c r="EY94" s="284"/>
      <c r="EZ94" s="284"/>
      <c r="FA94" s="284"/>
      <c r="FB94" s="284"/>
      <c r="FC94" s="284"/>
      <c r="FD94" s="284"/>
      <c r="FE94" s="284"/>
      <c r="FF94" s="284"/>
      <c r="FG94" s="284"/>
      <c r="FH94" s="284"/>
      <c r="FI94" s="284"/>
      <c r="FJ94" s="284"/>
      <c r="FK94" s="284"/>
      <c r="FL94" s="284"/>
      <c r="FM94" s="284"/>
      <c r="FN94" s="284"/>
      <c r="FO94" s="284"/>
      <c r="FP94" s="284"/>
      <c r="FQ94" s="284"/>
      <c r="FR94" s="284"/>
      <c r="FS94" s="284"/>
      <c r="FT94" s="284"/>
      <c r="FU94" s="284"/>
      <c r="FV94" s="284"/>
      <c r="FW94" s="284"/>
      <c r="FX94" s="284"/>
      <c r="FY94" s="284"/>
      <c r="FZ94" s="284"/>
      <c r="GA94" s="284"/>
      <c r="GB94" s="284"/>
      <c r="GC94" s="284"/>
      <c r="GD94" s="284"/>
      <c r="GE94" s="284"/>
      <c r="GF94" s="284"/>
      <c r="GG94" s="284"/>
      <c r="GH94" s="284"/>
      <c r="GI94" s="284"/>
      <c r="GJ94" s="284"/>
      <c r="GK94" s="284"/>
      <c r="GL94" s="284"/>
      <c r="GM94" s="284"/>
      <c r="GN94" s="284"/>
      <c r="GO94" s="284"/>
      <c r="GP94" s="284"/>
      <c r="GQ94" s="284"/>
      <c r="GR94" s="284"/>
      <c r="GS94" s="284"/>
      <c r="GT94" s="284"/>
      <c r="GU94" s="284"/>
      <c r="GV94" s="284"/>
      <c r="GW94" s="284"/>
      <c r="GX94" s="284"/>
      <c r="GY94" s="284"/>
      <c r="GZ94" s="284"/>
      <c r="HA94" s="284"/>
      <c r="HB94" s="284"/>
      <c r="HC94" s="284"/>
      <c r="HD94" s="284"/>
      <c r="HE94" s="284"/>
      <c r="HF94" s="284"/>
      <c r="HG94" s="284"/>
      <c r="HH94" s="284"/>
      <c r="HI94" s="284"/>
      <c r="HJ94" s="284"/>
      <c r="HK94" s="284"/>
      <c r="HL94" s="284"/>
      <c r="HM94" s="284"/>
      <c r="HN94" s="284"/>
      <c r="HO94" s="284"/>
      <c r="HP94" s="284"/>
      <c r="HQ94" s="284"/>
      <c r="HR94" s="284"/>
      <c r="HS94" s="284"/>
      <c r="HT94" s="284"/>
      <c r="HU94" s="284"/>
      <c r="HV94" s="284"/>
      <c r="HW94" s="284"/>
      <c r="HX94" s="284"/>
      <c r="HY94" s="284"/>
      <c r="HZ94" s="284"/>
      <c r="IA94" s="284"/>
      <c r="IB94" s="284"/>
      <c r="IC94" s="284"/>
      <c r="ID94" s="284"/>
      <c r="IE94" s="284"/>
      <c r="IF94" s="284"/>
      <c r="IG94" s="284"/>
      <c r="IH94" s="284"/>
      <c r="II94" s="284"/>
      <c r="IJ94" s="284"/>
      <c r="IK94" s="284"/>
      <c r="IL94" s="284"/>
      <c r="IM94" s="284"/>
      <c r="IN94" s="284"/>
      <c r="IO94" s="284"/>
      <c r="IP94" s="284"/>
      <c r="IQ94" s="284"/>
      <c r="IR94" s="284"/>
      <c r="IS94" s="284"/>
      <c r="IT94" s="284"/>
      <c r="IU94" s="284"/>
      <c r="IV94" s="284"/>
      <c r="IW94" s="284"/>
      <c r="IX94" s="284"/>
      <c r="IY94" s="284"/>
      <c r="IZ94" s="284"/>
      <c r="JA94" s="284"/>
      <c r="JB94" s="284"/>
      <c r="JC94" s="284"/>
      <c r="JD94" s="284"/>
      <c r="JE94" s="284"/>
      <c r="JF94" s="284"/>
      <c r="JG94" s="284"/>
      <c r="JH94" s="284"/>
      <c r="JI94" s="284"/>
      <c r="JJ94" s="284"/>
      <c r="JK94" s="284"/>
      <c r="JL94" s="284"/>
      <c r="JM94" s="284"/>
      <c r="JN94" s="284"/>
      <c r="JO94" s="284"/>
      <c r="JP94" s="284"/>
      <c r="JQ94" s="284"/>
      <c r="JR94" s="284"/>
      <c r="JS94" s="284"/>
      <c r="JT94" s="284"/>
      <c r="JU94" s="284"/>
      <c r="JV94" s="284"/>
      <c r="JW94" s="284"/>
      <c r="JX94" s="284"/>
      <c r="JY94" s="284"/>
      <c r="JZ94" s="284"/>
      <c r="KA94" s="284"/>
      <c r="KB94" s="284"/>
      <c r="KC94" s="284"/>
      <c r="KD94" s="284"/>
      <c r="KE94" s="284"/>
      <c r="KF94" s="284"/>
      <c r="KG94" s="284"/>
      <c r="KH94" s="284"/>
      <c r="KI94" s="284"/>
      <c r="KJ94" s="284"/>
      <c r="KK94" s="284"/>
      <c r="KL94" s="284"/>
      <c r="KM94" s="284"/>
      <c r="KN94" s="284"/>
      <c r="KO94" s="284"/>
    </row>
    <row r="95" spans="1:301" s="284" customFormat="1" ht="15">
      <c r="A95" s="260">
        <v>716</v>
      </c>
      <c r="B95" s="261" t="s">
        <v>182</v>
      </c>
      <c r="C95" s="372" t="s">
        <v>1286</v>
      </c>
      <c r="D95" s="255">
        <v>38626</v>
      </c>
      <c r="E95" s="255">
        <v>39173</v>
      </c>
      <c r="F95" s="284" t="s">
        <v>181</v>
      </c>
      <c r="G95" s="284" t="s">
        <v>1450</v>
      </c>
      <c r="H95" s="430" t="s">
        <v>179</v>
      </c>
      <c r="I95" s="278" t="s">
        <v>2438</v>
      </c>
      <c r="J95" s="256">
        <v>50250</v>
      </c>
      <c r="K95" s="256">
        <v>6175760</v>
      </c>
      <c r="L95" s="256">
        <v>5537744</v>
      </c>
      <c r="M95" s="256">
        <v>5443913</v>
      </c>
      <c r="N95" s="256">
        <f>M95/J95</f>
        <v>108.33657711442785</v>
      </c>
      <c r="O95" s="256">
        <f>(L95*100)/K95</f>
        <v>89.669028589193886</v>
      </c>
      <c r="P95" s="256"/>
      <c r="Q95" s="256">
        <f>(167+82+26+56)*5</f>
        <v>1655</v>
      </c>
      <c r="R95" s="256">
        <f>(167+82+26+56)*5</f>
        <v>1655</v>
      </c>
      <c r="S95" s="256" t="s">
        <v>2</v>
      </c>
      <c r="T95" s="256"/>
      <c r="U95" s="256">
        <f>34+70+28+103+112+28</f>
        <v>375</v>
      </c>
      <c r="V95" s="256">
        <v>383915</v>
      </c>
      <c r="W95" s="256">
        <v>333520</v>
      </c>
      <c r="X95" s="349">
        <f>W95/R95</f>
        <v>201.52265861027189</v>
      </c>
      <c r="Y95" s="256"/>
      <c r="Z95" s="256">
        <f>670+148</f>
        <v>818</v>
      </c>
      <c r="AA95" s="256">
        <f>10001+ (671*5)+1880+521</f>
        <v>15757</v>
      </c>
      <c r="AB95" s="256">
        <v>63</v>
      </c>
      <c r="AC95" s="256"/>
      <c r="AD95" s="256"/>
      <c r="AE95" s="256"/>
      <c r="AF95" s="256"/>
      <c r="AG95" s="256"/>
      <c r="AH95" s="256">
        <v>1997</v>
      </c>
      <c r="AI95" s="256">
        <v>42</v>
      </c>
      <c r="AJ95" s="288">
        <f t="shared" si="9"/>
        <v>18572</v>
      </c>
      <c r="AK95" s="256">
        <v>107509</v>
      </c>
      <c r="AL95" s="256">
        <v>48946</v>
      </c>
      <c r="AM95" s="263">
        <f t="shared" ref="AM95" si="10">AL95/AJ95</f>
        <v>2.6354727546844714</v>
      </c>
      <c r="AN95" s="372"/>
      <c r="AO95" s="372"/>
      <c r="AP95" s="372"/>
      <c r="AQ95" s="372"/>
      <c r="AR95" s="372"/>
      <c r="AS95" s="372"/>
      <c r="AT95" s="372"/>
      <c r="AU95" s="372"/>
      <c r="AV95" s="433" t="s">
        <v>180</v>
      </c>
    </row>
    <row r="96" spans="1:301" s="284" customFormat="1" ht="15">
      <c r="A96" s="260">
        <v>717</v>
      </c>
      <c r="B96" s="261" t="s">
        <v>121</v>
      </c>
      <c r="C96" s="372" t="s">
        <v>1261</v>
      </c>
      <c r="D96" s="255">
        <v>38657</v>
      </c>
      <c r="E96" s="255">
        <v>38749</v>
      </c>
      <c r="F96" s="284" t="s">
        <v>2061</v>
      </c>
      <c r="G96" s="284" t="s">
        <v>1454</v>
      </c>
      <c r="H96" s="430" t="s">
        <v>2062</v>
      </c>
      <c r="I96" s="430" t="s">
        <v>2331</v>
      </c>
      <c r="J96" s="256" t="s">
        <v>134</v>
      </c>
      <c r="K96" s="256">
        <v>130000</v>
      </c>
      <c r="L96" s="256">
        <v>128762</v>
      </c>
      <c r="M96" s="256">
        <v>128762</v>
      </c>
      <c r="N96" s="256"/>
      <c r="O96" s="256">
        <f>(M96*100)/K96</f>
        <v>99.047692307692301</v>
      </c>
      <c r="P96" s="256"/>
      <c r="Q96" s="256">
        <f>25*20</f>
        <v>500</v>
      </c>
      <c r="R96" s="256">
        <f>25*20</f>
        <v>500</v>
      </c>
      <c r="S96" s="318" t="s">
        <v>233</v>
      </c>
      <c r="T96" s="256"/>
      <c r="U96" s="256"/>
      <c r="V96" s="256"/>
      <c r="W96" s="256"/>
      <c r="X96" s="349">
        <f>W96/R96</f>
        <v>0</v>
      </c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88">
        <f t="shared" si="9"/>
        <v>0</v>
      </c>
      <c r="AK96" s="256"/>
      <c r="AL96" s="256"/>
      <c r="AM96" s="256"/>
      <c r="AN96" s="372"/>
      <c r="AO96" s="372"/>
      <c r="AP96" s="372"/>
      <c r="AQ96" s="372"/>
      <c r="AR96" s="372"/>
      <c r="AS96" s="372"/>
      <c r="AT96" s="372"/>
      <c r="AU96" s="372"/>
      <c r="AV96" s="433" t="s">
        <v>2060</v>
      </c>
    </row>
    <row r="98" spans="1:48" s="1" customFormat="1">
      <c r="A98" s="511" t="s">
        <v>1521</v>
      </c>
      <c r="B98" s="511"/>
      <c r="C98" s="511"/>
      <c r="D98" s="511"/>
      <c r="E98" s="511"/>
      <c r="F98" s="511"/>
      <c r="G98" s="511"/>
      <c r="H98" s="511"/>
      <c r="I98" s="511"/>
      <c r="J98" s="511">
        <f>SUBTOTAL(9,J3:J96)</f>
        <v>8849388</v>
      </c>
      <c r="K98" s="511">
        <f t="shared" ref="K98:L98" si="11">SUBTOTAL(9,K3:K96)</f>
        <v>272434936</v>
      </c>
      <c r="L98" s="511">
        <f t="shared" si="11"/>
        <v>232357427.88</v>
      </c>
      <c r="M98" s="511">
        <f t="shared" ref="M98" si="12">SUBTOTAL(9,M3:M96)</f>
        <v>225819406.82000005</v>
      </c>
      <c r="N98" s="511">
        <f>SUBTOTAL(1,N3:N96)</f>
        <v>31.388474870933869</v>
      </c>
      <c r="O98" s="511">
        <f>SUBTOTAL(1,O3:O96)</f>
        <v>81.934040414438599</v>
      </c>
      <c r="P98" s="511">
        <f>SUBTOTAL(9,P3:P96)</f>
        <v>1957235</v>
      </c>
      <c r="Q98" s="511">
        <f t="shared" ref="Q98:W98" si="13">SUBTOTAL(9,Q3:Q96)</f>
        <v>204670</v>
      </c>
      <c r="R98" s="511">
        <f t="shared" si="13"/>
        <v>1985206</v>
      </c>
      <c r="S98" s="511">
        <f t="shared" si="13"/>
        <v>0</v>
      </c>
      <c r="T98" s="511">
        <f t="shared" si="13"/>
        <v>2099</v>
      </c>
      <c r="U98" s="511">
        <f t="shared" si="13"/>
        <v>1851287</v>
      </c>
      <c r="V98" s="511">
        <f t="shared" si="13"/>
        <v>4859622</v>
      </c>
      <c r="W98" s="511">
        <f t="shared" si="13"/>
        <v>10339590.66</v>
      </c>
      <c r="X98" s="511">
        <f>SUBTOTAL(1,X3:X96)</f>
        <v>17.230663015581722</v>
      </c>
      <c r="Y98" s="511">
        <f>SUBTOTAL(9,Y3:Y96)</f>
        <v>676485</v>
      </c>
      <c r="Z98" s="511">
        <f>SUBTOTAL(9,Z3:Z96)</f>
        <v>494953</v>
      </c>
      <c r="AA98" s="511">
        <f>SUBTOTAL(9,AA3:AA96)</f>
        <v>3544559</v>
      </c>
      <c r="AB98" s="511">
        <f t="shared" ref="AB98:AI98" si="14">SUBTOTAL(9,AB3:AB96)</f>
        <v>7380</v>
      </c>
      <c r="AC98" s="511">
        <f t="shared" si="14"/>
        <v>885</v>
      </c>
      <c r="AD98" s="511">
        <f t="shared" si="14"/>
        <v>0</v>
      </c>
      <c r="AE98" s="511">
        <f t="shared" si="14"/>
        <v>41028</v>
      </c>
      <c r="AF98" s="511">
        <f t="shared" si="14"/>
        <v>0</v>
      </c>
      <c r="AG98" s="511">
        <f t="shared" si="14"/>
        <v>0</v>
      </c>
      <c r="AH98" s="511">
        <f t="shared" si="14"/>
        <v>312048</v>
      </c>
      <c r="AI98" s="511">
        <f t="shared" si="14"/>
        <v>2850</v>
      </c>
      <c r="AJ98" s="511">
        <f t="shared" ref="AJ98:AL98" si="15">SUBTOTAL(9,AJ3:AJ96)</f>
        <v>4351560</v>
      </c>
      <c r="AK98" s="511">
        <f t="shared" si="15"/>
        <v>4258433</v>
      </c>
      <c r="AL98" s="511">
        <f t="shared" si="15"/>
        <v>3358863</v>
      </c>
      <c r="AM98" s="511">
        <f>SUBTOTAL(1,AM3:AM96)</f>
        <v>5.0225991488824446</v>
      </c>
      <c r="AN98" s="511"/>
      <c r="AO98" s="511"/>
      <c r="AP98" s="511"/>
      <c r="AQ98" s="511"/>
      <c r="AR98" s="511"/>
      <c r="AS98" s="511"/>
      <c r="AT98" s="511"/>
      <c r="AU98" s="511"/>
      <c r="AV98" s="511"/>
    </row>
  </sheetData>
  <autoFilter ref="A2:KO96"/>
  <mergeCells count="10">
    <mergeCell ref="AO1:AS1"/>
    <mergeCell ref="AT1:AU1"/>
    <mergeCell ref="AV1:AV2"/>
    <mergeCell ref="J1:O1"/>
    <mergeCell ref="P1:R1"/>
    <mergeCell ref="S1:U1"/>
    <mergeCell ref="V1:X1"/>
    <mergeCell ref="Y1:AI1"/>
    <mergeCell ref="AJ1:AJ2"/>
    <mergeCell ref="AK1:AM1"/>
  </mergeCells>
  <hyperlinks>
    <hyperlink ref="AV17" r:id="rId1"/>
    <hyperlink ref="AV49" r:id="rId2"/>
    <hyperlink ref="AV4" r:id="rId3"/>
    <hyperlink ref="AV53" r:id="rId4"/>
    <hyperlink ref="AV29" r:id="rId5"/>
    <hyperlink ref="AV60" r:id="rId6"/>
    <hyperlink ref="AV51" r:id="rId7"/>
    <hyperlink ref="AV57" r:id="rId8"/>
    <hyperlink ref="AV47" r:id="rId9"/>
    <hyperlink ref="AV18" r:id="rId10"/>
    <hyperlink ref="AV58" r:id="rId11"/>
    <hyperlink ref="AV46" r:id="rId12"/>
    <hyperlink ref="AV23" r:id="rId13"/>
    <hyperlink ref="AV52" r:id="rId14"/>
    <hyperlink ref="AV21:AV22" r:id="rId15" display="http://www.ifrc.org/docs/appeals/05/05EA024Final.pdf"/>
    <hyperlink ref="AV5" r:id="rId16"/>
    <hyperlink ref="AV14:AV19" r:id="rId17" display="http://www.ifrc.org/docs/appeals/05/05EA023fr.pdf"/>
    <hyperlink ref="AV31" r:id="rId18"/>
    <hyperlink ref="AV27" r:id="rId19"/>
    <hyperlink ref="AV9" r:id="rId20"/>
    <hyperlink ref="AV43" r:id="rId21"/>
    <hyperlink ref="AV16" r:id="rId22"/>
    <hyperlink ref="AV32" r:id="rId23"/>
    <hyperlink ref="AV40" r:id="rId24"/>
    <hyperlink ref="AV59" r:id="rId25"/>
    <hyperlink ref="AV73" r:id="rId26"/>
    <hyperlink ref="AV95" r:id="rId27"/>
    <hyperlink ref="AV61" r:id="rId28"/>
    <hyperlink ref="AV66" r:id="rId29"/>
    <hyperlink ref="AV68" r:id="rId30"/>
    <hyperlink ref="AV93" r:id="rId31"/>
    <hyperlink ref="AV63" r:id="rId32"/>
    <hyperlink ref="AV67" r:id="rId33"/>
    <hyperlink ref="AV70" r:id="rId34"/>
    <hyperlink ref="AV75" r:id="rId35"/>
    <hyperlink ref="AV79" r:id="rId36"/>
    <hyperlink ref="AV82" r:id="rId37"/>
    <hyperlink ref="AV64" r:id="rId38"/>
    <hyperlink ref="AV84" r:id="rId39"/>
    <hyperlink ref="AV83" r:id="rId40"/>
    <hyperlink ref="AV62" r:id="rId41"/>
    <hyperlink ref="AV88" r:id="rId42"/>
    <hyperlink ref="AV72" r:id="rId43"/>
    <hyperlink ref="AV71" r:id="rId44"/>
    <hyperlink ref="AV78" r:id="rId45"/>
    <hyperlink ref="AV69" r:id="rId46"/>
    <hyperlink ref="AV10:AV12" r:id="rId47" display="http://www.ifrc.org/docs/appeals/05/05EA015fr.pdf"/>
    <hyperlink ref="AV96" r:id="rId48"/>
    <hyperlink ref="AV3" r:id="rId49"/>
    <hyperlink ref="AV54" r:id="rId50"/>
    <hyperlink ref="AV13" r:id="rId51"/>
    <hyperlink ref="AV14" r:id="rId52"/>
    <hyperlink ref="AV21" r:id="rId53"/>
    <hyperlink ref="AV89" r:id="rId54"/>
  </hyperlinks>
  <pageMargins left="0.7" right="0.7" top="0.75" bottom="0.75" header="0.3" footer="0.3"/>
  <legacyDrawing r:id="rId55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P61"/>
  <sheetViews>
    <sheetView topLeftCell="W1" workbookViewId="0">
      <pane ySplit="1" topLeftCell="A2" activePane="bottomLeft" state="frozen"/>
      <selection activeCell="M1" sqref="M1"/>
      <selection pane="bottomLeft" activeCell="AJ61" sqref="AJ61:AK61"/>
    </sheetView>
  </sheetViews>
  <sheetFormatPr defaultRowHeight="12.75"/>
  <cols>
    <col min="11" max="11" width="10.5703125" customWidth="1"/>
    <col min="12" max="12" width="11.5703125" customWidth="1"/>
    <col min="13" max="13" width="12" customWidth="1"/>
    <col min="23" max="23" width="11" customWidth="1"/>
    <col min="38" max="38" width="11" customWidth="1"/>
  </cols>
  <sheetData>
    <row r="1" spans="1:119" s="495" customFormat="1" ht="60" customHeight="1">
      <c r="A1" s="497" t="s">
        <v>3</v>
      </c>
      <c r="B1" s="497" t="s">
        <v>46</v>
      </c>
      <c r="C1" s="498" t="s">
        <v>1038</v>
      </c>
      <c r="D1" s="493" t="s">
        <v>41</v>
      </c>
      <c r="E1" s="493"/>
      <c r="F1" s="492" t="s">
        <v>42</v>
      </c>
      <c r="G1" s="497" t="s">
        <v>1448</v>
      </c>
      <c r="H1" s="497" t="s">
        <v>2436</v>
      </c>
      <c r="I1" s="499" t="s">
        <v>2439</v>
      </c>
      <c r="J1" s="1050" t="s">
        <v>1505</v>
      </c>
      <c r="K1" s="1051"/>
      <c r="L1" s="1051"/>
      <c r="M1" s="1051"/>
      <c r="N1" s="1051"/>
      <c r="O1" s="1052"/>
      <c r="P1" s="1053" t="s">
        <v>2442</v>
      </c>
      <c r="Q1" s="1054"/>
      <c r="R1" s="1055"/>
      <c r="S1" s="1053" t="s">
        <v>2445</v>
      </c>
      <c r="T1" s="1054"/>
      <c r="U1" s="1056"/>
      <c r="V1" s="1057" t="s">
        <v>2434</v>
      </c>
      <c r="W1" s="1058"/>
      <c r="X1" s="1059"/>
      <c r="Y1" s="1060" t="s">
        <v>31</v>
      </c>
      <c r="Z1" s="1061"/>
      <c r="AA1" s="1061"/>
      <c r="AB1" s="1061"/>
      <c r="AC1" s="1061"/>
      <c r="AD1" s="1061"/>
      <c r="AE1" s="1061"/>
      <c r="AF1" s="1061"/>
      <c r="AG1" s="1061"/>
      <c r="AH1" s="1061"/>
      <c r="AI1" s="1062"/>
      <c r="AJ1" s="1065" t="s">
        <v>1557</v>
      </c>
      <c r="AK1" s="1063" t="s">
        <v>2435</v>
      </c>
      <c r="AL1" s="1064"/>
      <c r="AM1" s="1067"/>
      <c r="AN1" s="494"/>
      <c r="AO1" s="1044" t="s">
        <v>35</v>
      </c>
      <c r="AP1" s="1045"/>
      <c r="AQ1" s="1045"/>
      <c r="AR1" s="1045"/>
      <c r="AS1" s="1046"/>
      <c r="AT1" s="1047" t="s">
        <v>112</v>
      </c>
      <c r="AU1" s="1046"/>
      <c r="AV1" s="1048" t="s">
        <v>51</v>
      </c>
    </row>
    <row r="2" spans="1:119" s="496" customFormat="1" ht="48" customHeight="1">
      <c r="A2" s="244"/>
      <c r="B2" s="244"/>
      <c r="C2" s="245"/>
      <c r="D2" s="247" t="s">
        <v>108</v>
      </c>
      <c r="E2" s="247" t="s">
        <v>107</v>
      </c>
      <c r="F2" s="244"/>
      <c r="G2" s="244"/>
      <c r="H2" s="244"/>
      <c r="I2" s="251"/>
      <c r="J2" s="246" t="s">
        <v>13</v>
      </c>
      <c r="K2" s="246" t="s">
        <v>45</v>
      </c>
      <c r="L2" s="250" t="s">
        <v>111</v>
      </c>
      <c r="M2" s="246" t="s">
        <v>67</v>
      </c>
      <c r="N2" s="500" t="s">
        <v>2299</v>
      </c>
      <c r="O2" s="246" t="s">
        <v>115</v>
      </c>
      <c r="P2" s="478" t="s">
        <v>2443</v>
      </c>
      <c r="Q2" s="249" t="s">
        <v>2444</v>
      </c>
      <c r="R2" s="249" t="s">
        <v>50</v>
      </c>
      <c r="S2" s="248" t="s">
        <v>93</v>
      </c>
      <c r="T2" s="248" t="s">
        <v>92</v>
      </c>
      <c r="U2" s="248" t="s">
        <v>91</v>
      </c>
      <c r="V2" s="249" t="s">
        <v>48</v>
      </c>
      <c r="W2" s="249" t="s">
        <v>49</v>
      </c>
      <c r="X2" s="501" t="s">
        <v>2360</v>
      </c>
      <c r="Y2" s="471" t="s">
        <v>38</v>
      </c>
      <c r="Z2" s="471" t="s">
        <v>76</v>
      </c>
      <c r="AA2" s="471" t="s">
        <v>77</v>
      </c>
      <c r="AB2" s="471" t="s">
        <v>82</v>
      </c>
      <c r="AC2" s="471" t="s">
        <v>109</v>
      </c>
      <c r="AD2" s="471" t="s">
        <v>110</v>
      </c>
      <c r="AE2" s="471" t="s">
        <v>81</v>
      </c>
      <c r="AF2" s="471" t="s">
        <v>33</v>
      </c>
      <c r="AG2" s="471" t="s">
        <v>34</v>
      </c>
      <c r="AH2" s="471" t="s">
        <v>32</v>
      </c>
      <c r="AI2" s="472" t="s">
        <v>86</v>
      </c>
      <c r="AJ2" s="1066"/>
      <c r="AK2" s="477" t="s">
        <v>47</v>
      </c>
      <c r="AL2" s="477" t="s">
        <v>74</v>
      </c>
      <c r="AM2" s="512" t="s">
        <v>2446</v>
      </c>
      <c r="AN2" s="479" t="s">
        <v>0</v>
      </c>
      <c r="AO2" s="480" t="s">
        <v>57</v>
      </c>
      <c r="AP2" s="480" t="s">
        <v>39</v>
      </c>
      <c r="AQ2" s="480" t="s">
        <v>40</v>
      </c>
      <c r="AR2" s="480" t="s">
        <v>37</v>
      </c>
      <c r="AS2" s="480" t="s">
        <v>36</v>
      </c>
      <c r="AT2" s="480" t="s">
        <v>113</v>
      </c>
      <c r="AU2" s="479" t="s">
        <v>114</v>
      </c>
      <c r="AV2" s="1049"/>
    </row>
    <row r="3" spans="1:119" s="448" customFormat="1" ht="19.5" customHeight="1">
      <c r="A3" s="260">
        <v>718</v>
      </c>
      <c r="B3" s="441" t="s">
        <v>871</v>
      </c>
      <c r="C3" s="441" t="s">
        <v>1260</v>
      </c>
      <c r="D3" s="442">
        <v>38231</v>
      </c>
      <c r="E3" s="442">
        <v>39417</v>
      </c>
      <c r="F3" s="443" t="s">
        <v>1468</v>
      </c>
      <c r="G3" s="444" t="s">
        <v>1452</v>
      </c>
      <c r="H3" s="441" t="s">
        <v>856</v>
      </c>
      <c r="I3" s="278" t="s">
        <v>2438</v>
      </c>
      <c r="J3" s="445">
        <v>5000</v>
      </c>
      <c r="K3" s="445">
        <v>2590046</v>
      </c>
      <c r="L3" s="445">
        <v>2603081</v>
      </c>
      <c r="M3" s="445">
        <v>2603081</v>
      </c>
      <c r="N3" s="256">
        <f t="shared" ref="N3:N17" si="0">M3/J3</f>
        <v>520.61620000000005</v>
      </c>
      <c r="O3" s="445">
        <v>101</v>
      </c>
      <c r="P3" s="445" t="s">
        <v>75</v>
      </c>
      <c r="Q3" s="445" t="s">
        <v>75</v>
      </c>
      <c r="R3" s="445" t="s">
        <v>75</v>
      </c>
      <c r="S3" s="445" t="s">
        <v>849</v>
      </c>
      <c r="T3" s="445" t="s">
        <v>75</v>
      </c>
      <c r="U3" s="445" t="s">
        <v>75</v>
      </c>
      <c r="V3" s="445">
        <v>25</v>
      </c>
      <c r="W3" s="445">
        <v>25</v>
      </c>
      <c r="X3" s="445"/>
      <c r="Y3" s="445" t="s">
        <v>134</v>
      </c>
      <c r="Z3" s="445">
        <v>1000</v>
      </c>
      <c r="AA3" s="445" t="s">
        <v>75</v>
      </c>
      <c r="AB3" s="445" t="s">
        <v>75</v>
      </c>
      <c r="AC3" s="445" t="s">
        <v>75</v>
      </c>
      <c r="AD3" s="445" t="s">
        <v>75</v>
      </c>
      <c r="AE3" s="445" t="s">
        <v>75</v>
      </c>
      <c r="AF3" s="445" t="s">
        <v>75</v>
      </c>
      <c r="AG3" s="445" t="s">
        <v>75</v>
      </c>
      <c r="AH3" s="445" t="s">
        <v>75</v>
      </c>
      <c r="AI3" s="445" t="s">
        <v>75</v>
      </c>
      <c r="AJ3" s="447">
        <f t="shared" ref="AJ3:AJ34" si="1">SUM(Z3,AA3,AH3)</f>
        <v>1000</v>
      </c>
      <c r="AK3" s="445">
        <v>517</v>
      </c>
      <c r="AL3" s="445">
        <v>529</v>
      </c>
      <c r="AM3" s="445">
        <f>AL3/AJ3</f>
        <v>0.52900000000000003</v>
      </c>
      <c r="AN3" s="446"/>
      <c r="AO3" s="446" t="s">
        <v>75</v>
      </c>
      <c r="AP3" s="446" t="s">
        <v>75</v>
      </c>
      <c r="AQ3" s="446" t="s">
        <v>75</v>
      </c>
      <c r="AR3" s="446" t="s">
        <v>75</v>
      </c>
      <c r="AS3" s="446" t="s">
        <v>75</v>
      </c>
      <c r="AT3" s="446" t="s">
        <v>75</v>
      </c>
      <c r="AU3" s="446" t="s">
        <v>75</v>
      </c>
      <c r="AV3" s="359" t="s">
        <v>752</v>
      </c>
      <c r="AW3" s="441"/>
      <c r="AX3" s="441"/>
      <c r="AY3" s="441"/>
      <c r="AZ3" s="441"/>
      <c r="BA3" s="441"/>
      <c r="BB3" s="441"/>
      <c r="BC3" s="441"/>
      <c r="BD3" s="441"/>
      <c r="BE3" s="441"/>
      <c r="BF3" s="441"/>
      <c r="BG3" s="441"/>
      <c r="BH3" s="441"/>
      <c r="BI3" s="441"/>
      <c r="BJ3" s="441"/>
      <c r="BK3" s="441"/>
      <c r="BL3" s="441"/>
      <c r="BM3" s="441"/>
      <c r="BN3" s="441"/>
    </row>
    <row r="4" spans="1:119" s="449" customFormat="1" ht="15">
      <c r="A4" s="260">
        <v>719</v>
      </c>
      <c r="B4" s="261" t="s">
        <v>1180</v>
      </c>
      <c r="C4" s="449" t="s">
        <v>1261</v>
      </c>
      <c r="D4" s="450">
        <v>38078</v>
      </c>
      <c r="E4" s="450">
        <v>38443</v>
      </c>
      <c r="F4" s="449" t="s">
        <v>319</v>
      </c>
      <c r="G4" s="444" t="s">
        <v>1463</v>
      </c>
      <c r="H4" s="449" t="s">
        <v>405</v>
      </c>
      <c r="I4" s="449" t="s">
        <v>2438</v>
      </c>
      <c r="J4" s="451">
        <v>127000</v>
      </c>
      <c r="K4" s="452">
        <v>1683756</v>
      </c>
      <c r="L4" s="452">
        <v>1562136</v>
      </c>
      <c r="M4" s="452">
        <v>1562136</v>
      </c>
      <c r="N4" s="256">
        <f t="shared" si="0"/>
        <v>12.300283464566929</v>
      </c>
      <c r="O4" s="452">
        <v>92.7</v>
      </c>
      <c r="P4" s="452">
        <v>27000</v>
      </c>
      <c r="Q4" s="452" t="s">
        <v>75</v>
      </c>
      <c r="R4" s="452">
        <v>27000</v>
      </c>
      <c r="S4" s="452" t="s">
        <v>233</v>
      </c>
      <c r="T4" s="452" t="s">
        <v>75</v>
      </c>
      <c r="U4" s="452" t="s">
        <v>75</v>
      </c>
      <c r="V4" s="451">
        <v>416000</v>
      </c>
      <c r="W4" s="452">
        <v>507131</v>
      </c>
      <c r="X4" s="349">
        <f>W4/R4</f>
        <v>18.782629629629628</v>
      </c>
      <c r="Y4" s="452" t="s">
        <v>320</v>
      </c>
      <c r="Z4" s="452" t="s">
        <v>75</v>
      </c>
      <c r="AA4" s="452" t="s">
        <v>75</v>
      </c>
      <c r="AB4" s="452" t="s">
        <v>134</v>
      </c>
      <c r="AC4" s="452" t="s">
        <v>75</v>
      </c>
      <c r="AD4" s="452" t="s">
        <v>75</v>
      </c>
      <c r="AE4" s="452" t="s">
        <v>75</v>
      </c>
      <c r="AF4" s="452" t="s">
        <v>75</v>
      </c>
      <c r="AG4" s="452" t="s">
        <v>75</v>
      </c>
      <c r="AH4" s="452" t="s">
        <v>134</v>
      </c>
      <c r="AI4" s="452" t="s">
        <v>75</v>
      </c>
      <c r="AJ4" s="447">
        <f t="shared" si="1"/>
        <v>0</v>
      </c>
      <c r="AK4" s="451">
        <v>109000</v>
      </c>
      <c r="AL4" s="452">
        <v>148387</v>
      </c>
      <c r="AM4" s="445"/>
      <c r="AN4" s="453"/>
      <c r="AO4" s="453" t="s">
        <v>75</v>
      </c>
      <c r="AP4" s="453" t="s">
        <v>75</v>
      </c>
      <c r="AQ4" s="453" t="s">
        <v>75</v>
      </c>
      <c r="AR4" s="453" t="s">
        <v>75</v>
      </c>
      <c r="AS4" s="453" t="s">
        <v>75</v>
      </c>
      <c r="AT4" s="453" t="s">
        <v>75</v>
      </c>
      <c r="AU4" s="453" t="s">
        <v>75</v>
      </c>
      <c r="AV4" s="403" t="s">
        <v>318</v>
      </c>
      <c r="DO4" s="448"/>
    </row>
    <row r="5" spans="1:119" s="449" customFormat="1" ht="15">
      <c r="A5" s="260">
        <v>720</v>
      </c>
      <c r="B5" s="449" t="s">
        <v>333</v>
      </c>
      <c r="C5" s="449" t="s">
        <v>1278</v>
      </c>
      <c r="D5" s="450">
        <v>38018</v>
      </c>
      <c r="E5" s="450">
        <v>38687</v>
      </c>
      <c r="F5" s="449" t="s">
        <v>24</v>
      </c>
      <c r="G5" s="454" t="s">
        <v>1454</v>
      </c>
      <c r="H5" s="449" t="s">
        <v>365</v>
      </c>
      <c r="I5" s="278" t="s">
        <v>2438</v>
      </c>
      <c r="J5" s="451">
        <v>30000</v>
      </c>
      <c r="K5" s="452">
        <v>2832086</v>
      </c>
      <c r="L5" s="452">
        <v>27373977</v>
      </c>
      <c r="M5" s="452">
        <v>2508669</v>
      </c>
      <c r="N5" s="256">
        <f t="shared" si="0"/>
        <v>83.622299999999996</v>
      </c>
      <c r="O5" s="452">
        <v>97</v>
      </c>
      <c r="P5" s="452">
        <v>1500</v>
      </c>
      <c r="Q5" s="452">
        <v>1500</v>
      </c>
      <c r="R5" s="452">
        <v>1500</v>
      </c>
      <c r="S5" s="452" t="s">
        <v>233</v>
      </c>
      <c r="T5" s="452" t="s">
        <v>75</v>
      </c>
      <c r="U5" s="452" t="s">
        <v>75</v>
      </c>
      <c r="V5" s="451">
        <v>101000</v>
      </c>
      <c r="W5" s="452">
        <v>172</v>
      </c>
      <c r="X5" s="349">
        <f>W5/R5</f>
        <v>0.11466666666666667</v>
      </c>
      <c r="Y5" s="452">
        <v>1500</v>
      </c>
      <c r="Z5" s="452">
        <v>1500</v>
      </c>
      <c r="AA5" s="452" t="s">
        <v>134</v>
      </c>
      <c r="AB5" s="452">
        <v>961</v>
      </c>
      <c r="AC5" s="452" t="s">
        <v>75</v>
      </c>
      <c r="AD5" s="452" t="s">
        <v>75</v>
      </c>
      <c r="AE5" s="452" t="s">
        <v>75</v>
      </c>
      <c r="AF5" s="452" t="s">
        <v>75</v>
      </c>
      <c r="AG5" s="452" t="s">
        <v>75</v>
      </c>
      <c r="AH5" s="452" t="s">
        <v>267</v>
      </c>
      <c r="AI5" s="452" t="s">
        <v>75</v>
      </c>
      <c r="AJ5" s="447">
        <f t="shared" si="1"/>
        <v>1500</v>
      </c>
      <c r="AK5" s="451" t="s">
        <v>66</v>
      </c>
      <c r="AL5" s="452" t="s">
        <v>66</v>
      </c>
      <c r="AM5" s="452"/>
      <c r="AN5" s="453"/>
      <c r="AO5" s="455" t="s">
        <v>75</v>
      </c>
      <c r="AP5" s="453" t="s">
        <v>75</v>
      </c>
      <c r="AQ5" s="453" t="s">
        <v>75</v>
      </c>
      <c r="AR5" s="453" t="s">
        <v>75</v>
      </c>
      <c r="AS5" s="453" t="s">
        <v>75</v>
      </c>
      <c r="AT5" s="453" t="s">
        <v>75</v>
      </c>
      <c r="AU5" s="453" t="s">
        <v>75</v>
      </c>
      <c r="AV5" s="403" t="s">
        <v>358</v>
      </c>
      <c r="DO5" s="448"/>
    </row>
    <row r="6" spans="1:119" s="449" customFormat="1" ht="15">
      <c r="A6" s="260">
        <v>721</v>
      </c>
      <c r="B6" s="449" t="s">
        <v>12</v>
      </c>
      <c r="C6" s="449" t="s">
        <v>1299</v>
      </c>
      <c r="D6" s="450">
        <v>38200</v>
      </c>
      <c r="E6" s="450">
        <v>38565</v>
      </c>
      <c r="F6" s="449" t="s">
        <v>79</v>
      </c>
      <c r="G6" s="454" t="s">
        <v>1453</v>
      </c>
      <c r="H6" s="449" t="s">
        <v>364</v>
      </c>
      <c r="I6" s="278" t="s">
        <v>2438</v>
      </c>
      <c r="J6" s="451">
        <v>308000</v>
      </c>
      <c r="K6" s="452">
        <v>2121677</v>
      </c>
      <c r="L6" s="452">
        <v>1346654</v>
      </c>
      <c r="M6" s="452">
        <v>1346654</v>
      </c>
      <c r="N6" s="256">
        <f t="shared" si="0"/>
        <v>4.3722532467532469</v>
      </c>
      <c r="O6" s="452">
        <v>63.47</v>
      </c>
      <c r="P6" s="452">
        <v>22500</v>
      </c>
      <c r="Q6" s="452">
        <v>26800</v>
      </c>
      <c r="R6" s="452">
        <v>26800</v>
      </c>
      <c r="S6" s="452" t="s">
        <v>2</v>
      </c>
      <c r="T6" s="452">
        <v>60</v>
      </c>
      <c r="U6" s="452">
        <v>26800</v>
      </c>
      <c r="V6" s="451">
        <v>231616</v>
      </c>
      <c r="W6" s="452">
        <v>145918</v>
      </c>
      <c r="X6" s="349">
        <f>W6/R6</f>
        <v>5.4447014925373134</v>
      </c>
      <c r="Y6" s="452" t="s">
        <v>134</v>
      </c>
      <c r="Z6" s="452" t="s">
        <v>75</v>
      </c>
      <c r="AA6" s="452" t="s">
        <v>134</v>
      </c>
      <c r="AB6" s="452">
        <v>30</v>
      </c>
      <c r="AC6" s="452" t="s">
        <v>75</v>
      </c>
      <c r="AD6" s="452" t="s">
        <v>75</v>
      </c>
      <c r="AE6" s="452" t="s">
        <v>75</v>
      </c>
      <c r="AF6" s="452" t="s">
        <v>75</v>
      </c>
      <c r="AG6" s="452" t="s">
        <v>75</v>
      </c>
      <c r="AH6" s="452" t="s">
        <v>75</v>
      </c>
      <c r="AI6" s="452" t="s">
        <v>75</v>
      </c>
      <c r="AJ6" s="447">
        <f t="shared" si="1"/>
        <v>0</v>
      </c>
      <c r="AK6" s="451" t="s">
        <v>66</v>
      </c>
      <c r="AL6" s="452" t="s">
        <v>66</v>
      </c>
      <c r="AM6" s="452"/>
      <c r="AN6" s="453"/>
      <c r="AO6" s="453" t="s">
        <v>75</v>
      </c>
      <c r="AP6" s="453" t="s">
        <v>75</v>
      </c>
      <c r="AQ6" s="453" t="s">
        <v>75</v>
      </c>
      <c r="AR6" s="453" t="s">
        <v>75</v>
      </c>
      <c r="AS6" s="453" t="s">
        <v>75</v>
      </c>
      <c r="AT6" s="453" t="s">
        <v>75</v>
      </c>
      <c r="AU6" s="453" t="s">
        <v>75</v>
      </c>
      <c r="AV6" s="403" t="s">
        <v>363</v>
      </c>
      <c r="DO6" s="448"/>
    </row>
    <row r="7" spans="1:119" s="449" customFormat="1" ht="15">
      <c r="A7" s="260">
        <v>722</v>
      </c>
      <c r="B7" s="449" t="s">
        <v>6</v>
      </c>
      <c r="C7" s="449" t="s">
        <v>1261</v>
      </c>
      <c r="D7" s="450">
        <v>38169</v>
      </c>
      <c r="E7" s="450">
        <v>38504</v>
      </c>
      <c r="F7" s="449" t="s">
        <v>5</v>
      </c>
      <c r="G7" s="444" t="s">
        <v>1451</v>
      </c>
      <c r="H7" s="449" t="s">
        <v>415</v>
      </c>
      <c r="I7" s="278" t="s">
        <v>2438</v>
      </c>
      <c r="J7" s="451">
        <v>1407500</v>
      </c>
      <c r="K7" s="452">
        <v>7051000</v>
      </c>
      <c r="L7" s="452">
        <v>6489244</v>
      </c>
      <c r="M7" s="452">
        <v>6489244</v>
      </c>
      <c r="N7" s="256">
        <f t="shared" si="0"/>
        <v>4.6104753108348131</v>
      </c>
      <c r="O7" s="452">
        <v>92</v>
      </c>
      <c r="P7" s="452" t="s">
        <v>75</v>
      </c>
      <c r="Q7" s="452" t="s">
        <v>75</v>
      </c>
      <c r="R7" s="452" t="s">
        <v>75</v>
      </c>
      <c r="S7" s="452" t="s">
        <v>233</v>
      </c>
      <c r="T7" s="452" t="s">
        <v>75</v>
      </c>
      <c r="U7" s="452" t="s">
        <v>75</v>
      </c>
      <c r="V7" s="451" t="s">
        <v>66</v>
      </c>
      <c r="W7" s="452" t="s">
        <v>66</v>
      </c>
      <c r="X7" s="451"/>
      <c r="Y7" s="452">
        <v>361323</v>
      </c>
      <c r="Z7" s="452" t="s">
        <v>75</v>
      </c>
      <c r="AA7" s="452" t="s">
        <v>75</v>
      </c>
      <c r="AB7" s="452" t="s">
        <v>75</v>
      </c>
      <c r="AC7" s="452" t="s">
        <v>75</v>
      </c>
      <c r="AD7" s="452" t="s">
        <v>75</v>
      </c>
      <c r="AE7" s="452" t="s">
        <v>75</v>
      </c>
      <c r="AF7" s="452" t="s">
        <v>75</v>
      </c>
      <c r="AG7" s="452" t="s">
        <v>75</v>
      </c>
      <c r="AH7" s="452" t="s">
        <v>75</v>
      </c>
      <c r="AI7" s="452" t="s">
        <v>75</v>
      </c>
      <c r="AJ7" s="447">
        <f t="shared" si="1"/>
        <v>0</v>
      </c>
      <c r="AK7" s="451">
        <v>131608</v>
      </c>
      <c r="AL7" s="452">
        <v>124988</v>
      </c>
      <c r="AM7" s="445"/>
      <c r="AN7" s="453"/>
      <c r="AO7" s="453"/>
      <c r="AP7" s="453"/>
      <c r="AQ7" s="453"/>
      <c r="AR7" s="453"/>
      <c r="AS7" s="453"/>
      <c r="AT7" s="453" t="s">
        <v>75</v>
      </c>
      <c r="AU7" s="453" t="s">
        <v>75</v>
      </c>
      <c r="AV7" s="403" t="s">
        <v>413</v>
      </c>
      <c r="DO7" s="448"/>
    </row>
    <row r="8" spans="1:119" s="449" customFormat="1" ht="15">
      <c r="A8" s="260">
        <v>723</v>
      </c>
      <c r="B8" s="449" t="s">
        <v>373</v>
      </c>
      <c r="C8" s="449" t="s">
        <v>1261</v>
      </c>
      <c r="D8" s="450">
        <v>38169</v>
      </c>
      <c r="E8" s="450">
        <v>38626</v>
      </c>
      <c r="F8" s="449" t="s">
        <v>5</v>
      </c>
      <c r="G8" s="444" t="s">
        <v>1451</v>
      </c>
      <c r="H8" s="449" t="s">
        <v>416</v>
      </c>
      <c r="I8" s="278" t="s">
        <v>2438</v>
      </c>
      <c r="J8" s="451">
        <v>200000</v>
      </c>
      <c r="K8" s="452">
        <v>2034912</v>
      </c>
      <c r="L8" s="452">
        <v>1794373</v>
      </c>
      <c r="M8" s="452">
        <v>1794373</v>
      </c>
      <c r="N8" s="256">
        <f t="shared" si="0"/>
        <v>8.9718649999999993</v>
      </c>
      <c r="O8" s="452">
        <v>88.2</v>
      </c>
      <c r="P8" s="452">
        <v>2000</v>
      </c>
      <c r="Q8" s="452">
        <v>740</v>
      </c>
      <c r="R8" s="452">
        <v>2000</v>
      </c>
      <c r="S8" s="452" t="s">
        <v>233</v>
      </c>
      <c r="T8" s="452" t="s">
        <v>75</v>
      </c>
      <c r="U8" s="452" t="s">
        <v>75</v>
      </c>
      <c r="V8" s="451">
        <v>56100</v>
      </c>
      <c r="W8" s="452">
        <v>49480</v>
      </c>
      <c r="X8" s="349">
        <f>W8/R8</f>
        <v>24.74</v>
      </c>
      <c r="Y8" s="452">
        <v>300000</v>
      </c>
      <c r="Z8" s="452" t="s">
        <v>75</v>
      </c>
      <c r="AA8" s="452" t="s">
        <v>75</v>
      </c>
      <c r="AB8" s="452">
        <v>500</v>
      </c>
      <c r="AC8" s="452" t="s">
        <v>75</v>
      </c>
      <c r="AD8" s="452" t="s">
        <v>75</v>
      </c>
      <c r="AE8" s="452">
        <v>80000</v>
      </c>
      <c r="AF8" s="452" t="s">
        <v>75</v>
      </c>
      <c r="AG8" s="452" t="s">
        <v>75</v>
      </c>
      <c r="AH8" s="452" t="s">
        <v>75</v>
      </c>
      <c r="AI8" s="452" t="s">
        <v>75</v>
      </c>
      <c r="AJ8" s="447">
        <f t="shared" si="1"/>
        <v>0</v>
      </c>
      <c r="AK8" s="451">
        <v>0</v>
      </c>
      <c r="AL8" s="452">
        <v>160</v>
      </c>
      <c r="AM8" s="445"/>
      <c r="AN8" s="453"/>
      <c r="AO8" s="453"/>
      <c r="AP8" s="453"/>
      <c r="AQ8" s="453"/>
      <c r="AR8" s="453"/>
      <c r="AS8" s="453"/>
      <c r="AT8" s="453" t="s">
        <v>75</v>
      </c>
      <c r="AU8" s="453" t="s">
        <v>75</v>
      </c>
      <c r="AV8" s="403" t="s">
        <v>414</v>
      </c>
      <c r="DO8" s="448"/>
    </row>
    <row r="9" spans="1:119" s="448" customFormat="1" ht="15">
      <c r="A9" s="260">
        <v>724</v>
      </c>
      <c r="B9" s="448" t="s">
        <v>18</v>
      </c>
      <c r="C9" s="448" t="s">
        <v>1286</v>
      </c>
      <c r="D9" s="456">
        <v>38231</v>
      </c>
      <c r="E9" s="456">
        <v>38657</v>
      </c>
      <c r="F9" s="448" t="s">
        <v>5</v>
      </c>
      <c r="G9" s="444" t="s">
        <v>1451</v>
      </c>
      <c r="H9" s="448" t="s">
        <v>432</v>
      </c>
      <c r="I9" s="278" t="s">
        <v>2438</v>
      </c>
      <c r="J9" s="451">
        <v>50000</v>
      </c>
      <c r="K9" s="451">
        <v>11673000</v>
      </c>
      <c r="L9" s="451">
        <v>4862630</v>
      </c>
      <c r="M9" s="451">
        <v>4684894</v>
      </c>
      <c r="N9" s="256">
        <f t="shared" si="0"/>
        <v>93.697879999999998</v>
      </c>
      <c r="O9" s="451">
        <v>41.6</v>
      </c>
      <c r="P9" s="451">
        <v>15000</v>
      </c>
      <c r="Q9" s="451">
        <v>6385</v>
      </c>
      <c r="R9" s="451">
        <v>15000</v>
      </c>
      <c r="S9" s="451" t="s">
        <v>2</v>
      </c>
      <c r="T9" s="451">
        <v>48</v>
      </c>
      <c r="U9" s="451" t="s">
        <v>75</v>
      </c>
      <c r="V9" s="451">
        <v>2314437</v>
      </c>
      <c r="W9" s="451">
        <v>192954</v>
      </c>
      <c r="X9" s="349">
        <f>W9/R9</f>
        <v>12.8636</v>
      </c>
      <c r="Y9" s="451">
        <v>2000</v>
      </c>
      <c r="Z9" s="451" t="s">
        <v>75</v>
      </c>
      <c r="AA9" s="451">
        <v>51010</v>
      </c>
      <c r="AB9" s="451">
        <v>25</v>
      </c>
      <c r="AC9" s="451" t="s">
        <v>2</v>
      </c>
      <c r="AD9" s="451" t="s">
        <v>75</v>
      </c>
      <c r="AE9" s="451">
        <v>8716</v>
      </c>
      <c r="AF9" s="451" t="s">
        <v>75</v>
      </c>
      <c r="AG9" s="451" t="s">
        <v>75</v>
      </c>
      <c r="AH9" s="451" t="s">
        <v>75</v>
      </c>
      <c r="AI9" s="451" t="s">
        <v>75</v>
      </c>
      <c r="AJ9" s="447">
        <f t="shared" si="1"/>
        <v>51010</v>
      </c>
      <c r="AK9" s="451">
        <v>15493</v>
      </c>
      <c r="AL9" s="451">
        <v>8915</v>
      </c>
      <c r="AM9" s="445">
        <f t="shared" ref="AM9" si="2">AL9/AJ9</f>
        <v>0.17476965300921388</v>
      </c>
      <c r="AN9" s="455"/>
      <c r="AO9" s="455">
        <v>1</v>
      </c>
      <c r="AP9" s="457"/>
      <c r="AQ9" s="455">
        <v>1</v>
      </c>
      <c r="AR9" s="455">
        <v>1</v>
      </c>
      <c r="AS9" s="457"/>
      <c r="AT9" s="455" t="s">
        <v>75</v>
      </c>
      <c r="AU9" s="455" t="s">
        <v>75</v>
      </c>
      <c r="AV9" s="276" t="s">
        <v>429</v>
      </c>
    </row>
    <row r="10" spans="1:119" s="448" customFormat="1" ht="15">
      <c r="A10" s="260">
        <v>725</v>
      </c>
      <c r="B10" s="448" t="s">
        <v>375</v>
      </c>
      <c r="C10" s="448" t="s">
        <v>1286</v>
      </c>
      <c r="D10" s="456">
        <v>38231</v>
      </c>
      <c r="E10" s="456">
        <v>38534</v>
      </c>
      <c r="F10" s="448" t="s">
        <v>431</v>
      </c>
      <c r="G10" s="444" t="s">
        <v>2271</v>
      </c>
      <c r="H10" s="448" t="s">
        <v>433</v>
      </c>
      <c r="I10" s="278" t="s">
        <v>2438</v>
      </c>
      <c r="J10" s="451">
        <v>25000</v>
      </c>
      <c r="K10" s="451">
        <v>2419000</v>
      </c>
      <c r="L10" s="451">
        <v>268396</v>
      </c>
      <c r="M10" s="451">
        <v>254101</v>
      </c>
      <c r="N10" s="256">
        <f t="shared" si="0"/>
        <v>10.16404</v>
      </c>
      <c r="O10" s="451">
        <v>11.1</v>
      </c>
      <c r="P10" s="451" t="s">
        <v>75</v>
      </c>
      <c r="Q10" s="451" t="s">
        <v>75</v>
      </c>
      <c r="R10" s="451" t="s">
        <v>75</v>
      </c>
      <c r="S10" s="451" t="s">
        <v>233</v>
      </c>
      <c r="T10" s="451" t="s">
        <v>75</v>
      </c>
      <c r="U10" s="451" t="s">
        <v>75</v>
      </c>
      <c r="V10" s="451" t="s">
        <v>66</v>
      </c>
      <c r="W10" s="451" t="s">
        <v>66</v>
      </c>
      <c r="X10" s="451"/>
      <c r="Y10" s="451" t="s">
        <v>134</v>
      </c>
      <c r="Z10" s="451" t="s">
        <v>2</v>
      </c>
      <c r="AA10" s="451" t="s">
        <v>134</v>
      </c>
      <c r="AB10" s="451" t="s">
        <v>134</v>
      </c>
      <c r="AC10" s="451" t="s">
        <v>75</v>
      </c>
      <c r="AD10" s="451" t="s">
        <v>75</v>
      </c>
      <c r="AE10" s="451" t="s">
        <v>75</v>
      </c>
      <c r="AF10" s="451" t="s">
        <v>75</v>
      </c>
      <c r="AG10" s="451" t="s">
        <v>75</v>
      </c>
      <c r="AH10" s="451" t="s">
        <v>75</v>
      </c>
      <c r="AI10" s="451" t="s">
        <v>75</v>
      </c>
      <c r="AJ10" s="447">
        <f t="shared" si="1"/>
        <v>0</v>
      </c>
      <c r="AK10" s="451" t="s">
        <v>66</v>
      </c>
      <c r="AL10" s="451" t="s">
        <v>66</v>
      </c>
      <c r="AM10" s="451"/>
      <c r="AN10" s="455"/>
      <c r="AO10" s="455"/>
      <c r="AP10" s="455"/>
      <c r="AQ10" s="455"/>
      <c r="AR10" s="455"/>
      <c r="AS10" s="455"/>
      <c r="AT10" s="455" t="s">
        <v>75</v>
      </c>
      <c r="AU10" s="455" t="s">
        <v>75</v>
      </c>
      <c r="AV10" s="276" t="s">
        <v>430</v>
      </c>
    </row>
    <row r="11" spans="1:119" s="444" customFormat="1" ht="15">
      <c r="A11" s="260">
        <v>726</v>
      </c>
      <c r="B11" s="448" t="s">
        <v>485</v>
      </c>
      <c r="C11" s="448" t="s">
        <v>1299</v>
      </c>
      <c r="D11" s="458">
        <v>38018</v>
      </c>
      <c r="E11" s="458">
        <v>38869</v>
      </c>
      <c r="F11" s="448" t="s">
        <v>2171</v>
      </c>
      <c r="G11" s="444" t="s">
        <v>1450</v>
      </c>
      <c r="H11" s="444" t="s">
        <v>2213</v>
      </c>
      <c r="I11" s="278" t="s">
        <v>2438</v>
      </c>
      <c r="J11" s="451">
        <v>25000</v>
      </c>
      <c r="K11" s="451">
        <v>427000</v>
      </c>
      <c r="L11" s="459">
        <v>535355</v>
      </c>
      <c r="M11" s="459">
        <v>501061</v>
      </c>
      <c r="N11" s="256">
        <f t="shared" si="0"/>
        <v>20.042439999999999</v>
      </c>
      <c r="O11" s="460">
        <f>(L11*100)/K11</f>
        <v>125.37587822014052</v>
      </c>
      <c r="P11" s="459"/>
      <c r="Q11" s="459"/>
      <c r="R11" s="459"/>
      <c r="S11" s="451" t="s">
        <v>233</v>
      </c>
      <c r="T11" s="459">
        <v>50</v>
      </c>
      <c r="U11" s="459">
        <v>5000</v>
      </c>
      <c r="V11" s="459" t="s">
        <v>66</v>
      </c>
      <c r="W11" s="459">
        <v>92</v>
      </c>
      <c r="X11" s="462"/>
      <c r="Y11" s="459"/>
      <c r="Z11" s="459"/>
      <c r="AA11" s="459">
        <v>5000</v>
      </c>
      <c r="AB11" s="451">
        <v>50</v>
      </c>
      <c r="AC11" s="459"/>
      <c r="AD11" s="459"/>
      <c r="AE11" s="459">
        <v>9000</v>
      </c>
      <c r="AF11" s="459"/>
      <c r="AG11" s="459"/>
      <c r="AH11" s="459"/>
      <c r="AI11" s="459"/>
      <c r="AJ11" s="447">
        <f t="shared" si="1"/>
        <v>5000</v>
      </c>
      <c r="AK11" s="459" t="s">
        <v>66</v>
      </c>
      <c r="AL11" s="459">
        <v>18943</v>
      </c>
      <c r="AM11" s="445">
        <f t="shared" ref="AM11:AM13" si="3">AL11/AJ11</f>
        <v>3.7886000000000002</v>
      </c>
      <c r="AN11" s="447"/>
      <c r="AO11" s="447"/>
      <c r="AP11" s="447"/>
      <c r="AQ11" s="447"/>
      <c r="AR11" s="447"/>
      <c r="AS11" s="447"/>
      <c r="AT11" s="447"/>
      <c r="AU11" s="447"/>
      <c r="AV11" s="352" t="s">
        <v>2170</v>
      </c>
      <c r="DO11" s="454"/>
    </row>
    <row r="12" spans="1:119" s="454" customFormat="1" ht="15">
      <c r="A12" s="260">
        <v>727</v>
      </c>
      <c r="B12" s="448" t="s">
        <v>87</v>
      </c>
      <c r="C12" s="448" t="s">
        <v>1261</v>
      </c>
      <c r="D12" s="461">
        <v>38169</v>
      </c>
      <c r="E12" s="461">
        <v>38231</v>
      </c>
      <c r="F12" s="448" t="s">
        <v>2175</v>
      </c>
      <c r="G12" s="454" t="s">
        <v>1450</v>
      </c>
      <c r="H12" s="454" t="s">
        <v>2252</v>
      </c>
      <c r="I12" s="278" t="s">
        <v>2438</v>
      </c>
      <c r="J12" s="462">
        <v>25000</v>
      </c>
      <c r="K12" s="462">
        <v>413048</v>
      </c>
      <c r="L12" s="462">
        <v>324266</v>
      </c>
      <c r="M12" s="462">
        <v>324266</v>
      </c>
      <c r="N12" s="256">
        <f t="shared" si="0"/>
        <v>12.97064</v>
      </c>
      <c r="O12" s="462">
        <v>78.5</v>
      </c>
      <c r="P12" s="462"/>
      <c r="Q12" s="462"/>
      <c r="R12" s="462"/>
      <c r="S12" s="451" t="s">
        <v>233</v>
      </c>
      <c r="T12" s="462"/>
      <c r="U12" s="462"/>
      <c r="V12" s="462">
        <v>32000</v>
      </c>
      <c r="W12" s="462"/>
      <c r="X12" s="462"/>
      <c r="Y12" s="462"/>
      <c r="Z12" s="462"/>
      <c r="AA12" s="462"/>
      <c r="AB12" s="462"/>
      <c r="AC12" s="462" t="s">
        <v>2</v>
      </c>
      <c r="AD12" s="462"/>
      <c r="AE12" s="462"/>
      <c r="AF12" s="462"/>
      <c r="AG12" s="462"/>
      <c r="AH12" s="462"/>
      <c r="AI12" s="462"/>
      <c r="AJ12" s="447">
        <f t="shared" si="1"/>
        <v>0</v>
      </c>
      <c r="AK12" s="462">
        <v>1000</v>
      </c>
      <c r="AL12" s="462">
        <f>0.79*AK12</f>
        <v>790</v>
      </c>
      <c r="AM12" s="445"/>
      <c r="AN12" s="463"/>
      <c r="AO12" s="463"/>
      <c r="AP12" s="463"/>
      <c r="AQ12" s="463"/>
      <c r="AR12" s="463"/>
      <c r="AS12" s="463"/>
      <c r="AT12" s="463"/>
      <c r="AU12" s="463"/>
      <c r="AV12" s="346" t="s">
        <v>2172</v>
      </c>
    </row>
    <row r="13" spans="1:119" s="454" customFormat="1" ht="15">
      <c r="A13" s="260">
        <v>728</v>
      </c>
      <c r="B13" s="448" t="s">
        <v>8</v>
      </c>
      <c r="C13" s="448" t="s">
        <v>1261</v>
      </c>
      <c r="D13" s="461">
        <v>38292</v>
      </c>
      <c r="E13" s="461">
        <v>38565</v>
      </c>
      <c r="F13" s="448" t="s">
        <v>2174</v>
      </c>
      <c r="G13" s="454" t="s">
        <v>1450</v>
      </c>
      <c r="H13" s="454" t="s">
        <v>2228</v>
      </c>
      <c r="I13" s="278" t="s">
        <v>2438</v>
      </c>
      <c r="J13" s="462">
        <v>300000</v>
      </c>
      <c r="K13" s="462">
        <v>4193878</v>
      </c>
      <c r="L13" s="462">
        <v>2812177</v>
      </c>
      <c r="M13" s="462">
        <v>2812177</v>
      </c>
      <c r="N13" s="256">
        <f t="shared" si="0"/>
        <v>9.3739233333333338</v>
      </c>
      <c r="O13" s="459">
        <f>(L13*100)/K13</f>
        <v>67.054334913891154</v>
      </c>
      <c r="P13" s="462">
        <f>5*500</f>
        <v>2500</v>
      </c>
      <c r="Q13" s="462"/>
      <c r="R13" s="462">
        <v>2500</v>
      </c>
      <c r="S13" s="451" t="s">
        <v>233</v>
      </c>
      <c r="T13" s="462"/>
      <c r="U13" s="462"/>
      <c r="V13" s="462">
        <v>81600</v>
      </c>
      <c r="W13" s="462">
        <v>43047</v>
      </c>
      <c r="X13" s="349">
        <f>W13/R13</f>
        <v>17.218800000000002</v>
      </c>
      <c r="Y13" s="462">
        <v>3245</v>
      </c>
      <c r="Z13" s="462"/>
      <c r="AA13" s="464">
        <v>50000</v>
      </c>
      <c r="AB13" s="462"/>
      <c r="AC13" s="462"/>
      <c r="AD13" s="462"/>
      <c r="AE13" s="462">
        <v>50000</v>
      </c>
      <c r="AF13" s="462"/>
      <c r="AG13" s="462"/>
      <c r="AH13" s="462"/>
      <c r="AI13" s="462"/>
      <c r="AJ13" s="447">
        <f t="shared" si="1"/>
        <v>50000</v>
      </c>
      <c r="AK13" s="462">
        <v>280000</v>
      </c>
      <c r="AL13" s="462">
        <v>81680</v>
      </c>
      <c r="AM13" s="445">
        <f t="shared" si="3"/>
        <v>1.6335999999999999</v>
      </c>
      <c r="AN13" s="463"/>
      <c r="AO13" s="463"/>
      <c r="AP13" s="463"/>
      <c r="AQ13" s="463"/>
      <c r="AR13" s="463"/>
      <c r="AS13" s="463"/>
      <c r="AT13" s="463"/>
      <c r="AU13" s="463"/>
      <c r="AV13" s="346" t="s">
        <v>2173</v>
      </c>
    </row>
    <row r="14" spans="1:119" s="454" customFormat="1" ht="15">
      <c r="A14" s="260">
        <v>729</v>
      </c>
      <c r="B14" s="448" t="s">
        <v>85</v>
      </c>
      <c r="C14" s="448" t="s">
        <v>1261</v>
      </c>
      <c r="D14" s="456">
        <v>37987</v>
      </c>
      <c r="E14" s="456">
        <v>38108</v>
      </c>
      <c r="F14" s="448" t="s">
        <v>5</v>
      </c>
      <c r="G14" s="454" t="s">
        <v>1451</v>
      </c>
      <c r="H14" s="454" t="s">
        <v>2227</v>
      </c>
      <c r="I14" s="278" t="s">
        <v>2438</v>
      </c>
      <c r="J14" s="462">
        <v>25000</v>
      </c>
      <c r="K14" s="462">
        <v>904234</v>
      </c>
      <c r="L14" s="462">
        <v>730882</v>
      </c>
      <c r="M14" s="462">
        <v>730882</v>
      </c>
      <c r="N14" s="256">
        <f t="shared" si="0"/>
        <v>29.235279999999999</v>
      </c>
      <c r="O14" s="462">
        <f>(M14*100)/K14</f>
        <v>80.828856247387293</v>
      </c>
      <c r="P14" s="462">
        <v>55086</v>
      </c>
      <c r="Q14" s="462"/>
      <c r="R14" s="462">
        <v>55086</v>
      </c>
      <c r="S14" s="451" t="s">
        <v>233</v>
      </c>
      <c r="T14" s="462"/>
      <c r="U14" s="462"/>
      <c r="V14" s="462">
        <v>36000</v>
      </c>
      <c r="W14" s="462">
        <v>26916</v>
      </c>
      <c r="X14" s="349">
        <f>W14/R14</f>
        <v>0.48861779762553098</v>
      </c>
      <c r="Y14" s="462">
        <v>55086</v>
      </c>
      <c r="Z14" s="462"/>
      <c r="AA14" s="462"/>
      <c r="AB14" s="462"/>
      <c r="AC14" s="462"/>
      <c r="AD14" s="462"/>
      <c r="AE14" s="462"/>
      <c r="AF14" s="462"/>
      <c r="AG14" s="462"/>
      <c r="AH14" s="462"/>
      <c r="AI14" s="462"/>
      <c r="AJ14" s="447">
        <f t="shared" si="1"/>
        <v>0</v>
      </c>
      <c r="AK14" s="462" t="s">
        <v>66</v>
      </c>
      <c r="AL14" s="462" t="s">
        <v>66</v>
      </c>
      <c r="AM14" s="462"/>
      <c r="AN14" s="463"/>
      <c r="AO14" s="463"/>
      <c r="AP14" s="463"/>
      <c r="AQ14" s="463"/>
      <c r="AR14" s="463"/>
      <c r="AS14" s="463"/>
      <c r="AT14" s="463"/>
      <c r="AU14" s="463"/>
      <c r="AV14" s="346" t="s">
        <v>2177</v>
      </c>
    </row>
    <row r="15" spans="1:119" s="454" customFormat="1" ht="15">
      <c r="A15" s="260">
        <v>730</v>
      </c>
      <c r="B15" s="448" t="s">
        <v>2183</v>
      </c>
      <c r="C15" s="448" t="s">
        <v>1261</v>
      </c>
      <c r="D15" s="461">
        <v>37987</v>
      </c>
      <c r="E15" s="461">
        <v>38473</v>
      </c>
      <c r="F15" s="448" t="s">
        <v>2185</v>
      </c>
      <c r="G15" s="454" t="s">
        <v>1451</v>
      </c>
      <c r="H15" s="454" t="s">
        <v>2253</v>
      </c>
      <c r="I15" s="278" t="s">
        <v>2438</v>
      </c>
      <c r="J15" s="462">
        <f>565*5</f>
        <v>2825</v>
      </c>
      <c r="K15" s="462">
        <v>378148</v>
      </c>
      <c r="L15" s="462">
        <v>356306</v>
      </c>
      <c r="M15" s="462">
        <v>356306</v>
      </c>
      <c r="N15" s="256">
        <f t="shared" si="0"/>
        <v>126.12601769911504</v>
      </c>
      <c r="O15" s="462">
        <f>(M15*100)/K15</f>
        <v>94.223954642097809</v>
      </c>
      <c r="P15" s="462"/>
      <c r="Q15" s="462"/>
      <c r="R15" s="462"/>
      <c r="S15" s="451" t="s">
        <v>233</v>
      </c>
      <c r="T15" s="462"/>
      <c r="U15" s="462"/>
      <c r="V15" s="462">
        <v>18182</v>
      </c>
      <c r="W15" s="462"/>
      <c r="X15" s="462"/>
      <c r="Y15" s="462"/>
      <c r="Z15" s="462"/>
      <c r="AA15" s="462"/>
      <c r="AB15" s="462"/>
      <c r="AC15" s="462">
        <v>56</v>
      </c>
      <c r="AD15" s="462"/>
      <c r="AE15" s="462"/>
      <c r="AF15" s="462"/>
      <c r="AG15" s="462"/>
      <c r="AH15" s="462"/>
      <c r="AI15" s="462"/>
      <c r="AJ15" s="447">
        <f t="shared" si="1"/>
        <v>0</v>
      </c>
      <c r="AK15" s="462"/>
      <c r="AL15" s="462"/>
      <c r="AM15" s="462"/>
      <c r="AN15" s="463"/>
      <c r="AO15" s="463"/>
      <c r="AP15" s="463"/>
      <c r="AQ15" s="463"/>
      <c r="AR15" s="463"/>
      <c r="AS15" s="463"/>
      <c r="AT15" s="463"/>
      <c r="AU15" s="463"/>
      <c r="AV15" s="346" t="s">
        <v>2184</v>
      </c>
    </row>
    <row r="16" spans="1:119" s="454" customFormat="1" ht="15">
      <c r="A16" s="260">
        <v>731</v>
      </c>
      <c r="B16" s="448" t="s">
        <v>1998</v>
      </c>
      <c r="C16" s="448" t="s">
        <v>1299</v>
      </c>
      <c r="D16" s="461">
        <v>38018</v>
      </c>
      <c r="E16" s="461">
        <v>38292</v>
      </c>
      <c r="F16" s="448" t="s">
        <v>79</v>
      </c>
      <c r="G16" s="454" t="s">
        <v>1453</v>
      </c>
      <c r="H16" s="454" t="s">
        <v>2254</v>
      </c>
      <c r="I16" s="278" t="s">
        <v>2438</v>
      </c>
      <c r="J16" s="462">
        <v>50000</v>
      </c>
      <c r="K16" s="462">
        <v>4910430</v>
      </c>
      <c r="L16" s="462">
        <v>2712305</v>
      </c>
      <c r="M16" s="462">
        <v>2642908</v>
      </c>
      <c r="N16" s="256">
        <f t="shared" si="0"/>
        <v>52.858159999999998</v>
      </c>
      <c r="O16" s="462">
        <f>(M16*100)/K16</f>
        <v>53.822333278348331</v>
      </c>
      <c r="P16" s="462">
        <v>8000</v>
      </c>
      <c r="Q16" s="462">
        <f>30*5</f>
        <v>150</v>
      </c>
      <c r="R16" s="462">
        <v>8000</v>
      </c>
      <c r="S16" s="462" t="s">
        <v>2</v>
      </c>
      <c r="T16" s="462">
        <v>40</v>
      </c>
      <c r="U16" s="462">
        <v>540</v>
      </c>
      <c r="V16" s="462">
        <v>460943</v>
      </c>
      <c r="W16" s="462">
        <v>47511</v>
      </c>
      <c r="X16" s="349">
        <f>W16/R16</f>
        <v>5.9388750000000003</v>
      </c>
      <c r="Y16" s="462"/>
      <c r="Z16" s="462"/>
      <c r="AA16" s="462">
        <v>540</v>
      </c>
      <c r="AB16" s="462"/>
      <c r="AC16" s="462">
        <v>40</v>
      </c>
      <c r="AD16" s="462"/>
      <c r="AE16" s="462"/>
      <c r="AF16" s="462"/>
      <c r="AG16" s="462"/>
      <c r="AH16" s="462"/>
      <c r="AI16" s="462"/>
      <c r="AJ16" s="447">
        <f t="shared" si="1"/>
        <v>540</v>
      </c>
      <c r="AK16" s="462"/>
      <c r="AL16" s="462"/>
      <c r="AM16" s="462"/>
      <c r="AN16" s="463"/>
      <c r="AO16" s="463"/>
      <c r="AP16" s="463"/>
      <c r="AQ16" s="463"/>
      <c r="AR16" s="463"/>
      <c r="AS16" s="463"/>
      <c r="AT16" s="463"/>
      <c r="AU16" s="463"/>
      <c r="AV16" s="346" t="s">
        <v>2186</v>
      </c>
    </row>
    <row r="17" spans="1:48" s="454" customFormat="1" ht="15">
      <c r="A17" s="260">
        <v>732</v>
      </c>
      <c r="B17" s="448"/>
      <c r="C17" s="448" t="s">
        <v>1299</v>
      </c>
      <c r="D17" s="461">
        <v>38047</v>
      </c>
      <c r="E17" s="461">
        <v>38322</v>
      </c>
      <c r="F17" s="454" t="s">
        <v>2188</v>
      </c>
      <c r="G17" s="454" t="s">
        <v>1452</v>
      </c>
      <c r="H17" s="454" t="s">
        <v>2255</v>
      </c>
      <c r="I17" s="278" t="s">
        <v>2438</v>
      </c>
      <c r="J17" s="462">
        <v>283000</v>
      </c>
      <c r="K17" s="462">
        <v>4968000</v>
      </c>
      <c r="L17" s="462">
        <v>193115</v>
      </c>
      <c r="M17" s="462">
        <v>182307</v>
      </c>
      <c r="N17" s="256">
        <f t="shared" si="0"/>
        <v>0.6441943462897527</v>
      </c>
      <c r="O17" s="462">
        <f>(L17*100)/K17</f>
        <v>3.8871779388083736</v>
      </c>
      <c r="P17" s="462"/>
      <c r="Q17" s="462" t="s">
        <v>134</v>
      </c>
      <c r="R17" s="462" t="s">
        <v>134</v>
      </c>
      <c r="S17" s="451" t="s">
        <v>233</v>
      </c>
      <c r="T17" s="462">
        <v>14330</v>
      </c>
      <c r="U17" s="462"/>
      <c r="V17" s="462">
        <v>390000</v>
      </c>
      <c r="W17" s="462">
        <v>1040</v>
      </c>
      <c r="X17" s="462"/>
      <c r="Y17" s="462"/>
      <c r="Z17" s="462">
        <v>241</v>
      </c>
      <c r="AA17" s="462">
        <f>14330+221300+5800+356+240</f>
        <v>242026</v>
      </c>
      <c r="AB17" s="462">
        <f>20+25+114+11</f>
        <v>170</v>
      </c>
      <c r="AC17" s="462"/>
      <c r="AD17" s="462"/>
      <c r="AE17" s="462"/>
      <c r="AF17" s="462"/>
      <c r="AG17" s="462">
        <f>44500+428</f>
        <v>44928</v>
      </c>
      <c r="AH17" s="462"/>
      <c r="AI17" s="462">
        <v>579</v>
      </c>
      <c r="AJ17" s="447">
        <f t="shared" si="1"/>
        <v>242267</v>
      </c>
      <c r="AK17" s="462">
        <v>385000</v>
      </c>
      <c r="AL17" s="462">
        <f>0.4*AK17</f>
        <v>154000</v>
      </c>
      <c r="AM17" s="445">
        <f t="shared" ref="AM17:AM18" si="4">AL17/AJ17</f>
        <v>0.63566230646352995</v>
      </c>
      <c r="AN17" s="463"/>
      <c r="AO17" s="463"/>
      <c r="AP17" s="463"/>
      <c r="AQ17" s="463"/>
      <c r="AR17" s="463"/>
      <c r="AS17" s="463"/>
      <c r="AT17" s="463" t="s">
        <v>1543</v>
      </c>
      <c r="AU17" s="463"/>
      <c r="AV17" s="346" t="s">
        <v>2187</v>
      </c>
    </row>
    <row r="18" spans="1:48" s="454" customFormat="1" ht="15">
      <c r="A18" s="260">
        <v>733</v>
      </c>
      <c r="B18" s="448" t="s">
        <v>18</v>
      </c>
      <c r="C18" s="448" t="s">
        <v>1261</v>
      </c>
      <c r="D18" s="461">
        <v>38047</v>
      </c>
      <c r="E18" s="461">
        <v>38322</v>
      </c>
      <c r="F18" s="448" t="s">
        <v>2098</v>
      </c>
      <c r="G18" s="454" t="s">
        <v>1452</v>
      </c>
      <c r="H18" s="454" t="s">
        <v>2256</v>
      </c>
      <c r="I18" s="278" t="s">
        <v>2438</v>
      </c>
      <c r="J18" s="462" t="s">
        <v>134</v>
      </c>
      <c r="K18" s="462">
        <v>1388000</v>
      </c>
      <c r="L18" s="462">
        <v>1593978</v>
      </c>
      <c r="M18" s="462">
        <v>1371667</v>
      </c>
      <c r="N18" s="256"/>
      <c r="O18" s="462">
        <f>(L18*100)/K18</f>
        <v>114.83991354466859</v>
      </c>
      <c r="P18" s="462"/>
      <c r="Q18" s="462"/>
      <c r="R18" s="462"/>
      <c r="S18" s="451" t="s">
        <v>233</v>
      </c>
      <c r="T18" s="462"/>
      <c r="U18" s="462"/>
      <c r="V18" s="462">
        <v>107000</v>
      </c>
      <c r="W18" s="462">
        <v>6084</v>
      </c>
      <c r="X18" s="462"/>
      <c r="Y18" s="462"/>
      <c r="Z18" s="462"/>
      <c r="AA18" s="462">
        <v>10000</v>
      </c>
      <c r="AB18" s="462">
        <f>407+150+30</f>
        <v>587</v>
      </c>
      <c r="AC18" s="462"/>
      <c r="AD18" s="462"/>
      <c r="AE18" s="462"/>
      <c r="AF18" s="462"/>
      <c r="AG18" s="462"/>
      <c r="AH18" s="462"/>
      <c r="AI18" s="462"/>
      <c r="AJ18" s="447">
        <f t="shared" si="1"/>
        <v>10000</v>
      </c>
      <c r="AK18" s="462">
        <v>90000</v>
      </c>
      <c r="AL18" s="462">
        <v>26040</v>
      </c>
      <c r="AM18" s="445">
        <f t="shared" si="4"/>
        <v>2.6040000000000001</v>
      </c>
      <c r="AN18" s="463"/>
      <c r="AO18" s="463"/>
      <c r="AP18" s="463"/>
      <c r="AQ18" s="463"/>
      <c r="AR18" s="463"/>
      <c r="AS18" s="463"/>
      <c r="AT18" s="463"/>
      <c r="AU18" s="463"/>
      <c r="AV18" s="346" t="s">
        <v>2189</v>
      </c>
    </row>
    <row r="19" spans="1:48" s="454" customFormat="1" ht="15">
      <c r="A19" s="260">
        <v>734</v>
      </c>
      <c r="B19" s="448" t="s">
        <v>279</v>
      </c>
      <c r="C19" s="448" t="s">
        <v>1299</v>
      </c>
      <c r="D19" s="461">
        <v>38078</v>
      </c>
      <c r="E19" s="461">
        <v>38139</v>
      </c>
      <c r="F19" s="448" t="s">
        <v>5</v>
      </c>
      <c r="G19" s="454" t="s">
        <v>1451</v>
      </c>
      <c r="H19" s="454" t="s">
        <v>2257</v>
      </c>
      <c r="I19" s="278" t="s">
        <v>2438</v>
      </c>
      <c r="J19" s="462">
        <v>50000</v>
      </c>
      <c r="K19" s="462">
        <v>846000</v>
      </c>
      <c r="L19" s="462">
        <v>645395</v>
      </c>
      <c r="M19" s="462">
        <v>645378</v>
      </c>
      <c r="N19" s="256">
        <f t="shared" ref="N19:N29" si="5">M19/J19</f>
        <v>12.90756</v>
      </c>
      <c r="O19" s="462">
        <v>76.599999999999994</v>
      </c>
      <c r="P19" s="462">
        <f>1000+(500*3)</f>
        <v>2500</v>
      </c>
      <c r="Q19" s="462">
        <f>(53+19)*20</f>
        <v>1440</v>
      </c>
      <c r="R19" s="462">
        <v>5000</v>
      </c>
      <c r="S19" s="451" t="s">
        <v>233</v>
      </c>
      <c r="T19" s="462">
        <v>29</v>
      </c>
      <c r="U19" s="462">
        <v>20000</v>
      </c>
      <c r="V19" s="462">
        <v>180000</v>
      </c>
      <c r="W19" s="462">
        <v>72630</v>
      </c>
      <c r="X19" s="349">
        <f>W19/R19</f>
        <v>14.526</v>
      </c>
      <c r="Y19" s="462"/>
      <c r="Z19" s="462"/>
      <c r="AA19" s="462">
        <v>20000</v>
      </c>
      <c r="AB19" s="462">
        <f>13+29</f>
        <v>42</v>
      </c>
      <c r="AC19" s="462"/>
      <c r="AD19" s="462"/>
      <c r="AE19" s="462">
        <v>12238</v>
      </c>
      <c r="AF19" s="462"/>
      <c r="AG19" s="462"/>
      <c r="AH19" s="462"/>
      <c r="AI19" s="462"/>
      <c r="AJ19" s="447">
        <f t="shared" si="1"/>
        <v>20000</v>
      </c>
      <c r="AK19" s="462" t="s">
        <v>66</v>
      </c>
      <c r="AL19" s="462" t="s">
        <v>66</v>
      </c>
      <c r="AM19" s="462"/>
      <c r="AN19" s="463"/>
      <c r="AO19" s="463"/>
      <c r="AP19" s="463"/>
      <c r="AQ19" s="463"/>
      <c r="AR19" s="463"/>
      <c r="AS19" s="463"/>
      <c r="AT19" s="463" t="s">
        <v>1543</v>
      </c>
      <c r="AU19" s="463"/>
      <c r="AV19" s="346" t="s">
        <v>2190</v>
      </c>
    </row>
    <row r="20" spans="1:48" s="454" customFormat="1" ht="15">
      <c r="A20" s="260">
        <v>735</v>
      </c>
      <c r="B20" s="278" t="s">
        <v>354</v>
      </c>
      <c r="C20" s="448" t="s">
        <v>1260</v>
      </c>
      <c r="D20" s="461">
        <v>38078</v>
      </c>
      <c r="E20" s="461">
        <v>38169</v>
      </c>
      <c r="F20" s="448" t="s">
        <v>5</v>
      </c>
      <c r="G20" s="454" t="s">
        <v>1451</v>
      </c>
      <c r="H20" s="454" t="s">
        <v>2258</v>
      </c>
      <c r="I20" s="278" t="s">
        <v>2438</v>
      </c>
      <c r="J20" s="462">
        <v>8412</v>
      </c>
      <c r="K20" s="462">
        <v>333000</v>
      </c>
      <c r="L20" s="462">
        <v>205209.85</v>
      </c>
      <c r="M20" s="462">
        <v>193706.39</v>
      </c>
      <c r="N20" s="256">
        <f t="shared" si="5"/>
        <v>23.027388254873991</v>
      </c>
      <c r="O20" s="462">
        <v>61.9</v>
      </c>
      <c r="P20" s="462"/>
      <c r="Q20" s="462"/>
      <c r="R20" s="462"/>
      <c r="S20" s="451" t="s">
        <v>233</v>
      </c>
      <c r="T20" s="462"/>
      <c r="U20" s="462"/>
      <c r="V20" s="462"/>
      <c r="W20" s="462"/>
      <c r="X20" s="462"/>
      <c r="Y20" s="462"/>
      <c r="Z20" s="462"/>
      <c r="AA20" s="462"/>
      <c r="AB20" s="462"/>
      <c r="AC20" s="462"/>
      <c r="AD20" s="462"/>
      <c r="AE20" s="462"/>
      <c r="AF20" s="462"/>
      <c r="AG20" s="462"/>
      <c r="AH20" s="462"/>
      <c r="AI20" s="462"/>
      <c r="AJ20" s="447">
        <f t="shared" si="1"/>
        <v>0</v>
      </c>
      <c r="AK20" s="462"/>
      <c r="AL20" s="462"/>
      <c r="AM20" s="462"/>
      <c r="AN20" s="463"/>
      <c r="AO20" s="463"/>
      <c r="AP20" s="463"/>
      <c r="AQ20" s="463"/>
      <c r="AR20" s="463"/>
      <c r="AS20" s="463"/>
      <c r="AT20" s="463"/>
      <c r="AU20" s="463"/>
      <c r="AV20" s="346" t="s">
        <v>2191</v>
      </c>
    </row>
    <row r="21" spans="1:48" s="454" customFormat="1" ht="15">
      <c r="A21" s="260">
        <v>736</v>
      </c>
      <c r="B21" s="448" t="s">
        <v>2192</v>
      </c>
      <c r="C21" s="448" t="s">
        <v>1286</v>
      </c>
      <c r="D21" s="456">
        <v>38108</v>
      </c>
      <c r="E21" s="456">
        <v>38292</v>
      </c>
      <c r="F21" s="448" t="s">
        <v>5</v>
      </c>
      <c r="G21" s="454" t="s">
        <v>1451</v>
      </c>
      <c r="H21" s="454" t="s">
        <v>2259</v>
      </c>
      <c r="I21" s="278" t="s">
        <v>2438</v>
      </c>
      <c r="J21" s="462">
        <v>25000</v>
      </c>
      <c r="K21" s="462">
        <v>2433000</v>
      </c>
      <c r="L21" s="462">
        <v>2708530</v>
      </c>
      <c r="M21" s="462">
        <v>2763073</v>
      </c>
      <c r="N21" s="256">
        <f t="shared" si="5"/>
        <v>110.52292</v>
      </c>
      <c r="O21" s="462">
        <v>123.3</v>
      </c>
      <c r="P21" s="462">
        <f>25000+(71*5)</f>
        <v>25355</v>
      </c>
      <c r="Q21" s="462">
        <f>100+(71*5)</f>
        <v>455</v>
      </c>
      <c r="R21" s="462">
        <f>25000+(71*5)</f>
        <v>25355</v>
      </c>
      <c r="S21" s="462"/>
      <c r="T21" s="462"/>
      <c r="U21" s="462">
        <v>25000</v>
      </c>
      <c r="V21" s="462">
        <v>114000</v>
      </c>
      <c r="W21" s="462">
        <v>126101</v>
      </c>
      <c r="X21" s="349">
        <f>W21/R21</f>
        <v>4.973417471899034</v>
      </c>
      <c r="Y21" s="462"/>
      <c r="Z21" s="462">
        <v>25000</v>
      </c>
      <c r="AA21" s="462">
        <v>25000</v>
      </c>
      <c r="AB21" s="462"/>
      <c r="AC21" s="462"/>
      <c r="AD21" s="462"/>
      <c r="AE21" s="462">
        <v>10000</v>
      </c>
      <c r="AF21" s="462"/>
      <c r="AG21" s="462">
        <v>10</v>
      </c>
      <c r="AH21" s="462"/>
      <c r="AI21" s="462"/>
      <c r="AJ21" s="447">
        <f t="shared" si="1"/>
        <v>50000</v>
      </c>
      <c r="AK21" s="462">
        <v>26009</v>
      </c>
      <c r="AL21" s="462">
        <v>22898</v>
      </c>
      <c r="AM21" s="445">
        <f>AL21/AJ21</f>
        <v>0.45795999999999998</v>
      </c>
      <c r="AN21" s="463"/>
      <c r="AO21" s="463"/>
      <c r="AP21" s="463"/>
      <c r="AQ21" s="463"/>
      <c r="AR21" s="463"/>
      <c r="AS21" s="463"/>
      <c r="AT21" s="463"/>
      <c r="AU21" s="463"/>
      <c r="AV21" s="346" t="s">
        <v>2193</v>
      </c>
    </row>
    <row r="22" spans="1:48" s="454" customFormat="1" ht="15">
      <c r="A22" s="260">
        <v>737</v>
      </c>
      <c r="B22" s="448" t="s">
        <v>563</v>
      </c>
      <c r="C22" s="448" t="s">
        <v>1261</v>
      </c>
      <c r="D22" s="461">
        <v>38169</v>
      </c>
      <c r="E22" s="461">
        <v>38504</v>
      </c>
      <c r="F22" s="448" t="s">
        <v>5</v>
      </c>
      <c r="G22" s="454" t="s">
        <v>1451</v>
      </c>
      <c r="H22" s="454" t="s">
        <v>2260</v>
      </c>
      <c r="I22" s="278" t="s">
        <v>2438</v>
      </c>
      <c r="J22" s="462">
        <v>180000</v>
      </c>
      <c r="K22" s="462">
        <v>2026765</v>
      </c>
      <c r="L22" s="462">
        <v>1995177</v>
      </c>
      <c r="M22" s="462">
        <v>1995177</v>
      </c>
      <c r="N22" s="256">
        <f t="shared" si="5"/>
        <v>11.084316666666666</v>
      </c>
      <c r="O22" s="462">
        <v>98.5</v>
      </c>
      <c r="P22" s="462">
        <f>15000*5</f>
        <v>75000</v>
      </c>
      <c r="Q22" s="462"/>
      <c r="R22" s="462">
        <f>15000*5</f>
        <v>75000</v>
      </c>
      <c r="S22" s="462"/>
      <c r="T22" s="462"/>
      <c r="U22" s="462">
        <v>75000</v>
      </c>
      <c r="V22" s="462"/>
      <c r="W22" s="462"/>
      <c r="X22" s="349">
        <f>W22/R22</f>
        <v>0</v>
      </c>
      <c r="Y22" s="462"/>
      <c r="Z22" s="462"/>
      <c r="AA22" s="462">
        <v>75000</v>
      </c>
      <c r="AB22" s="462"/>
      <c r="AC22" s="462" t="s">
        <v>2</v>
      </c>
      <c r="AD22" s="462"/>
      <c r="AE22" s="462"/>
      <c r="AF22" s="462"/>
      <c r="AG22" s="462"/>
      <c r="AH22" s="462"/>
      <c r="AI22" s="462"/>
      <c r="AJ22" s="447">
        <f t="shared" si="1"/>
        <v>75000</v>
      </c>
      <c r="AK22" s="462"/>
      <c r="AL22" s="462"/>
      <c r="AM22" s="462"/>
      <c r="AN22" s="463"/>
      <c r="AO22" s="463"/>
      <c r="AP22" s="463"/>
      <c r="AQ22" s="463"/>
      <c r="AR22" s="463"/>
      <c r="AS22" s="463"/>
      <c r="AT22" s="463"/>
      <c r="AU22" s="463"/>
      <c r="AV22" s="346" t="s">
        <v>2194</v>
      </c>
    </row>
    <row r="23" spans="1:48" s="454" customFormat="1" ht="15">
      <c r="A23" s="260">
        <v>738</v>
      </c>
      <c r="B23" s="448" t="s">
        <v>2308</v>
      </c>
      <c r="C23" s="448" t="s">
        <v>1286</v>
      </c>
      <c r="D23" s="461">
        <v>38231</v>
      </c>
      <c r="E23" s="461">
        <v>38412</v>
      </c>
      <c r="F23" s="448" t="s">
        <v>2196</v>
      </c>
      <c r="G23" s="444" t="s">
        <v>2271</v>
      </c>
      <c r="H23" s="454" t="s">
        <v>2261</v>
      </c>
      <c r="I23" s="278" t="s">
        <v>2438</v>
      </c>
      <c r="J23" s="462">
        <v>109000</v>
      </c>
      <c r="K23" s="462">
        <v>7389000</v>
      </c>
      <c r="L23" s="462">
        <v>6538879</v>
      </c>
      <c r="M23" s="462">
        <v>6469731</v>
      </c>
      <c r="N23" s="256">
        <f t="shared" si="5"/>
        <v>59.355330275229356</v>
      </c>
      <c r="O23" s="462">
        <v>119.5</v>
      </c>
      <c r="P23" s="462">
        <f>3000</f>
        <v>3000</v>
      </c>
      <c r="Q23" s="462">
        <f>4000*5</f>
        <v>20000</v>
      </c>
      <c r="R23" s="462">
        <v>20000</v>
      </c>
      <c r="S23" s="462"/>
      <c r="T23" s="462" t="s">
        <v>134</v>
      </c>
      <c r="U23" s="462" t="s">
        <v>134</v>
      </c>
      <c r="V23" s="462">
        <v>124531</v>
      </c>
      <c r="W23" s="462">
        <v>6383</v>
      </c>
      <c r="X23" s="349">
        <f>W23/R23</f>
        <v>0.31914999999999999</v>
      </c>
      <c r="Y23" s="462"/>
      <c r="Z23" s="462">
        <v>225</v>
      </c>
      <c r="AA23" s="462"/>
      <c r="AB23" s="462">
        <f>19+20</f>
        <v>39</v>
      </c>
      <c r="AC23" s="462"/>
      <c r="AD23" s="462"/>
      <c r="AE23" s="462"/>
      <c r="AF23" s="462"/>
      <c r="AG23" s="462"/>
      <c r="AH23" s="462"/>
      <c r="AI23" s="462"/>
      <c r="AJ23" s="447">
        <f t="shared" si="1"/>
        <v>225</v>
      </c>
      <c r="AK23" s="462">
        <v>56440</v>
      </c>
      <c r="AL23" s="462">
        <v>19593</v>
      </c>
      <c r="AM23" s="445">
        <f t="shared" ref="AM23:AM25" si="6">AL23/AJ23</f>
        <v>87.08</v>
      </c>
      <c r="AN23" s="463"/>
      <c r="AO23" s="463"/>
      <c r="AP23" s="463"/>
      <c r="AQ23" s="463"/>
      <c r="AR23" s="463"/>
      <c r="AS23" s="463"/>
      <c r="AT23" s="463">
        <v>1</v>
      </c>
      <c r="AU23" s="463"/>
      <c r="AV23" s="346" t="s">
        <v>2197</v>
      </c>
    </row>
    <row r="24" spans="1:48" s="454" customFormat="1" ht="15">
      <c r="A24" s="260">
        <v>739</v>
      </c>
      <c r="B24" s="448" t="s">
        <v>161</v>
      </c>
      <c r="C24" s="448" t="s">
        <v>1286</v>
      </c>
      <c r="D24" s="461">
        <v>38261</v>
      </c>
      <c r="E24" s="461">
        <v>38412</v>
      </c>
      <c r="F24" s="448" t="s">
        <v>2198</v>
      </c>
      <c r="G24" s="444" t="s">
        <v>2271</v>
      </c>
      <c r="H24" s="454" t="s">
        <v>2251</v>
      </c>
      <c r="I24" s="278" t="s">
        <v>2438</v>
      </c>
      <c r="J24" s="462">
        <v>15000</v>
      </c>
      <c r="K24" s="462">
        <v>958000</v>
      </c>
      <c r="L24" s="462">
        <v>819936</v>
      </c>
      <c r="M24" s="462">
        <v>754524</v>
      </c>
      <c r="N24" s="256">
        <f t="shared" si="5"/>
        <v>50.301600000000001</v>
      </c>
      <c r="O24" s="462">
        <v>94.2</v>
      </c>
      <c r="P24" s="462">
        <f>2800*5</f>
        <v>14000</v>
      </c>
      <c r="Q24" s="462"/>
      <c r="R24" s="462">
        <f>2800*5</f>
        <v>14000</v>
      </c>
      <c r="S24" s="462"/>
      <c r="T24" s="462"/>
      <c r="U24" s="462"/>
      <c r="V24" s="462">
        <v>75000</v>
      </c>
      <c r="W24" s="462">
        <v>12710</v>
      </c>
      <c r="X24" s="349">
        <f>W24/R24</f>
        <v>0.90785714285714281</v>
      </c>
      <c r="Y24" s="462"/>
      <c r="Z24" s="462"/>
      <c r="AA24" s="462"/>
      <c r="AB24" s="462"/>
      <c r="AC24" s="462"/>
      <c r="AD24" s="462"/>
      <c r="AE24" s="462"/>
      <c r="AF24" s="462"/>
      <c r="AG24" s="462"/>
      <c r="AH24" s="462"/>
      <c r="AI24" s="462"/>
      <c r="AJ24" s="447">
        <f t="shared" si="1"/>
        <v>0</v>
      </c>
      <c r="AK24" s="462" t="s">
        <v>66</v>
      </c>
      <c r="AL24" s="462">
        <v>14939</v>
      </c>
      <c r="AM24" s="445"/>
      <c r="AN24" s="463"/>
      <c r="AO24" s="463"/>
      <c r="AP24" s="463"/>
      <c r="AQ24" s="463"/>
      <c r="AR24" s="463"/>
      <c r="AS24" s="463"/>
      <c r="AT24" s="463"/>
      <c r="AU24" s="463"/>
      <c r="AV24" s="346" t="s">
        <v>2199</v>
      </c>
    </row>
    <row r="25" spans="1:48" s="454" customFormat="1" ht="15">
      <c r="A25" s="260">
        <v>740</v>
      </c>
      <c r="B25" s="448" t="s">
        <v>992</v>
      </c>
      <c r="C25" s="448" t="s">
        <v>1286</v>
      </c>
      <c r="D25" s="461">
        <v>38292</v>
      </c>
      <c r="E25" s="461">
        <v>38565</v>
      </c>
      <c r="F25" s="448" t="s">
        <v>5</v>
      </c>
      <c r="G25" s="454" t="s">
        <v>1451</v>
      </c>
      <c r="H25" s="454" t="s">
        <v>2262</v>
      </c>
      <c r="I25" s="278" t="s">
        <v>2438</v>
      </c>
      <c r="J25" s="462">
        <f>9500*5</f>
        <v>47500</v>
      </c>
      <c r="K25" s="462">
        <v>1996000</v>
      </c>
      <c r="L25" s="462">
        <v>429565</v>
      </c>
      <c r="M25" s="462">
        <v>417135</v>
      </c>
      <c r="N25" s="256">
        <f t="shared" si="5"/>
        <v>8.7817894736842099</v>
      </c>
      <c r="O25" s="462">
        <f>(L25*100)/K25</f>
        <v>21.52129258517034</v>
      </c>
      <c r="P25" s="462"/>
      <c r="Q25" s="462"/>
      <c r="R25" s="462"/>
      <c r="S25" s="462"/>
      <c r="T25" s="462"/>
      <c r="U25" s="462">
        <v>8646</v>
      </c>
      <c r="V25" s="462">
        <v>21678</v>
      </c>
      <c r="W25" s="462">
        <f>0.22*V25</f>
        <v>4769.16</v>
      </c>
      <c r="X25" s="462"/>
      <c r="Y25" s="462">
        <f>3597+1224+10994</f>
        <v>15815</v>
      </c>
      <c r="Z25" s="462">
        <f>3597+1224</f>
        <v>4821</v>
      </c>
      <c r="AA25" s="462">
        <v>8646</v>
      </c>
      <c r="AB25" s="462"/>
      <c r="AC25" s="462"/>
      <c r="AD25" s="462"/>
      <c r="AE25" s="462">
        <f>780+(514+208+750+375+467+354+210+530+1375+123)*3+4*(400+141+900+100)+5*(345+155)</f>
        <v>24162</v>
      </c>
      <c r="AF25" s="462"/>
      <c r="AG25" s="462"/>
      <c r="AH25" s="462">
        <f>3597+1224+10994</f>
        <v>15815</v>
      </c>
      <c r="AI25" s="462">
        <v>1224</v>
      </c>
      <c r="AJ25" s="447">
        <f t="shared" si="1"/>
        <v>29282</v>
      </c>
      <c r="AK25" s="462">
        <v>67289</v>
      </c>
      <c r="AL25" s="462">
        <v>5324</v>
      </c>
      <c r="AM25" s="445">
        <f t="shared" si="6"/>
        <v>0.18181818181818182</v>
      </c>
      <c r="AN25" s="463"/>
      <c r="AO25" s="463"/>
      <c r="AP25" s="463"/>
      <c r="AQ25" s="463"/>
      <c r="AR25" s="463"/>
      <c r="AS25" s="463"/>
      <c r="AT25" s="463"/>
      <c r="AU25" s="463"/>
      <c r="AV25" s="346" t="s">
        <v>2200</v>
      </c>
    </row>
    <row r="26" spans="1:48" s="454" customFormat="1" ht="15">
      <c r="A26" s="260">
        <v>741</v>
      </c>
      <c r="B26" s="448" t="s">
        <v>85</v>
      </c>
      <c r="C26" s="448" t="s">
        <v>1261</v>
      </c>
      <c r="D26" s="461">
        <v>38292</v>
      </c>
      <c r="E26" s="461">
        <v>38322</v>
      </c>
      <c r="F26" s="448" t="s">
        <v>24</v>
      </c>
      <c r="G26" s="454" t="s">
        <v>1454</v>
      </c>
      <c r="H26" s="454" t="s">
        <v>2238</v>
      </c>
      <c r="I26" s="278" t="s">
        <v>2438</v>
      </c>
      <c r="J26" s="462">
        <v>468000</v>
      </c>
      <c r="K26" s="462">
        <v>1200187</v>
      </c>
      <c r="L26" s="462">
        <v>406879</v>
      </c>
      <c r="M26" s="462">
        <v>406879</v>
      </c>
      <c r="N26" s="256">
        <f t="shared" si="5"/>
        <v>0.86939957264957268</v>
      </c>
      <c r="O26" s="462">
        <v>33.9</v>
      </c>
      <c r="P26" s="462"/>
      <c r="Q26" s="462"/>
      <c r="R26" s="462"/>
      <c r="S26" s="462"/>
      <c r="T26" s="462"/>
      <c r="U26" s="462"/>
      <c r="V26" s="462"/>
      <c r="W26" s="462"/>
      <c r="X26" s="462"/>
      <c r="Y26" s="462"/>
      <c r="Z26" s="462"/>
      <c r="AA26" s="462"/>
      <c r="AB26" s="462"/>
      <c r="AC26" s="462"/>
      <c r="AD26" s="462"/>
      <c r="AE26" s="462">
        <f>(2*4813)+1000+500</f>
        <v>11126</v>
      </c>
      <c r="AF26" s="462"/>
      <c r="AG26" s="462"/>
      <c r="AH26" s="462"/>
      <c r="AI26" s="462"/>
      <c r="AJ26" s="447">
        <f t="shared" si="1"/>
        <v>0</v>
      </c>
      <c r="AK26" s="462"/>
      <c r="AL26" s="462"/>
      <c r="AM26" s="462"/>
      <c r="AN26" s="463"/>
      <c r="AO26" s="463">
        <v>3</v>
      </c>
      <c r="AP26" s="463">
        <v>2</v>
      </c>
      <c r="AQ26" s="463"/>
      <c r="AR26" s="463">
        <v>1</v>
      </c>
      <c r="AS26" s="463">
        <v>2</v>
      </c>
      <c r="AT26" s="463"/>
      <c r="AU26" s="463"/>
      <c r="AV26" s="346" t="s">
        <v>2201</v>
      </c>
    </row>
    <row r="27" spans="1:48" s="454" customFormat="1" ht="15">
      <c r="A27" s="260">
        <v>742</v>
      </c>
      <c r="B27" s="448" t="s">
        <v>2376</v>
      </c>
      <c r="C27" s="448" t="s">
        <v>1299</v>
      </c>
      <c r="D27" s="461">
        <v>38322</v>
      </c>
      <c r="E27" s="461">
        <v>38412</v>
      </c>
      <c r="F27" s="448" t="s">
        <v>2202</v>
      </c>
      <c r="G27" s="454" t="s">
        <v>1452</v>
      </c>
      <c r="H27" s="454" t="s">
        <v>2263</v>
      </c>
      <c r="I27" s="278" t="s">
        <v>2438</v>
      </c>
      <c r="J27" s="462">
        <v>14000</v>
      </c>
      <c r="K27" s="462">
        <v>411236</v>
      </c>
      <c r="L27" s="462">
        <v>19354</v>
      </c>
      <c r="M27" s="462">
        <v>19354</v>
      </c>
      <c r="N27" s="256">
        <f t="shared" si="5"/>
        <v>1.3824285714285713</v>
      </c>
      <c r="O27" s="462">
        <v>4.7</v>
      </c>
      <c r="P27" s="462"/>
      <c r="Q27" s="462"/>
      <c r="R27" s="462"/>
      <c r="S27" s="462"/>
      <c r="T27" s="462"/>
      <c r="U27" s="462"/>
      <c r="V27" s="462"/>
      <c r="W27" s="462"/>
      <c r="X27" s="462"/>
      <c r="Y27" s="462"/>
      <c r="Z27" s="462"/>
      <c r="AA27" s="462"/>
      <c r="AB27" s="462">
        <f>169+30+42</f>
        <v>241</v>
      </c>
      <c r="AC27" s="462" t="s">
        <v>2</v>
      </c>
      <c r="AD27" s="462"/>
      <c r="AE27" s="462"/>
      <c r="AF27" s="462"/>
      <c r="AG27" s="462"/>
      <c r="AH27" s="462"/>
      <c r="AI27" s="462"/>
      <c r="AJ27" s="447">
        <f t="shared" si="1"/>
        <v>0</v>
      </c>
      <c r="AK27" s="462"/>
      <c r="AL27" s="462"/>
      <c r="AM27" s="462"/>
      <c r="AN27" s="463"/>
      <c r="AO27" s="463"/>
      <c r="AP27" s="463"/>
      <c r="AQ27" s="463"/>
      <c r="AR27" s="463"/>
      <c r="AS27" s="463"/>
      <c r="AT27" s="463"/>
      <c r="AU27" s="463"/>
      <c r="AV27" s="346" t="s">
        <v>2203</v>
      </c>
    </row>
    <row r="28" spans="1:48" s="454" customFormat="1" ht="15">
      <c r="A28" s="260">
        <v>743</v>
      </c>
      <c r="B28" s="448" t="s">
        <v>6</v>
      </c>
      <c r="C28" s="448" t="s">
        <v>1261</v>
      </c>
      <c r="D28" s="461">
        <v>38078</v>
      </c>
      <c r="E28" s="461">
        <v>38322</v>
      </c>
      <c r="F28" s="448" t="s">
        <v>2204</v>
      </c>
      <c r="G28" s="454" t="s">
        <v>1450</v>
      </c>
      <c r="H28" s="454" t="s">
        <v>2270</v>
      </c>
      <c r="I28" s="259" t="s">
        <v>2440</v>
      </c>
      <c r="J28" s="462">
        <v>10000</v>
      </c>
      <c r="K28" s="462">
        <v>42000</v>
      </c>
      <c r="L28" s="462">
        <v>39743.440000000002</v>
      </c>
      <c r="M28" s="462">
        <v>39743.440000000002</v>
      </c>
      <c r="N28" s="256">
        <f t="shared" si="5"/>
        <v>3.9743440000000003</v>
      </c>
      <c r="O28" s="462">
        <f>(L28*100)/K28</f>
        <v>94.627238095238098</v>
      </c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47">
        <f t="shared" si="1"/>
        <v>0</v>
      </c>
      <c r="AK28" s="462"/>
      <c r="AL28" s="462"/>
      <c r="AM28" s="462"/>
      <c r="AN28" s="463"/>
      <c r="AO28" s="463"/>
      <c r="AP28" s="463"/>
      <c r="AQ28" s="463"/>
      <c r="AR28" s="463"/>
      <c r="AS28" s="463"/>
      <c r="AT28" s="463"/>
      <c r="AU28" s="463"/>
      <c r="AV28" s="346" t="s">
        <v>2205</v>
      </c>
    </row>
    <row r="29" spans="1:48" s="454" customFormat="1" ht="15">
      <c r="A29" s="260">
        <v>744</v>
      </c>
      <c r="B29" s="448" t="s">
        <v>2206</v>
      </c>
      <c r="C29" s="448" t="s">
        <v>1261</v>
      </c>
      <c r="D29" s="461">
        <v>38322</v>
      </c>
      <c r="E29" s="461">
        <v>41244</v>
      </c>
      <c r="F29" s="448" t="s">
        <v>2207</v>
      </c>
      <c r="G29" s="454" t="s">
        <v>1454</v>
      </c>
      <c r="H29" s="454" t="s">
        <v>2291</v>
      </c>
      <c r="I29" s="278" t="s">
        <v>2438</v>
      </c>
      <c r="J29" s="462">
        <v>4814000</v>
      </c>
      <c r="K29" s="462"/>
      <c r="L29" s="462">
        <v>665262821.01999903</v>
      </c>
      <c r="M29" s="462">
        <v>665262821.01999903</v>
      </c>
      <c r="N29" s="256">
        <f t="shared" si="5"/>
        <v>138.19335708766079</v>
      </c>
      <c r="O29" s="462"/>
      <c r="P29" s="462">
        <v>707600</v>
      </c>
      <c r="Q29" s="462">
        <v>342900</v>
      </c>
      <c r="R29" s="462">
        <v>707600</v>
      </c>
      <c r="S29" s="462" t="s">
        <v>2</v>
      </c>
      <c r="T29" s="462" t="s">
        <v>134</v>
      </c>
      <c r="U29" s="462">
        <v>32000</v>
      </c>
      <c r="V29" s="462"/>
      <c r="W29" s="462">
        <v>76422331</v>
      </c>
      <c r="X29" s="349">
        <f>W29/R29</f>
        <v>108.00216365178066</v>
      </c>
      <c r="Y29" s="462"/>
      <c r="Z29" s="462">
        <v>232900</v>
      </c>
      <c r="AA29" s="462">
        <v>1110200</v>
      </c>
      <c r="AB29" s="462">
        <f>200+30</f>
        <v>230</v>
      </c>
      <c r="AC29" s="462">
        <v>277600</v>
      </c>
      <c r="AD29" s="462"/>
      <c r="AE29" s="462">
        <v>70000</v>
      </c>
      <c r="AF29" s="462"/>
      <c r="AG29" s="462"/>
      <c r="AH29" s="462"/>
      <c r="AI29" s="462">
        <v>356</v>
      </c>
      <c r="AJ29" s="447">
        <f t="shared" si="1"/>
        <v>1343100</v>
      </c>
      <c r="AK29" s="462"/>
      <c r="AL29" s="462">
        <v>96068504</v>
      </c>
      <c r="AM29" s="445">
        <f>AL29/AJ29</f>
        <v>71.527439505621331</v>
      </c>
      <c r="AN29" s="463"/>
      <c r="AO29" s="463"/>
      <c r="AP29" s="463"/>
      <c r="AQ29" s="463"/>
      <c r="AR29" s="463"/>
      <c r="AS29" s="463"/>
      <c r="AT29" s="463"/>
      <c r="AU29" s="463"/>
      <c r="AV29" s="454" t="s">
        <v>2292</v>
      </c>
    </row>
    <row r="30" spans="1:48" s="454" customFormat="1" ht="15">
      <c r="A30" s="260">
        <v>745</v>
      </c>
      <c r="B30" s="448" t="s">
        <v>502</v>
      </c>
      <c r="C30" s="448" t="s">
        <v>1299</v>
      </c>
      <c r="D30" s="461">
        <v>38108</v>
      </c>
      <c r="E30" s="461">
        <v>38322</v>
      </c>
      <c r="F30" s="448" t="s">
        <v>2208</v>
      </c>
      <c r="G30" s="454" t="s">
        <v>1449</v>
      </c>
      <c r="H30" s="454" t="s">
        <v>2245</v>
      </c>
      <c r="I30" s="259" t="s">
        <v>2440</v>
      </c>
      <c r="J30" s="462" t="s">
        <v>134</v>
      </c>
      <c r="K30" s="462">
        <v>47000</v>
      </c>
      <c r="L30" s="462">
        <v>41029.47</v>
      </c>
      <c r="M30" s="462">
        <v>41029.47</v>
      </c>
      <c r="N30" s="256"/>
      <c r="O30" s="462">
        <f>(L30*100)/K30</f>
        <v>87.296744680851063</v>
      </c>
      <c r="P30" s="462"/>
      <c r="Q30" s="462"/>
      <c r="R30" s="462"/>
      <c r="S30" s="462"/>
      <c r="T30" s="462"/>
      <c r="U30" s="462"/>
      <c r="V30" s="462"/>
      <c r="W30" s="462"/>
      <c r="X30" s="462"/>
      <c r="Y30" s="462"/>
      <c r="Z30" s="462"/>
      <c r="AA30" s="462">
        <v>418748</v>
      </c>
      <c r="AB30" s="462">
        <v>493</v>
      </c>
      <c r="AC30" s="462"/>
      <c r="AD30" s="462"/>
      <c r="AE30" s="462"/>
      <c r="AF30" s="462"/>
      <c r="AG30" s="462"/>
      <c r="AH30" s="462"/>
      <c r="AI30" s="462"/>
      <c r="AJ30" s="447">
        <f t="shared" si="1"/>
        <v>418748</v>
      </c>
      <c r="AK30" s="462"/>
      <c r="AL30" s="462"/>
      <c r="AM30" s="462"/>
      <c r="AN30" s="463"/>
      <c r="AO30" s="463"/>
      <c r="AP30" s="463"/>
      <c r="AQ30" s="463"/>
      <c r="AR30" s="463"/>
      <c r="AS30" s="463"/>
      <c r="AT30" s="463"/>
      <c r="AU30" s="463"/>
      <c r="AV30" s="346" t="s">
        <v>2248</v>
      </c>
    </row>
    <row r="31" spans="1:48" s="454" customFormat="1" ht="15">
      <c r="A31" s="260">
        <v>746</v>
      </c>
      <c r="B31" s="448" t="s">
        <v>2209</v>
      </c>
      <c r="C31" s="448" t="s">
        <v>1260</v>
      </c>
      <c r="D31" s="461">
        <v>37987</v>
      </c>
      <c r="E31" s="461">
        <v>38322</v>
      </c>
      <c r="F31" s="448" t="s">
        <v>2212</v>
      </c>
      <c r="G31" s="454" t="s">
        <v>1464</v>
      </c>
      <c r="H31" s="454" t="s">
        <v>2270</v>
      </c>
      <c r="I31" s="259" t="s">
        <v>2440</v>
      </c>
      <c r="J31" s="462">
        <v>1200</v>
      </c>
      <c r="K31" s="462"/>
      <c r="L31" s="462">
        <v>1126.6300000000001</v>
      </c>
      <c r="M31" s="462">
        <v>1126.6300000000001</v>
      </c>
      <c r="N31" s="256">
        <f>M31/J31</f>
        <v>0.93885833333333346</v>
      </c>
      <c r="O31" s="462" t="s">
        <v>66</v>
      </c>
      <c r="P31" s="462"/>
      <c r="Q31" s="462"/>
      <c r="R31" s="462"/>
      <c r="S31" s="462"/>
      <c r="T31" s="462"/>
      <c r="U31" s="462"/>
      <c r="V31" s="462"/>
      <c r="W31" s="462"/>
      <c r="X31" s="462"/>
      <c r="Y31" s="462">
        <v>1200</v>
      </c>
      <c r="Z31" s="462"/>
      <c r="AA31" s="462"/>
      <c r="AB31" s="462">
        <v>208</v>
      </c>
      <c r="AC31" s="462"/>
      <c r="AD31" s="462"/>
      <c r="AE31" s="462"/>
      <c r="AF31" s="462"/>
      <c r="AG31" s="462"/>
      <c r="AH31" s="462"/>
      <c r="AI31" s="462"/>
      <c r="AJ31" s="447">
        <f t="shared" si="1"/>
        <v>0</v>
      </c>
      <c r="AK31" s="462"/>
      <c r="AL31" s="462"/>
      <c r="AM31" s="462"/>
      <c r="AN31" s="463"/>
      <c r="AO31" s="463"/>
      <c r="AP31" s="463"/>
      <c r="AQ31" s="463"/>
      <c r="AR31" s="463"/>
      <c r="AS31" s="463"/>
      <c r="AT31" s="463"/>
      <c r="AU31" s="463"/>
      <c r="AV31" s="346" t="s">
        <v>2247</v>
      </c>
    </row>
    <row r="32" spans="1:48" s="454" customFormat="1" ht="15">
      <c r="A32" s="260">
        <v>747</v>
      </c>
      <c r="B32" s="448" t="s">
        <v>171</v>
      </c>
      <c r="C32" s="448" t="s">
        <v>1299</v>
      </c>
      <c r="D32" s="461">
        <v>37987</v>
      </c>
      <c r="E32" s="461">
        <v>38322</v>
      </c>
      <c r="F32" s="448" t="s">
        <v>2210</v>
      </c>
      <c r="G32" s="454" t="s">
        <v>1452</v>
      </c>
      <c r="H32" s="454" t="s">
        <v>2272</v>
      </c>
      <c r="I32" s="259" t="s">
        <v>2440</v>
      </c>
      <c r="J32" s="462">
        <v>89000</v>
      </c>
      <c r="K32" s="462"/>
      <c r="L32" s="462">
        <v>17635.73</v>
      </c>
      <c r="M32" s="462">
        <v>17635.73</v>
      </c>
      <c r="N32" s="256">
        <f>M32/J32</f>
        <v>0.19815426966292135</v>
      </c>
      <c r="O32" s="462" t="s">
        <v>66</v>
      </c>
      <c r="P32" s="462"/>
      <c r="Q32" s="462"/>
      <c r="R32" s="462"/>
      <c r="S32" s="462"/>
      <c r="T32" s="462"/>
      <c r="U32" s="462"/>
      <c r="V32" s="462"/>
      <c r="W32" s="462"/>
      <c r="X32" s="462"/>
      <c r="Y32" s="462"/>
      <c r="Z32" s="462"/>
      <c r="AA32" s="462"/>
      <c r="AB32" s="462"/>
      <c r="AC32" s="462"/>
      <c r="AD32" s="462"/>
      <c r="AE32" s="462"/>
      <c r="AF32" s="462"/>
      <c r="AG32" s="462"/>
      <c r="AH32" s="462"/>
      <c r="AI32" s="462"/>
      <c r="AJ32" s="447">
        <f t="shared" si="1"/>
        <v>0</v>
      </c>
      <c r="AK32" s="462"/>
      <c r="AL32" s="462"/>
      <c r="AM32" s="462"/>
      <c r="AN32" s="463"/>
      <c r="AO32" s="463"/>
      <c r="AP32" s="463"/>
      <c r="AQ32" s="463"/>
      <c r="AR32" s="463"/>
      <c r="AS32" s="463"/>
      <c r="AT32" s="463"/>
      <c r="AU32" s="463"/>
      <c r="AV32" s="346" t="s">
        <v>2249</v>
      </c>
    </row>
    <row r="33" spans="1:198" s="454" customFormat="1" ht="15">
      <c r="A33" s="260">
        <v>748</v>
      </c>
      <c r="B33" s="448" t="s">
        <v>1813</v>
      </c>
      <c r="C33" s="448" t="s">
        <v>1260</v>
      </c>
      <c r="D33" s="461">
        <v>37987</v>
      </c>
      <c r="E33" s="461">
        <v>38322</v>
      </c>
      <c r="F33" s="448" t="s">
        <v>2211</v>
      </c>
      <c r="G33" s="454" t="s">
        <v>1452</v>
      </c>
      <c r="H33" s="454" t="s">
        <v>2244</v>
      </c>
      <c r="I33" s="259" t="s">
        <v>2440</v>
      </c>
      <c r="J33" s="462" t="s">
        <v>134</v>
      </c>
      <c r="K33" s="462"/>
      <c r="L33" s="462">
        <v>17878.18</v>
      </c>
      <c r="M33" s="462">
        <v>17878.18</v>
      </c>
      <c r="N33" s="256"/>
      <c r="O33" s="462" t="s">
        <v>66</v>
      </c>
      <c r="P33" s="462"/>
      <c r="Q33" s="462"/>
      <c r="R33" s="462"/>
      <c r="S33" s="462"/>
      <c r="T33" s="462"/>
      <c r="U33" s="462"/>
      <c r="V33" s="462"/>
      <c r="W33" s="462"/>
      <c r="X33" s="462"/>
      <c r="Y33" s="462"/>
      <c r="Z33" s="462"/>
      <c r="AA33" s="462"/>
      <c r="AB33" s="462"/>
      <c r="AC33" s="462"/>
      <c r="AD33" s="462"/>
      <c r="AE33" s="462"/>
      <c r="AF33" s="462"/>
      <c r="AG33" s="462"/>
      <c r="AH33" s="462"/>
      <c r="AI33" s="462"/>
      <c r="AJ33" s="447">
        <f t="shared" si="1"/>
        <v>0</v>
      </c>
      <c r="AK33" s="462"/>
      <c r="AL33" s="462"/>
      <c r="AM33" s="462"/>
      <c r="AN33" s="463"/>
      <c r="AO33" s="463"/>
      <c r="AP33" s="463"/>
      <c r="AQ33" s="463"/>
      <c r="AR33" s="463"/>
      <c r="AS33" s="463"/>
      <c r="AT33" s="463"/>
      <c r="AU33" s="463"/>
      <c r="AV33" s="346" t="s">
        <v>2250</v>
      </c>
    </row>
    <row r="34" spans="1:198" s="454" customFormat="1" ht="15">
      <c r="A34" s="260">
        <v>749</v>
      </c>
      <c r="B34" s="448" t="s">
        <v>597</v>
      </c>
      <c r="C34" s="448" t="s">
        <v>1299</v>
      </c>
      <c r="D34" s="461">
        <v>37988</v>
      </c>
      <c r="E34" s="461">
        <v>38323</v>
      </c>
      <c r="F34" s="448" t="s">
        <v>5</v>
      </c>
      <c r="G34" s="454" t="s">
        <v>1451</v>
      </c>
      <c r="H34" s="454" t="s">
        <v>2245</v>
      </c>
      <c r="I34" s="259" t="s">
        <v>2440</v>
      </c>
      <c r="J34" s="462">
        <v>3000</v>
      </c>
      <c r="K34" s="462"/>
      <c r="L34" s="462">
        <v>10518.77</v>
      </c>
      <c r="M34" s="462">
        <v>10518.77</v>
      </c>
      <c r="N34" s="256">
        <f t="shared" ref="N34:N42" si="7">M34/J34</f>
        <v>3.5062566666666668</v>
      </c>
      <c r="O34" s="462" t="s">
        <v>66</v>
      </c>
      <c r="P34" s="462"/>
      <c r="Q34" s="462"/>
      <c r="R34" s="462"/>
      <c r="S34" s="462"/>
      <c r="T34" s="462"/>
      <c r="U34" s="462"/>
      <c r="V34" s="462"/>
      <c r="W34" s="462"/>
      <c r="X34" s="462"/>
      <c r="Y34" s="462"/>
      <c r="Z34" s="462"/>
      <c r="AA34" s="462"/>
      <c r="AB34" s="462"/>
      <c r="AC34" s="462"/>
      <c r="AD34" s="462"/>
      <c r="AE34" s="462"/>
      <c r="AF34" s="462"/>
      <c r="AG34" s="462"/>
      <c r="AH34" s="462"/>
      <c r="AI34" s="462"/>
      <c r="AJ34" s="447">
        <f t="shared" si="1"/>
        <v>0</v>
      </c>
      <c r="AK34" s="462"/>
      <c r="AL34" s="462"/>
      <c r="AM34" s="462"/>
      <c r="AN34" s="463"/>
      <c r="AO34" s="463"/>
      <c r="AP34" s="463"/>
      <c r="AQ34" s="463"/>
      <c r="AR34" s="463"/>
      <c r="AS34" s="463"/>
      <c r="AT34" s="463"/>
      <c r="AU34" s="463"/>
      <c r="AV34" s="346" t="s">
        <v>2246</v>
      </c>
    </row>
    <row r="35" spans="1:198" s="454" customFormat="1" ht="15">
      <c r="A35" s="260">
        <v>750</v>
      </c>
      <c r="B35" s="448" t="s">
        <v>2362</v>
      </c>
      <c r="C35" s="448" t="s">
        <v>1299</v>
      </c>
      <c r="D35" s="461">
        <v>38078</v>
      </c>
      <c r="E35" s="461">
        <v>38261</v>
      </c>
      <c r="F35" s="448" t="s">
        <v>2283</v>
      </c>
      <c r="G35" s="454" t="s">
        <v>1449</v>
      </c>
      <c r="H35" s="454" t="s">
        <v>2284</v>
      </c>
      <c r="I35" s="278" t="s">
        <v>2438</v>
      </c>
      <c r="J35" s="462">
        <v>900000</v>
      </c>
      <c r="K35" s="462"/>
      <c r="L35" s="462"/>
      <c r="M35" s="462">
        <v>4314010.1100000003</v>
      </c>
      <c r="N35" s="256">
        <f t="shared" si="7"/>
        <v>4.7933445666666668</v>
      </c>
      <c r="O35" s="462"/>
      <c r="P35" s="462"/>
      <c r="Q35" s="462"/>
      <c r="R35" s="462"/>
      <c r="S35" s="462"/>
      <c r="T35" s="462"/>
      <c r="U35" s="462"/>
      <c r="V35" s="462"/>
      <c r="W35" s="462"/>
      <c r="X35" s="462"/>
      <c r="Y35" s="462"/>
      <c r="Z35" s="462"/>
      <c r="AA35" s="462">
        <v>900000</v>
      </c>
      <c r="AB35" s="462"/>
      <c r="AC35" s="462"/>
      <c r="AD35" s="462"/>
      <c r="AE35" s="462">
        <v>900000</v>
      </c>
      <c r="AF35" s="462"/>
      <c r="AG35" s="462"/>
      <c r="AH35" s="462"/>
      <c r="AI35" s="462"/>
      <c r="AJ35" s="447">
        <f t="shared" ref="AJ35:AJ59" si="8">SUM(Z35,AA35,AH35)</f>
        <v>900000</v>
      </c>
      <c r="AK35" s="462"/>
      <c r="AL35" s="462"/>
      <c r="AM35" s="462"/>
      <c r="AN35" s="463"/>
      <c r="AO35" s="463"/>
      <c r="AP35" s="463"/>
      <c r="AQ35" s="463"/>
      <c r="AR35" s="463"/>
      <c r="AS35" s="463"/>
      <c r="AT35" s="463"/>
      <c r="AU35" s="463"/>
      <c r="AV35" s="346" t="s">
        <v>2285</v>
      </c>
    </row>
    <row r="36" spans="1:198" s="454" customFormat="1" ht="21.75" customHeight="1">
      <c r="A36" s="260">
        <v>751</v>
      </c>
      <c r="B36" s="454" t="s">
        <v>764</v>
      </c>
      <c r="C36" s="454" t="s">
        <v>1299</v>
      </c>
      <c r="D36" s="461">
        <v>38078</v>
      </c>
      <c r="E36" s="461">
        <v>38322</v>
      </c>
      <c r="F36" s="454" t="s">
        <v>5</v>
      </c>
      <c r="G36" s="454" t="s">
        <v>1451</v>
      </c>
      <c r="H36" s="454" t="s">
        <v>2273</v>
      </c>
      <c r="I36" s="454" t="s">
        <v>2440</v>
      </c>
      <c r="J36" s="462">
        <v>20000</v>
      </c>
      <c r="K36" s="462">
        <v>20000</v>
      </c>
      <c r="L36" s="462">
        <v>20000</v>
      </c>
      <c r="M36" s="462">
        <v>20000</v>
      </c>
      <c r="N36" s="256">
        <f t="shared" si="7"/>
        <v>1</v>
      </c>
      <c r="O36" s="462">
        <v>100</v>
      </c>
      <c r="P36" s="462"/>
      <c r="Q36" s="462"/>
      <c r="R36" s="462"/>
      <c r="S36" s="462"/>
      <c r="T36" s="462"/>
      <c r="U36" s="462"/>
      <c r="V36" s="462"/>
      <c r="W36" s="462"/>
      <c r="X36" s="462"/>
      <c r="Y36" s="462"/>
      <c r="Z36" s="462"/>
      <c r="AA36" s="462"/>
      <c r="AB36" s="462"/>
      <c r="AC36" s="462"/>
      <c r="AD36" s="462"/>
      <c r="AE36" s="462"/>
      <c r="AF36" s="462"/>
      <c r="AG36" s="462"/>
      <c r="AH36" s="462"/>
      <c r="AI36" s="462"/>
      <c r="AJ36" s="447">
        <f t="shared" si="8"/>
        <v>0</v>
      </c>
      <c r="AK36" s="462"/>
      <c r="AL36" s="462"/>
      <c r="AM36" s="462"/>
      <c r="AN36" s="463"/>
      <c r="AO36" s="463"/>
      <c r="AP36" s="463"/>
      <c r="AQ36" s="463"/>
      <c r="AR36" s="463"/>
      <c r="AS36" s="463"/>
      <c r="AT36" s="463"/>
      <c r="AU36" s="463"/>
      <c r="AV36" s="22" t="s">
        <v>2218</v>
      </c>
    </row>
    <row r="37" spans="1:198" s="454" customFormat="1" ht="21.75" customHeight="1">
      <c r="A37" s="260">
        <v>752</v>
      </c>
      <c r="B37" s="454" t="s">
        <v>992</v>
      </c>
      <c r="C37" s="454" t="s">
        <v>1286</v>
      </c>
      <c r="D37" s="461">
        <v>38169</v>
      </c>
      <c r="E37" s="461">
        <v>38322</v>
      </c>
      <c r="F37" s="454" t="s">
        <v>5</v>
      </c>
      <c r="G37" s="454" t="s">
        <v>1451</v>
      </c>
      <c r="H37" s="454" t="s">
        <v>2219</v>
      </c>
      <c r="I37" s="259" t="s">
        <v>2440</v>
      </c>
      <c r="J37" s="462">
        <v>34622</v>
      </c>
      <c r="K37" s="462">
        <v>50000</v>
      </c>
      <c r="L37" s="462">
        <v>50000</v>
      </c>
      <c r="M37" s="462">
        <v>50000</v>
      </c>
      <c r="N37" s="256">
        <f t="shared" si="7"/>
        <v>1.4441684478077523</v>
      </c>
      <c r="O37" s="462">
        <v>100</v>
      </c>
      <c r="P37" s="462"/>
      <c r="Q37" s="462"/>
      <c r="R37" s="462"/>
      <c r="S37" s="462"/>
      <c r="T37" s="462"/>
      <c r="U37" s="462"/>
      <c r="V37" s="462"/>
      <c r="W37" s="462"/>
      <c r="X37" s="462"/>
      <c r="Y37" s="462"/>
      <c r="Z37" s="462"/>
      <c r="AA37" s="462">
        <v>2645</v>
      </c>
      <c r="AB37" s="462"/>
      <c r="AC37" s="462"/>
      <c r="AD37" s="462"/>
      <c r="AE37" s="462"/>
      <c r="AF37" s="462"/>
      <c r="AG37" s="462"/>
      <c r="AH37" s="462"/>
      <c r="AI37" s="462"/>
      <c r="AJ37" s="447">
        <f t="shared" si="8"/>
        <v>2645</v>
      </c>
      <c r="AK37" s="462"/>
      <c r="AL37" s="462"/>
      <c r="AM37" s="462"/>
      <c r="AN37" s="463"/>
      <c r="AO37" s="463"/>
      <c r="AP37" s="463"/>
      <c r="AQ37" s="463"/>
      <c r="AR37" s="463"/>
      <c r="AS37" s="463"/>
      <c r="AT37" s="463"/>
      <c r="AU37" s="463"/>
      <c r="AV37" s="346" t="s">
        <v>2220</v>
      </c>
    </row>
    <row r="38" spans="1:198" s="454" customFormat="1" ht="21.75" customHeight="1">
      <c r="A38" s="260">
        <v>753</v>
      </c>
      <c r="B38" s="454" t="s">
        <v>12</v>
      </c>
      <c r="C38" s="454" t="s">
        <v>1299</v>
      </c>
      <c r="D38" s="461">
        <v>38108</v>
      </c>
      <c r="E38" s="461">
        <v>38322</v>
      </c>
      <c r="F38" s="454" t="s">
        <v>5</v>
      </c>
      <c r="G38" s="454" t="s">
        <v>1451</v>
      </c>
      <c r="H38" s="454" t="s">
        <v>2221</v>
      </c>
      <c r="I38" s="259" t="s">
        <v>2440</v>
      </c>
      <c r="J38" s="462">
        <v>7886</v>
      </c>
      <c r="L38" s="462"/>
      <c r="M38" s="462">
        <v>50000</v>
      </c>
      <c r="N38" s="256">
        <f t="shared" si="7"/>
        <v>6.3403499873192999</v>
      </c>
      <c r="O38" s="462" t="s">
        <v>66</v>
      </c>
      <c r="P38" s="462"/>
      <c r="Q38" s="462"/>
      <c r="R38" s="462"/>
      <c r="S38" s="462"/>
      <c r="T38" s="462"/>
      <c r="U38" s="462"/>
      <c r="V38" s="462"/>
      <c r="W38" s="462"/>
      <c r="X38" s="462"/>
      <c r="Y38" s="462"/>
      <c r="Z38" s="462"/>
      <c r="AA38" s="462"/>
      <c r="AB38" s="462">
        <v>180</v>
      </c>
      <c r="AC38" s="462"/>
      <c r="AD38" s="462"/>
      <c r="AE38" s="462">
        <v>650</v>
      </c>
      <c r="AF38" s="462"/>
      <c r="AG38" s="462"/>
      <c r="AH38" s="462"/>
      <c r="AI38" s="462"/>
      <c r="AJ38" s="447">
        <f t="shared" si="8"/>
        <v>0</v>
      </c>
      <c r="AK38" s="462"/>
      <c r="AL38" s="462"/>
      <c r="AM38" s="462"/>
      <c r="AN38" s="463"/>
      <c r="AO38" s="463"/>
      <c r="AP38" s="463"/>
      <c r="AQ38" s="463"/>
      <c r="AR38" s="463"/>
      <c r="AS38" s="463"/>
      <c r="AT38" s="463"/>
      <c r="AU38" s="463"/>
      <c r="AV38" s="465" t="s">
        <v>2222</v>
      </c>
    </row>
    <row r="39" spans="1:198" s="454" customFormat="1" ht="21.75" customHeight="1">
      <c r="A39" s="260">
        <v>754</v>
      </c>
      <c r="B39" s="454" t="s">
        <v>933</v>
      </c>
      <c r="C39" s="454" t="s">
        <v>1286</v>
      </c>
      <c r="D39" s="461">
        <v>38169</v>
      </c>
      <c r="E39" s="461">
        <v>38322</v>
      </c>
      <c r="F39" s="454" t="s">
        <v>942</v>
      </c>
      <c r="G39" s="454" t="s">
        <v>1451</v>
      </c>
      <c r="H39" s="454" t="s">
        <v>2223</v>
      </c>
      <c r="I39" s="259" t="s">
        <v>2440</v>
      </c>
      <c r="J39" s="462">
        <v>5751</v>
      </c>
      <c r="K39" s="462"/>
      <c r="L39" s="462"/>
      <c r="M39" s="462">
        <v>425011</v>
      </c>
      <c r="N39" s="256">
        <f t="shared" si="7"/>
        <v>73.902103981916184</v>
      </c>
      <c r="O39" s="462" t="s">
        <v>66</v>
      </c>
      <c r="P39" s="462">
        <f>900*5</f>
        <v>4500</v>
      </c>
      <c r="Q39" s="462"/>
      <c r="R39" s="462">
        <v>4500</v>
      </c>
      <c r="S39" s="462"/>
      <c r="T39" s="462"/>
      <c r="U39" s="462"/>
      <c r="V39" s="462"/>
      <c r="W39" s="462"/>
      <c r="X39" s="349">
        <f>W39/R39</f>
        <v>0</v>
      </c>
      <c r="Y39" s="462"/>
      <c r="Z39" s="462"/>
      <c r="AA39" s="462"/>
      <c r="AB39" s="462">
        <v>70</v>
      </c>
      <c r="AC39" s="462"/>
      <c r="AD39" s="462"/>
      <c r="AE39" s="462"/>
      <c r="AF39" s="462"/>
      <c r="AG39" s="462"/>
      <c r="AH39" s="462"/>
      <c r="AI39" s="462"/>
      <c r="AJ39" s="447">
        <f t="shared" si="8"/>
        <v>0</v>
      </c>
      <c r="AK39" s="462"/>
      <c r="AL39" s="462"/>
      <c r="AM39" s="462"/>
      <c r="AN39" s="463"/>
      <c r="AO39" s="463"/>
      <c r="AP39" s="463"/>
      <c r="AQ39" s="463"/>
      <c r="AR39" s="463"/>
      <c r="AS39" s="463"/>
      <c r="AT39" s="463"/>
      <c r="AU39" s="463"/>
      <c r="AV39" s="258" t="s">
        <v>2224</v>
      </c>
    </row>
    <row r="40" spans="1:198" s="454" customFormat="1" ht="21.75" customHeight="1">
      <c r="A40" s="260">
        <v>755</v>
      </c>
      <c r="B40" s="454" t="s">
        <v>121</v>
      </c>
      <c r="C40" s="454" t="s">
        <v>1261</v>
      </c>
      <c r="D40" s="461">
        <v>38200</v>
      </c>
      <c r="E40" s="461">
        <v>38261</v>
      </c>
      <c r="F40" s="454" t="s">
        <v>2229</v>
      </c>
      <c r="G40" s="454" t="s">
        <v>1451</v>
      </c>
      <c r="H40" s="454" t="s">
        <v>2225</v>
      </c>
      <c r="I40" s="259" t="s">
        <v>2440</v>
      </c>
      <c r="J40" s="462">
        <v>10000</v>
      </c>
      <c r="K40" s="462">
        <v>200000</v>
      </c>
      <c r="L40" s="462">
        <v>200000</v>
      </c>
      <c r="M40" s="462">
        <v>200000</v>
      </c>
      <c r="N40" s="256">
        <f t="shared" si="7"/>
        <v>20</v>
      </c>
      <c r="O40" s="462">
        <v>100</v>
      </c>
      <c r="P40" s="462"/>
      <c r="Q40" s="462"/>
      <c r="R40" s="462"/>
      <c r="S40" s="462"/>
      <c r="T40" s="462"/>
      <c r="U40" s="462"/>
      <c r="V40" s="462"/>
      <c r="W40" s="462"/>
      <c r="X40" s="462"/>
      <c r="Y40" s="462"/>
      <c r="Z40" s="462"/>
      <c r="AA40" s="462"/>
      <c r="AB40" s="462"/>
      <c r="AC40" s="462"/>
      <c r="AD40" s="462"/>
      <c r="AE40" s="462"/>
      <c r="AF40" s="462"/>
      <c r="AG40" s="462"/>
      <c r="AH40" s="462">
        <v>2513</v>
      </c>
      <c r="AI40" s="462"/>
      <c r="AJ40" s="447">
        <f t="shared" si="8"/>
        <v>2513</v>
      </c>
      <c r="AK40" s="462"/>
      <c r="AL40" s="462"/>
      <c r="AM40" s="462"/>
      <c r="AN40" s="463"/>
      <c r="AO40" s="463"/>
      <c r="AP40" s="463"/>
      <c r="AQ40" s="463"/>
      <c r="AR40" s="463"/>
      <c r="AS40" s="463"/>
      <c r="AT40" s="463"/>
      <c r="AU40" s="463"/>
      <c r="AV40" s="454" t="s">
        <v>2226</v>
      </c>
    </row>
    <row r="41" spans="1:198" s="454" customFormat="1" ht="15">
      <c r="A41" s="260">
        <v>756</v>
      </c>
      <c r="B41" s="454" t="s">
        <v>251</v>
      </c>
      <c r="C41" s="454" t="s">
        <v>1260</v>
      </c>
      <c r="D41" s="461">
        <v>38108</v>
      </c>
      <c r="E41" s="461">
        <v>38322</v>
      </c>
      <c r="F41" s="454" t="s">
        <v>2239</v>
      </c>
      <c r="G41" s="454" t="s">
        <v>1471</v>
      </c>
      <c r="H41" s="454" t="s">
        <v>2281</v>
      </c>
      <c r="I41" s="259" t="s">
        <v>2440</v>
      </c>
      <c r="J41" s="462">
        <v>600</v>
      </c>
      <c r="K41" s="462">
        <v>10000</v>
      </c>
      <c r="L41" s="462">
        <v>10000</v>
      </c>
      <c r="M41" s="462">
        <v>10000</v>
      </c>
      <c r="N41" s="256">
        <f t="shared" si="7"/>
        <v>16.666666666666668</v>
      </c>
      <c r="O41" s="462">
        <v>100</v>
      </c>
      <c r="P41" s="462"/>
      <c r="Q41" s="462"/>
      <c r="R41" s="462"/>
      <c r="S41" s="462"/>
      <c r="T41" s="462"/>
      <c r="U41" s="462"/>
      <c r="V41" s="462"/>
      <c r="W41" s="462"/>
      <c r="X41" s="462"/>
      <c r="Y41" s="462"/>
      <c r="Z41" s="462"/>
      <c r="AA41" s="462"/>
      <c r="AB41" s="462"/>
      <c r="AC41" s="462"/>
      <c r="AD41" s="462"/>
      <c r="AE41" s="462"/>
      <c r="AF41" s="462"/>
      <c r="AG41" s="462"/>
      <c r="AH41" s="462"/>
      <c r="AI41" s="462"/>
      <c r="AJ41" s="447">
        <f t="shared" si="8"/>
        <v>0</v>
      </c>
      <c r="AK41" s="462"/>
      <c r="AL41" s="462"/>
      <c r="AM41" s="462"/>
      <c r="AN41" s="463"/>
      <c r="AO41" s="463"/>
      <c r="AP41" s="463"/>
      <c r="AQ41" s="463"/>
      <c r="AR41" s="463"/>
      <c r="AS41" s="463"/>
      <c r="AT41" s="463"/>
      <c r="AU41" s="463"/>
      <c r="AV41" s="346" t="s">
        <v>2264</v>
      </c>
    </row>
    <row r="42" spans="1:198" s="454" customFormat="1" ht="15">
      <c r="A42" s="260">
        <v>757</v>
      </c>
      <c r="B42" s="454" t="s">
        <v>326</v>
      </c>
      <c r="C42" s="454" t="s">
        <v>1299</v>
      </c>
      <c r="D42" s="461">
        <v>38047</v>
      </c>
      <c r="E42" s="461">
        <v>38322</v>
      </c>
      <c r="F42" s="454" t="s">
        <v>875</v>
      </c>
      <c r="G42" s="454" t="s">
        <v>1449</v>
      </c>
      <c r="H42" s="454" t="s">
        <v>2245</v>
      </c>
      <c r="I42" s="259" t="s">
        <v>2440</v>
      </c>
      <c r="J42" s="462">
        <v>8000</v>
      </c>
      <c r="K42" s="462">
        <v>20000</v>
      </c>
      <c r="L42" s="462">
        <v>20000</v>
      </c>
      <c r="M42" s="462">
        <v>20000</v>
      </c>
      <c r="N42" s="256">
        <f t="shared" si="7"/>
        <v>2.5</v>
      </c>
      <c r="O42" s="462">
        <v>100</v>
      </c>
      <c r="P42" s="462"/>
      <c r="Q42" s="462"/>
      <c r="R42" s="462"/>
      <c r="S42" s="462"/>
      <c r="T42" s="462"/>
      <c r="U42" s="462"/>
      <c r="V42" s="462"/>
      <c r="W42" s="462"/>
      <c r="X42" s="462"/>
      <c r="Y42" s="462"/>
      <c r="Z42" s="462"/>
      <c r="AA42" s="462">
        <v>8000</v>
      </c>
      <c r="AB42" s="462">
        <v>150</v>
      </c>
      <c r="AC42" s="462"/>
      <c r="AD42" s="462"/>
      <c r="AE42" s="462"/>
      <c r="AF42" s="462"/>
      <c r="AG42" s="462"/>
      <c r="AH42" s="462">
        <v>50</v>
      </c>
      <c r="AI42" s="462"/>
      <c r="AJ42" s="447">
        <f t="shared" si="8"/>
        <v>8050</v>
      </c>
      <c r="AK42" s="462"/>
      <c r="AL42" s="462"/>
      <c r="AM42" s="462"/>
      <c r="AN42" s="463"/>
      <c r="AO42" s="463"/>
      <c r="AP42" s="463"/>
      <c r="AQ42" s="463"/>
      <c r="AR42" s="463"/>
      <c r="AS42" s="463"/>
      <c r="AT42" s="463"/>
      <c r="AU42" s="463"/>
      <c r="AV42" s="346" t="s">
        <v>2282</v>
      </c>
    </row>
    <row r="43" spans="1:198" s="466" customFormat="1" ht="26.25">
      <c r="A43" s="260">
        <v>758</v>
      </c>
      <c r="B43" s="466" t="s">
        <v>26</v>
      </c>
      <c r="C43" s="466" t="s">
        <v>1299</v>
      </c>
      <c r="D43" s="467">
        <v>38139</v>
      </c>
      <c r="E43" s="467">
        <v>38322</v>
      </c>
      <c r="F43" s="466" t="s">
        <v>2241</v>
      </c>
      <c r="I43" s="419" t="s">
        <v>2441</v>
      </c>
      <c r="J43" s="468"/>
      <c r="K43" s="468"/>
      <c r="L43" s="468"/>
      <c r="M43" s="468">
        <v>68920.59</v>
      </c>
      <c r="N43" s="256"/>
      <c r="O43" s="468" t="s">
        <v>66</v>
      </c>
      <c r="P43" s="468"/>
      <c r="Q43" s="468"/>
      <c r="R43" s="468"/>
      <c r="S43" s="468"/>
      <c r="T43" s="468"/>
      <c r="U43" s="468"/>
      <c r="V43" s="468"/>
      <c r="W43" s="468"/>
      <c r="X43" s="462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47">
        <f t="shared" si="8"/>
        <v>0</v>
      </c>
      <c r="AK43" s="468"/>
      <c r="AL43" s="468"/>
      <c r="AM43" s="468"/>
      <c r="AN43" s="469"/>
      <c r="AO43" s="469"/>
      <c r="AP43" s="469"/>
      <c r="AQ43" s="469"/>
      <c r="AR43" s="469"/>
      <c r="AS43" s="469">
        <v>3</v>
      </c>
      <c r="AT43" s="469"/>
      <c r="AU43" s="469"/>
      <c r="AV43" s="470"/>
      <c r="AW43" s="454"/>
      <c r="AX43" s="454"/>
      <c r="AY43" s="454"/>
      <c r="AZ43" s="454"/>
      <c r="BA43" s="454"/>
      <c r="BB43" s="454"/>
      <c r="BC43" s="454"/>
      <c r="BD43" s="454"/>
      <c r="BE43" s="454"/>
      <c r="BF43" s="454"/>
      <c r="BG43" s="454"/>
      <c r="BH43" s="454"/>
      <c r="BI43" s="454"/>
      <c r="BJ43" s="454"/>
      <c r="BK43" s="454"/>
      <c r="BL43" s="454"/>
      <c r="BM43" s="454"/>
      <c r="BN43" s="454"/>
      <c r="BO43" s="454"/>
      <c r="BP43" s="454"/>
      <c r="BQ43" s="454"/>
      <c r="BR43" s="454"/>
      <c r="BS43" s="454"/>
      <c r="BT43" s="454"/>
      <c r="BU43" s="454"/>
      <c r="BV43" s="454"/>
      <c r="BW43" s="454"/>
      <c r="BX43" s="454"/>
      <c r="BY43" s="454"/>
      <c r="BZ43" s="454"/>
      <c r="CA43" s="454"/>
      <c r="CB43" s="454"/>
      <c r="CC43" s="454"/>
      <c r="CD43" s="454"/>
      <c r="CE43" s="454"/>
      <c r="CF43" s="454"/>
      <c r="CG43" s="454"/>
      <c r="CH43" s="454"/>
      <c r="CI43" s="454"/>
      <c r="CJ43" s="454"/>
      <c r="CK43" s="454"/>
      <c r="CL43" s="454"/>
      <c r="CM43" s="454"/>
      <c r="CN43" s="454"/>
      <c r="CO43" s="454"/>
      <c r="CP43" s="454"/>
      <c r="CQ43" s="454"/>
      <c r="CR43" s="454"/>
      <c r="CS43" s="454"/>
      <c r="CT43" s="454"/>
      <c r="CU43" s="454"/>
      <c r="CV43" s="454"/>
      <c r="CW43" s="454"/>
      <c r="CX43" s="454"/>
      <c r="CY43" s="454"/>
      <c r="CZ43" s="454"/>
      <c r="DA43" s="454"/>
      <c r="DB43" s="454"/>
      <c r="DC43" s="454"/>
      <c r="DD43" s="454"/>
      <c r="DE43" s="454"/>
      <c r="DF43" s="454"/>
      <c r="DG43" s="454"/>
      <c r="DH43" s="454"/>
      <c r="DI43" s="454"/>
      <c r="DJ43" s="454"/>
      <c r="DK43" s="454"/>
      <c r="DL43" s="454"/>
      <c r="DM43" s="454"/>
      <c r="DN43" s="454"/>
      <c r="DO43" s="454"/>
      <c r="DP43" s="454"/>
      <c r="DQ43" s="454"/>
      <c r="DR43" s="454"/>
      <c r="DS43" s="454"/>
      <c r="DT43" s="454"/>
      <c r="DU43" s="454"/>
      <c r="DV43" s="454"/>
      <c r="DW43" s="454"/>
      <c r="DX43" s="454"/>
      <c r="DY43" s="454"/>
      <c r="DZ43" s="454"/>
      <c r="EA43" s="454"/>
      <c r="EB43" s="454"/>
      <c r="EC43" s="454"/>
      <c r="ED43" s="454"/>
      <c r="EE43" s="454"/>
      <c r="EF43" s="454"/>
      <c r="EG43" s="454"/>
      <c r="EH43" s="454"/>
      <c r="EI43" s="454"/>
      <c r="EJ43" s="454"/>
      <c r="EK43" s="454"/>
      <c r="EL43" s="454"/>
      <c r="EM43" s="454"/>
      <c r="EN43" s="454"/>
      <c r="EO43" s="454"/>
      <c r="EP43" s="454"/>
      <c r="EQ43" s="454"/>
      <c r="ER43" s="454"/>
      <c r="ES43" s="454"/>
      <c r="ET43" s="454"/>
      <c r="EU43" s="454"/>
      <c r="EV43" s="454"/>
      <c r="EW43" s="454"/>
      <c r="EX43" s="454"/>
      <c r="EY43" s="454"/>
      <c r="EZ43" s="454"/>
      <c r="FA43" s="454"/>
      <c r="FB43" s="454"/>
      <c r="FC43" s="454"/>
      <c r="FD43" s="454"/>
      <c r="FE43" s="454"/>
      <c r="FF43" s="454"/>
      <c r="FG43" s="454"/>
      <c r="FH43" s="454"/>
      <c r="FI43" s="454"/>
      <c r="FJ43" s="454"/>
      <c r="FK43" s="454"/>
      <c r="FL43" s="454"/>
      <c r="FM43" s="454"/>
      <c r="FN43" s="454"/>
      <c r="FO43" s="454"/>
      <c r="FP43" s="454"/>
      <c r="FQ43" s="454"/>
      <c r="FR43" s="454"/>
      <c r="FS43" s="454"/>
      <c r="FT43" s="454"/>
      <c r="FU43" s="454"/>
      <c r="FV43" s="454"/>
      <c r="FW43" s="454"/>
      <c r="FX43" s="454"/>
      <c r="FY43" s="454"/>
      <c r="FZ43" s="454"/>
      <c r="GA43" s="454"/>
      <c r="GB43" s="454"/>
      <c r="GC43" s="454"/>
      <c r="GD43" s="454"/>
      <c r="GE43" s="454"/>
      <c r="GF43" s="454"/>
      <c r="GG43" s="454"/>
      <c r="GH43" s="454"/>
      <c r="GI43" s="454"/>
      <c r="GJ43" s="454"/>
      <c r="GK43" s="454"/>
      <c r="GL43" s="454"/>
      <c r="GM43" s="454"/>
      <c r="GN43" s="454"/>
      <c r="GO43" s="454"/>
      <c r="GP43" s="454"/>
    </row>
    <row r="44" spans="1:198" s="454" customFormat="1" ht="15">
      <c r="A44" s="260">
        <v>759</v>
      </c>
      <c r="B44" s="454" t="s">
        <v>452</v>
      </c>
      <c r="C44" s="449" t="s">
        <v>1278</v>
      </c>
      <c r="D44" s="461">
        <v>38200</v>
      </c>
      <c r="E44" s="461">
        <v>38322</v>
      </c>
      <c r="F44" s="454" t="s">
        <v>2240</v>
      </c>
      <c r="G44" s="454" t="s">
        <v>1452</v>
      </c>
      <c r="H44" s="454" t="s">
        <v>2273</v>
      </c>
      <c r="I44" s="259" t="s">
        <v>2440</v>
      </c>
      <c r="J44" s="462">
        <v>2500</v>
      </c>
      <c r="K44" s="462">
        <v>75000</v>
      </c>
      <c r="L44" s="462">
        <v>75000</v>
      </c>
      <c r="M44" s="462">
        <v>75000</v>
      </c>
      <c r="N44" s="256">
        <f>M44/J44</f>
        <v>30</v>
      </c>
      <c r="O44" s="462">
        <v>100</v>
      </c>
      <c r="P44" s="462"/>
      <c r="Q44" s="462">
        <f>12*20</f>
        <v>240</v>
      </c>
      <c r="R44" s="462">
        <v>240</v>
      </c>
      <c r="S44" s="462"/>
      <c r="T44" s="462"/>
      <c r="U44" s="462"/>
      <c r="V44" s="462"/>
      <c r="W44" s="462"/>
      <c r="X44" s="349">
        <f>W44/R44</f>
        <v>0</v>
      </c>
      <c r="Y44" s="462"/>
      <c r="Z44" s="462"/>
      <c r="AA44" s="462">
        <v>1600</v>
      </c>
      <c r="AB44" s="462"/>
      <c r="AC44" s="462"/>
      <c r="AD44" s="462"/>
      <c r="AE44" s="462"/>
      <c r="AF44" s="462"/>
      <c r="AG44" s="462"/>
      <c r="AH44" s="462"/>
      <c r="AI44" s="462"/>
      <c r="AJ44" s="447">
        <f t="shared" si="8"/>
        <v>1600</v>
      </c>
      <c r="AK44" s="462"/>
      <c r="AL44" s="462"/>
      <c r="AM44" s="462"/>
      <c r="AN44" s="463"/>
      <c r="AO44" s="463"/>
      <c r="AP44" s="463"/>
      <c r="AQ44" s="463"/>
      <c r="AR44" s="463"/>
      <c r="AS44" s="463"/>
      <c r="AT44" s="463"/>
      <c r="AU44" s="463"/>
      <c r="AV44" s="346" t="s">
        <v>2265</v>
      </c>
    </row>
    <row r="45" spans="1:198" s="466" customFormat="1" ht="26.25">
      <c r="A45" s="260">
        <v>760</v>
      </c>
      <c r="B45" s="466" t="s">
        <v>148</v>
      </c>
      <c r="C45" s="466" t="s">
        <v>1299</v>
      </c>
      <c r="D45" s="467">
        <v>38200</v>
      </c>
      <c r="E45" s="467">
        <v>38322</v>
      </c>
      <c r="F45" s="466" t="s">
        <v>2242</v>
      </c>
      <c r="I45" s="419" t="s">
        <v>2441</v>
      </c>
      <c r="J45" s="468"/>
      <c r="K45" s="468"/>
      <c r="L45" s="468"/>
      <c r="M45" s="468">
        <v>24025.5</v>
      </c>
      <c r="N45" s="256"/>
      <c r="O45" s="468" t="s">
        <v>66</v>
      </c>
      <c r="P45" s="468"/>
      <c r="Q45" s="468"/>
      <c r="R45" s="468"/>
      <c r="S45" s="468"/>
      <c r="T45" s="468"/>
      <c r="U45" s="468"/>
      <c r="V45" s="468"/>
      <c r="W45" s="468"/>
      <c r="X45" s="462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47">
        <f t="shared" si="8"/>
        <v>0</v>
      </c>
      <c r="AK45" s="468"/>
      <c r="AL45" s="468"/>
      <c r="AM45" s="468"/>
      <c r="AN45" s="469"/>
      <c r="AO45" s="469"/>
      <c r="AP45" s="469"/>
      <c r="AQ45" s="469"/>
      <c r="AR45" s="469"/>
      <c r="AS45" s="469"/>
      <c r="AT45" s="469"/>
      <c r="AU45" s="469"/>
      <c r="AV45" s="470"/>
      <c r="AW45" s="454"/>
      <c r="AX45" s="454"/>
      <c r="AY45" s="454"/>
      <c r="AZ45" s="454"/>
      <c r="BA45" s="454"/>
      <c r="BB45" s="454"/>
      <c r="BC45" s="454"/>
      <c r="BD45" s="454"/>
      <c r="BE45" s="454"/>
      <c r="BF45" s="454"/>
      <c r="BG45" s="454"/>
      <c r="BH45" s="454"/>
      <c r="BI45" s="454"/>
      <c r="BJ45" s="454"/>
      <c r="BK45" s="454"/>
      <c r="BL45" s="454"/>
      <c r="BM45" s="454"/>
      <c r="BN45" s="454"/>
      <c r="BO45" s="454"/>
      <c r="BP45" s="454"/>
      <c r="BQ45" s="454"/>
      <c r="BR45" s="454"/>
      <c r="BS45" s="454"/>
      <c r="BT45" s="454"/>
      <c r="BU45" s="454"/>
      <c r="BV45" s="454"/>
      <c r="BW45" s="454"/>
      <c r="BX45" s="454"/>
      <c r="BY45" s="454"/>
      <c r="BZ45" s="454"/>
      <c r="CA45" s="454"/>
      <c r="CB45" s="454"/>
      <c r="CC45" s="454"/>
      <c r="CD45" s="454"/>
      <c r="CE45" s="454"/>
      <c r="CF45" s="454"/>
      <c r="CG45" s="454"/>
      <c r="CH45" s="454"/>
      <c r="CI45" s="454"/>
      <c r="CJ45" s="454"/>
      <c r="CK45" s="454"/>
      <c r="CL45" s="454"/>
      <c r="CM45" s="454"/>
      <c r="CN45" s="454"/>
      <c r="CO45" s="454"/>
      <c r="CP45" s="454"/>
      <c r="CQ45" s="454"/>
      <c r="CR45" s="454"/>
      <c r="CS45" s="454"/>
      <c r="CT45" s="454"/>
      <c r="CU45" s="454"/>
      <c r="CV45" s="454"/>
      <c r="CW45" s="454"/>
      <c r="CX45" s="454"/>
      <c r="CY45" s="454"/>
      <c r="CZ45" s="454"/>
      <c r="DA45" s="454"/>
      <c r="DB45" s="454"/>
      <c r="DC45" s="454"/>
      <c r="DD45" s="454"/>
      <c r="DE45" s="454"/>
      <c r="DF45" s="454"/>
      <c r="DG45" s="454"/>
      <c r="DH45" s="454"/>
      <c r="DI45" s="454"/>
      <c r="DJ45" s="454"/>
      <c r="DK45" s="454"/>
      <c r="DL45" s="454"/>
      <c r="DM45" s="454"/>
      <c r="DN45" s="454"/>
      <c r="DO45" s="454"/>
      <c r="DP45" s="454"/>
      <c r="DQ45" s="454"/>
      <c r="DR45" s="454"/>
      <c r="DS45" s="454"/>
      <c r="DT45" s="454"/>
      <c r="DU45" s="454"/>
      <c r="DV45" s="454"/>
      <c r="DW45" s="454"/>
      <c r="DX45" s="454"/>
      <c r="DY45" s="454"/>
      <c r="DZ45" s="454"/>
      <c r="EA45" s="454"/>
      <c r="EB45" s="454"/>
      <c r="EC45" s="454"/>
      <c r="ED45" s="454"/>
      <c r="EE45" s="454"/>
      <c r="EF45" s="454"/>
      <c r="EG45" s="454"/>
      <c r="EH45" s="454"/>
      <c r="EI45" s="454"/>
      <c r="EJ45" s="454"/>
      <c r="EK45" s="454"/>
      <c r="EL45" s="454"/>
      <c r="EM45" s="454"/>
      <c r="EN45" s="454"/>
      <c r="EO45" s="454"/>
      <c r="EP45" s="454"/>
      <c r="EQ45" s="454"/>
      <c r="ER45" s="454"/>
      <c r="ES45" s="454"/>
      <c r="ET45" s="454"/>
      <c r="EU45" s="454"/>
      <c r="EV45" s="454"/>
      <c r="EW45" s="454"/>
      <c r="EX45" s="454"/>
      <c r="EY45" s="454"/>
      <c r="EZ45" s="454"/>
      <c r="FA45" s="454"/>
      <c r="FB45" s="454"/>
      <c r="FC45" s="454"/>
      <c r="FD45" s="454"/>
      <c r="FE45" s="454"/>
      <c r="FF45" s="454"/>
      <c r="FG45" s="454"/>
      <c r="FH45" s="454"/>
      <c r="FI45" s="454"/>
      <c r="FJ45" s="454"/>
      <c r="FK45" s="454"/>
      <c r="FL45" s="454"/>
      <c r="FM45" s="454"/>
      <c r="FN45" s="454"/>
      <c r="FO45" s="454"/>
      <c r="FP45" s="454"/>
      <c r="FQ45" s="454"/>
      <c r="FR45" s="454"/>
      <c r="FS45" s="454"/>
      <c r="FT45" s="454"/>
      <c r="FU45" s="454"/>
      <c r="FV45" s="454"/>
      <c r="FW45" s="454"/>
      <c r="FX45" s="454"/>
      <c r="FY45" s="454"/>
      <c r="FZ45" s="454"/>
      <c r="GA45" s="454"/>
      <c r="GB45" s="454"/>
      <c r="GC45" s="454"/>
      <c r="GD45" s="454"/>
      <c r="GE45" s="454"/>
      <c r="GF45" s="454"/>
      <c r="GG45" s="454"/>
      <c r="GH45" s="454"/>
      <c r="GI45" s="454"/>
      <c r="GJ45" s="454"/>
      <c r="GK45" s="454"/>
      <c r="GL45" s="454"/>
      <c r="GM45" s="454"/>
      <c r="GN45" s="454"/>
      <c r="GO45" s="454"/>
      <c r="GP45" s="454"/>
    </row>
    <row r="46" spans="1:198" s="454" customFormat="1" ht="15">
      <c r="A46" s="260">
        <v>761</v>
      </c>
      <c r="B46" s="454" t="s">
        <v>22</v>
      </c>
      <c r="C46" s="454" t="s">
        <v>1286</v>
      </c>
      <c r="D46" s="461">
        <v>38231</v>
      </c>
      <c r="E46" s="461">
        <v>38322</v>
      </c>
      <c r="F46" s="454" t="s">
        <v>2243</v>
      </c>
      <c r="G46" s="454" t="s">
        <v>2271</v>
      </c>
      <c r="H46" s="454" t="s">
        <v>2223</v>
      </c>
      <c r="I46" s="259" t="s">
        <v>2440</v>
      </c>
      <c r="J46" s="462">
        <v>20000</v>
      </c>
      <c r="K46" s="462">
        <v>70000</v>
      </c>
      <c r="L46" s="462">
        <v>70000</v>
      </c>
      <c r="M46" s="462">
        <v>70000</v>
      </c>
      <c r="N46" s="256">
        <f>M46/J46</f>
        <v>3.5</v>
      </c>
      <c r="O46" s="462">
        <v>100</v>
      </c>
      <c r="P46" s="462"/>
      <c r="Q46" s="462"/>
      <c r="R46" s="462"/>
      <c r="S46" s="462"/>
      <c r="T46" s="462"/>
      <c r="U46" s="462"/>
      <c r="V46" s="462"/>
      <c r="W46" s="462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2"/>
      <c r="AI46" s="462"/>
      <c r="AJ46" s="447">
        <f t="shared" si="8"/>
        <v>0</v>
      </c>
      <c r="AK46" s="462"/>
      <c r="AL46" s="462"/>
      <c r="AM46" s="462"/>
      <c r="AN46" s="463"/>
      <c r="AO46" s="463"/>
      <c r="AP46" s="463"/>
      <c r="AQ46" s="463"/>
      <c r="AR46" s="463"/>
      <c r="AS46" s="463"/>
      <c r="AT46" s="463"/>
      <c r="AU46" s="463"/>
      <c r="AV46" s="346" t="s">
        <v>2266</v>
      </c>
    </row>
    <row r="47" spans="1:198" s="454" customFormat="1" ht="21.75" customHeight="1">
      <c r="A47" s="260">
        <v>762</v>
      </c>
      <c r="B47" s="454" t="s">
        <v>15</v>
      </c>
      <c r="C47" s="454" t="s">
        <v>1286</v>
      </c>
      <c r="D47" s="461">
        <v>38231</v>
      </c>
      <c r="E47" s="461">
        <v>38322</v>
      </c>
      <c r="F47" s="454" t="s">
        <v>5</v>
      </c>
      <c r="G47" s="454" t="s">
        <v>1451</v>
      </c>
      <c r="H47" s="454" t="s">
        <v>2230</v>
      </c>
      <c r="I47" s="259" t="s">
        <v>2440</v>
      </c>
      <c r="J47" s="462">
        <v>2500</v>
      </c>
      <c r="K47" s="462">
        <v>50000</v>
      </c>
      <c r="L47" s="462">
        <v>50000</v>
      </c>
      <c r="M47" s="462">
        <v>50000</v>
      </c>
      <c r="N47" s="256">
        <f>M47/J47</f>
        <v>20</v>
      </c>
      <c r="O47" s="462">
        <v>100</v>
      </c>
      <c r="P47" s="462"/>
      <c r="Q47" s="462"/>
      <c r="R47" s="462"/>
      <c r="S47" s="462"/>
      <c r="T47" s="462"/>
      <c r="U47" s="462"/>
      <c r="V47" s="462"/>
      <c r="W47" s="462"/>
      <c r="X47" s="462"/>
      <c r="Y47" s="462"/>
      <c r="Z47" s="462"/>
      <c r="AA47" s="462"/>
      <c r="AB47" s="462"/>
      <c r="AC47" s="462"/>
      <c r="AD47" s="462"/>
      <c r="AE47" s="462"/>
      <c r="AF47" s="462"/>
      <c r="AG47" s="462"/>
      <c r="AH47" s="462"/>
      <c r="AI47" s="462"/>
      <c r="AJ47" s="447">
        <f t="shared" si="8"/>
        <v>0</v>
      </c>
      <c r="AK47" s="462"/>
      <c r="AL47" s="462"/>
      <c r="AM47" s="462"/>
      <c r="AN47" s="463"/>
      <c r="AO47" s="463"/>
      <c r="AP47" s="463"/>
      <c r="AQ47" s="463"/>
      <c r="AR47" s="463"/>
      <c r="AS47" s="463"/>
      <c r="AT47" s="463"/>
      <c r="AU47" s="463"/>
      <c r="AV47" s="346" t="s">
        <v>2231</v>
      </c>
    </row>
    <row r="48" spans="1:198" s="454" customFormat="1" ht="21.75" customHeight="1">
      <c r="A48" s="260">
        <v>763</v>
      </c>
      <c r="B48" s="454" t="s">
        <v>22</v>
      </c>
      <c r="C48" s="454" t="s">
        <v>1286</v>
      </c>
      <c r="D48" s="461">
        <v>38232</v>
      </c>
      <c r="E48" s="461">
        <v>38323</v>
      </c>
      <c r="F48" s="454" t="s">
        <v>2267</v>
      </c>
      <c r="G48" s="444" t="s">
        <v>2271</v>
      </c>
      <c r="H48" s="454" t="s">
        <v>2244</v>
      </c>
      <c r="I48" s="259" t="s">
        <v>2440</v>
      </c>
      <c r="J48" s="462">
        <v>13216</v>
      </c>
      <c r="K48" s="462">
        <v>100000</v>
      </c>
      <c r="L48" s="462">
        <v>100000</v>
      </c>
      <c r="M48" s="462">
        <v>100000</v>
      </c>
      <c r="N48" s="256">
        <f>M48/J48</f>
        <v>7.566585956416465</v>
      </c>
      <c r="O48" s="462">
        <v>100</v>
      </c>
      <c r="P48" s="462"/>
      <c r="Q48" s="462"/>
      <c r="R48" s="462"/>
      <c r="S48" s="462"/>
      <c r="T48" s="462"/>
      <c r="U48" s="462"/>
      <c r="V48" s="462"/>
      <c r="W48" s="462"/>
      <c r="X48" s="462"/>
      <c r="Y48" s="462"/>
      <c r="Z48" s="462"/>
      <c r="AA48" s="462"/>
      <c r="AB48" s="462"/>
      <c r="AC48" s="462"/>
      <c r="AD48" s="462"/>
      <c r="AE48" s="462"/>
      <c r="AF48" s="462"/>
      <c r="AG48" s="462"/>
      <c r="AH48" s="462"/>
      <c r="AI48" s="462"/>
      <c r="AJ48" s="447">
        <f t="shared" si="8"/>
        <v>0</v>
      </c>
      <c r="AK48" s="462"/>
      <c r="AL48" s="462"/>
      <c r="AM48" s="462"/>
      <c r="AN48" s="463"/>
      <c r="AO48" s="463"/>
      <c r="AP48" s="463"/>
      <c r="AQ48" s="463"/>
      <c r="AR48" s="463"/>
      <c r="AS48" s="463"/>
      <c r="AT48" s="463"/>
      <c r="AU48" s="463" t="s">
        <v>94</v>
      </c>
      <c r="AV48" s="346" t="s">
        <v>2232</v>
      </c>
    </row>
    <row r="49" spans="1:198" s="454" customFormat="1" ht="21.75" customHeight="1">
      <c r="A49" s="260">
        <v>764</v>
      </c>
      <c r="B49" s="454" t="s">
        <v>153</v>
      </c>
      <c r="C49" s="454" t="s">
        <v>1299</v>
      </c>
      <c r="D49" s="461">
        <v>38261</v>
      </c>
      <c r="E49" s="461">
        <v>38443</v>
      </c>
      <c r="F49" s="454" t="s">
        <v>2233</v>
      </c>
      <c r="G49" s="454" t="s">
        <v>1452</v>
      </c>
      <c r="H49" s="454" t="s">
        <v>2230</v>
      </c>
      <c r="I49" s="259" t="s">
        <v>2440</v>
      </c>
      <c r="J49" s="462">
        <v>3250</v>
      </c>
      <c r="K49" s="462">
        <v>50000</v>
      </c>
      <c r="L49" s="462">
        <v>50000</v>
      </c>
      <c r="M49" s="462">
        <v>50000</v>
      </c>
      <c r="N49" s="256">
        <f>M49/J49</f>
        <v>15.384615384615385</v>
      </c>
      <c r="O49" s="462">
        <v>100</v>
      </c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47">
        <f t="shared" si="8"/>
        <v>0</v>
      </c>
      <c r="AK49" s="462"/>
      <c r="AL49" s="462"/>
      <c r="AM49" s="462"/>
      <c r="AN49" s="463"/>
      <c r="AO49" s="463"/>
      <c r="AP49" s="463"/>
      <c r="AQ49" s="463"/>
      <c r="AR49" s="463"/>
      <c r="AS49" s="463"/>
      <c r="AT49" s="463"/>
      <c r="AU49" s="463"/>
      <c r="AV49" s="346" t="s">
        <v>2234</v>
      </c>
    </row>
    <row r="50" spans="1:198" s="454" customFormat="1" ht="15">
      <c r="A50" s="260">
        <v>765</v>
      </c>
      <c r="B50" s="454" t="s">
        <v>2235</v>
      </c>
      <c r="C50" s="454" t="s">
        <v>1299</v>
      </c>
      <c r="D50" s="456">
        <v>38231</v>
      </c>
      <c r="E50" s="456">
        <v>38322</v>
      </c>
      <c r="F50" s="454" t="s">
        <v>243</v>
      </c>
      <c r="G50" s="454" t="s">
        <v>1449</v>
      </c>
      <c r="H50" s="454" t="s">
        <v>2245</v>
      </c>
      <c r="I50" s="259" t="s">
        <v>2440</v>
      </c>
      <c r="J50" s="462">
        <v>4000</v>
      </c>
      <c r="K50" s="462">
        <v>122000</v>
      </c>
      <c r="L50" s="462">
        <v>122000</v>
      </c>
      <c r="M50" s="462">
        <v>122000</v>
      </c>
      <c r="N50" s="256">
        <f>M50/J50</f>
        <v>30.5</v>
      </c>
      <c r="O50" s="462">
        <v>100</v>
      </c>
      <c r="P50" s="462"/>
      <c r="Q50" s="462"/>
      <c r="R50" s="462"/>
      <c r="S50" s="462"/>
      <c r="T50" s="462"/>
      <c r="U50" s="462"/>
      <c r="V50" s="462"/>
      <c r="W50" s="462"/>
      <c r="X50" s="462"/>
      <c r="Y50" s="462"/>
      <c r="Z50" s="462"/>
      <c r="AA50" s="462">
        <v>4000</v>
      </c>
      <c r="AB50" s="462"/>
      <c r="AC50" s="462"/>
      <c r="AD50" s="462"/>
      <c r="AE50" s="462"/>
      <c r="AF50" s="462"/>
      <c r="AG50" s="462"/>
      <c r="AH50" s="462"/>
      <c r="AI50" s="462"/>
      <c r="AJ50" s="447">
        <f t="shared" si="8"/>
        <v>4000</v>
      </c>
      <c r="AK50" s="462"/>
      <c r="AL50" s="462"/>
      <c r="AM50" s="462"/>
      <c r="AN50" s="463"/>
      <c r="AO50" s="463"/>
      <c r="AP50" s="463"/>
      <c r="AQ50" s="463"/>
      <c r="AR50" s="463"/>
      <c r="AS50" s="463"/>
      <c r="AT50" s="463"/>
      <c r="AU50" s="463"/>
      <c r="AV50" s="346" t="s">
        <v>2268</v>
      </c>
    </row>
    <row r="51" spans="1:198" s="466" customFormat="1" ht="26.25">
      <c r="A51" s="260">
        <v>766</v>
      </c>
      <c r="B51" s="466" t="s">
        <v>196</v>
      </c>
      <c r="C51" s="466" t="s">
        <v>1260</v>
      </c>
      <c r="D51" s="467">
        <v>38169</v>
      </c>
      <c r="E51" s="467">
        <v>38292</v>
      </c>
      <c r="F51" s="466" t="s">
        <v>2236</v>
      </c>
      <c r="I51" s="419" t="s">
        <v>2441</v>
      </c>
      <c r="J51" s="468"/>
      <c r="K51" s="468"/>
      <c r="L51" s="468"/>
      <c r="M51" s="468">
        <v>108928.09</v>
      </c>
      <c r="N51" s="256"/>
      <c r="O51" s="468" t="s">
        <v>66</v>
      </c>
      <c r="P51" s="468"/>
      <c r="Q51" s="468"/>
      <c r="R51" s="468"/>
      <c r="S51" s="468"/>
      <c r="T51" s="468"/>
      <c r="U51" s="468"/>
      <c r="V51" s="468"/>
      <c r="W51" s="468"/>
      <c r="X51" s="462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47">
        <f t="shared" si="8"/>
        <v>0</v>
      </c>
      <c r="AK51" s="468"/>
      <c r="AL51" s="468"/>
      <c r="AM51" s="468"/>
      <c r="AN51" s="469"/>
      <c r="AO51" s="469"/>
      <c r="AP51" s="469"/>
      <c r="AQ51" s="469"/>
      <c r="AR51" s="469"/>
      <c r="AS51" s="469"/>
      <c r="AT51" s="469"/>
      <c r="AU51" s="469"/>
      <c r="AW51" s="454"/>
      <c r="AX51" s="454"/>
      <c r="AY51" s="454"/>
      <c r="AZ51" s="454"/>
      <c r="BA51" s="454"/>
      <c r="BB51" s="454"/>
      <c r="BC51" s="454"/>
      <c r="BD51" s="454"/>
      <c r="BE51" s="454"/>
      <c r="BF51" s="454"/>
      <c r="BG51" s="454"/>
      <c r="BH51" s="454"/>
      <c r="BI51" s="454"/>
      <c r="BJ51" s="454"/>
      <c r="BK51" s="454"/>
      <c r="BL51" s="454"/>
      <c r="BM51" s="454"/>
      <c r="BN51" s="454"/>
      <c r="BO51" s="454"/>
      <c r="BP51" s="454"/>
      <c r="BQ51" s="454"/>
      <c r="BR51" s="454"/>
      <c r="BS51" s="454"/>
      <c r="BT51" s="454"/>
      <c r="BU51" s="454"/>
      <c r="BV51" s="454"/>
      <c r="BW51" s="454"/>
      <c r="BX51" s="454"/>
      <c r="BY51" s="454"/>
      <c r="BZ51" s="454"/>
      <c r="CA51" s="454"/>
      <c r="CB51" s="454"/>
      <c r="CC51" s="454"/>
      <c r="CD51" s="454"/>
      <c r="CE51" s="454"/>
      <c r="CF51" s="454"/>
      <c r="CG51" s="454"/>
      <c r="CH51" s="454"/>
      <c r="CI51" s="454"/>
      <c r="CJ51" s="454"/>
      <c r="CK51" s="454"/>
      <c r="CL51" s="454"/>
      <c r="CM51" s="454"/>
      <c r="CN51" s="454"/>
      <c r="CO51" s="454"/>
      <c r="CP51" s="454"/>
      <c r="CQ51" s="454"/>
      <c r="CR51" s="454"/>
      <c r="CS51" s="454"/>
      <c r="CT51" s="454"/>
      <c r="CU51" s="454"/>
      <c r="CV51" s="454"/>
      <c r="CW51" s="454"/>
      <c r="CX51" s="454"/>
      <c r="CY51" s="454"/>
      <c r="CZ51" s="454"/>
      <c r="DA51" s="454"/>
      <c r="DB51" s="454"/>
      <c r="DC51" s="454"/>
      <c r="DD51" s="454"/>
      <c r="DE51" s="454"/>
      <c r="DF51" s="454"/>
      <c r="DG51" s="454"/>
      <c r="DH51" s="454"/>
      <c r="DI51" s="454"/>
      <c r="DJ51" s="454"/>
      <c r="DK51" s="454"/>
      <c r="DL51" s="454"/>
      <c r="DM51" s="454"/>
      <c r="DN51" s="454"/>
      <c r="DO51" s="454"/>
      <c r="DP51" s="454"/>
      <c r="DQ51" s="454"/>
      <c r="DR51" s="454"/>
      <c r="DS51" s="454"/>
      <c r="DT51" s="454"/>
      <c r="DU51" s="454"/>
      <c r="DV51" s="454"/>
      <c r="DW51" s="454"/>
      <c r="DX51" s="454"/>
      <c r="DY51" s="454"/>
      <c r="DZ51" s="454"/>
      <c r="EA51" s="454"/>
      <c r="EB51" s="454"/>
      <c r="EC51" s="454"/>
      <c r="ED51" s="454"/>
      <c r="EE51" s="454"/>
      <c r="EF51" s="454"/>
      <c r="EG51" s="454"/>
      <c r="EH51" s="454"/>
      <c r="EI51" s="454"/>
      <c r="EJ51" s="454"/>
      <c r="EK51" s="454"/>
      <c r="EL51" s="454"/>
      <c r="EM51" s="454"/>
      <c r="EN51" s="454"/>
      <c r="EO51" s="454"/>
      <c r="EP51" s="454"/>
      <c r="EQ51" s="454"/>
      <c r="ER51" s="454"/>
      <c r="ES51" s="454"/>
      <c r="ET51" s="454"/>
      <c r="EU51" s="454"/>
      <c r="EV51" s="454"/>
      <c r="EW51" s="454"/>
      <c r="EX51" s="454"/>
      <c r="EY51" s="454"/>
      <c r="EZ51" s="454"/>
      <c r="FA51" s="454"/>
      <c r="FB51" s="454"/>
      <c r="FC51" s="454"/>
      <c r="FD51" s="454"/>
      <c r="FE51" s="454"/>
      <c r="FF51" s="454"/>
      <c r="FG51" s="454"/>
      <c r="FH51" s="454"/>
      <c r="FI51" s="454"/>
      <c r="FJ51" s="454"/>
      <c r="FK51" s="454"/>
      <c r="FL51" s="454"/>
      <c r="FM51" s="454"/>
      <c r="FN51" s="454"/>
      <c r="FO51" s="454"/>
      <c r="FP51" s="454"/>
      <c r="FQ51" s="454"/>
      <c r="FR51" s="454"/>
      <c r="FS51" s="454"/>
      <c r="FT51" s="454"/>
      <c r="FU51" s="454"/>
      <c r="FV51" s="454"/>
      <c r="FW51" s="454"/>
      <c r="FX51" s="454"/>
      <c r="FY51" s="454"/>
      <c r="FZ51" s="454"/>
      <c r="GA51" s="454"/>
      <c r="GB51" s="454"/>
      <c r="GC51" s="454"/>
      <c r="GD51" s="454"/>
      <c r="GE51" s="454"/>
      <c r="GF51" s="454"/>
      <c r="GG51" s="454"/>
      <c r="GH51" s="454"/>
      <c r="GI51" s="454"/>
      <c r="GJ51" s="454"/>
      <c r="GK51" s="454"/>
      <c r="GL51" s="454"/>
      <c r="GM51" s="454"/>
      <c r="GN51" s="454"/>
      <c r="GO51" s="454"/>
      <c r="GP51" s="454"/>
    </row>
    <row r="52" spans="1:198" s="454" customFormat="1" ht="15">
      <c r="A52" s="260">
        <v>767</v>
      </c>
      <c r="B52" s="454" t="s">
        <v>1475</v>
      </c>
      <c r="C52" s="454" t="s">
        <v>1286</v>
      </c>
      <c r="D52" s="461">
        <v>38200</v>
      </c>
      <c r="E52" s="461">
        <v>38412</v>
      </c>
      <c r="F52" s="454" t="s">
        <v>2237</v>
      </c>
      <c r="G52" s="454" t="s">
        <v>1452</v>
      </c>
      <c r="H52" s="454" t="s">
        <v>2244</v>
      </c>
      <c r="I52" s="259" t="s">
        <v>2440</v>
      </c>
      <c r="J52" s="462">
        <v>3000</v>
      </c>
      <c r="K52" s="462">
        <v>9300</v>
      </c>
      <c r="L52" s="462">
        <v>9300</v>
      </c>
      <c r="M52" s="462">
        <v>9300</v>
      </c>
      <c r="N52" s="256">
        <f t="shared" ref="N52:N59" si="9">M52/J52</f>
        <v>3.1</v>
      </c>
      <c r="O52" s="462">
        <v>100</v>
      </c>
      <c r="P52" s="462"/>
      <c r="Q52" s="462"/>
      <c r="R52" s="462"/>
      <c r="S52" s="462"/>
      <c r="T52" s="462"/>
      <c r="U52" s="462"/>
      <c r="V52" s="462"/>
      <c r="W52" s="462"/>
      <c r="X52" s="462"/>
      <c r="Y52" s="462"/>
      <c r="Z52" s="462"/>
      <c r="AA52" s="462">
        <v>3000</v>
      </c>
      <c r="AB52" s="462">
        <v>50</v>
      </c>
      <c r="AC52" s="462"/>
      <c r="AD52" s="462"/>
      <c r="AE52" s="462"/>
      <c r="AF52" s="462"/>
      <c r="AG52" s="462"/>
      <c r="AH52" s="462">
        <v>500</v>
      </c>
      <c r="AI52" s="462"/>
      <c r="AJ52" s="447">
        <f t="shared" si="8"/>
        <v>3500</v>
      </c>
      <c r="AK52" s="462"/>
      <c r="AL52" s="462"/>
      <c r="AM52" s="462"/>
      <c r="AN52" s="463"/>
      <c r="AO52" s="463"/>
      <c r="AP52" s="463"/>
      <c r="AQ52" s="463"/>
      <c r="AR52" s="463"/>
      <c r="AS52" s="463"/>
      <c r="AT52" s="463"/>
      <c r="AU52" s="463"/>
      <c r="AV52" s="346" t="s">
        <v>2269</v>
      </c>
    </row>
    <row r="53" spans="1:198" s="454" customFormat="1" ht="21.75" customHeight="1">
      <c r="A53" s="260">
        <v>768</v>
      </c>
      <c r="B53" s="454" t="s">
        <v>248</v>
      </c>
      <c r="C53" s="454" t="s">
        <v>1299</v>
      </c>
      <c r="D53" s="461">
        <v>38261</v>
      </c>
      <c r="E53" s="461">
        <v>38322</v>
      </c>
      <c r="F53" s="454" t="s">
        <v>168</v>
      </c>
      <c r="G53" s="454" t="s">
        <v>1449</v>
      </c>
      <c r="H53" s="454" t="s">
        <v>2273</v>
      </c>
      <c r="I53" s="259" t="s">
        <v>2440</v>
      </c>
      <c r="J53" s="462">
        <v>475</v>
      </c>
      <c r="K53" s="462">
        <v>27000</v>
      </c>
      <c r="L53" s="462">
        <v>27000</v>
      </c>
      <c r="M53" s="462">
        <v>27000</v>
      </c>
      <c r="N53" s="256">
        <f t="shared" si="9"/>
        <v>56.842105263157897</v>
      </c>
      <c r="O53" s="462">
        <v>100</v>
      </c>
      <c r="P53" s="462"/>
      <c r="Q53" s="462"/>
      <c r="R53" s="462"/>
      <c r="S53" s="462"/>
      <c r="T53" s="462"/>
      <c r="U53" s="462"/>
      <c r="V53" s="462"/>
      <c r="W53" s="462"/>
      <c r="X53" s="462"/>
      <c r="Y53" s="462"/>
      <c r="Z53" s="462"/>
      <c r="AA53" s="462"/>
      <c r="AB53" s="462"/>
      <c r="AC53" s="462"/>
      <c r="AD53" s="462"/>
      <c r="AE53" s="462"/>
      <c r="AF53" s="462"/>
      <c r="AG53" s="462"/>
      <c r="AH53" s="462">
        <v>72</v>
      </c>
      <c r="AI53" s="462"/>
      <c r="AJ53" s="447">
        <f t="shared" si="8"/>
        <v>72</v>
      </c>
      <c r="AK53" s="462"/>
      <c r="AL53" s="462"/>
      <c r="AM53" s="462"/>
      <c r="AN53" s="463"/>
      <c r="AO53" s="463"/>
      <c r="AP53" s="463"/>
      <c r="AQ53" s="463"/>
      <c r="AR53" s="463"/>
      <c r="AS53" s="463"/>
      <c r="AT53" s="463"/>
      <c r="AU53" s="463"/>
      <c r="AV53" s="346" t="s">
        <v>2274</v>
      </c>
    </row>
    <row r="54" spans="1:198" s="454" customFormat="1" ht="21.75" customHeight="1">
      <c r="A54" s="260">
        <v>769</v>
      </c>
      <c r="B54" s="454" t="s">
        <v>353</v>
      </c>
      <c r="C54" s="454" t="s">
        <v>1299</v>
      </c>
      <c r="D54" s="461">
        <v>38292</v>
      </c>
      <c r="E54" s="461">
        <v>38384</v>
      </c>
      <c r="F54" s="454" t="s">
        <v>5</v>
      </c>
      <c r="G54" s="454" t="s">
        <v>1451</v>
      </c>
      <c r="H54" s="454" t="s">
        <v>2275</v>
      </c>
      <c r="I54" s="259" t="s">
        <v>2440</v>
      </c>
      <c r="J54" s="462">
        <v>500</v>
      </c>
      <c r="K54" s="462">
        <v>20000</v>
      </c>
      <c r="L54" s="462">
        <v>20000</v>
      </c>
      <c r="M54" s="462">
        <v>20000</v>
      </c>
      <c r="N54" s="256">
        <f t="shared" si="9"/>
        <v>40</v>
      </c>
      <c r="O54" s="462">
        <v>100</v>
      </c>
      <c r="P54" s="462"/>
      <c r="Q54" s="462"/>
      <c r="R54" s="462"/>
      <c r="S54" s="462"/>
      <c r="T54" s="462"/>
      <c r="U54" s="462"/>
      <c r="V54" s="462"/>
      <c r="W54" s="462"/>
      <c r="X54" s="462"/>
      <c r="Y54" s="462"/>
      <c r="Z54" s="462"/>
      <c r="AA54" s="462"/>
      <c r="AB54" s="462"/>
      <c r="AC54" s="462"/>
      <c r="AD54" s="462"/>
      <c r="AE54" s="462"/>
      <c r="AF54" s="462"/>
      <c r="AG54" s="462"/>
      <c r="AH54" s="462"/>
      <c r="AI54" s="462"/>
      <c r="AJ54" s="447">
        <f t="shared" si="8"/>
        <v>0</v>
      </c>
      <c r="AK54" s="462"/>
      <c r="AL54" s="462"/>
      <c r="AM54" s="462"/>
      <c r="AN54" s="463"/>
      <c r="AO54" s="463"/>
      <c r="AP54" s="463"/>
      <c r="AQ54" s="463"/>
      <c r="AR54" s="463"/>
      <c r="AS54" s="463"/>
      <c r="AT54" s="463"/>
      <c r="AU54" s="463"/>
      <c r="AV54" s="346" t="s">
        <v>2276</v>
      </c>
    </row>
    <row r="55" spans="1:198" s="454" customFormat="1" ht="21.75" customHeight="1">
      <c r="A55" s="260">
        <v>770</v>
      </c>
      <c r="B55" s="454" t="s">
        <v>536</v>
      </c>
      <c r="C55" s="454" t="s">
        <v>1286</v>
      </c>
      <c r="D55" s="461">
        <v>38292</v>
      </c>
      <c r="E55" s="461">
        <v>38657</v>
      </c>
      <c r="F55" s="454" t="s">
        <v>5</v>
      </c>
      <c r="G55" s="454" t="s">
        <v>1451</v>
      </c>
      <c r="H55" s="454" t="s">
        <v>2230</v>
      </c>
      <c r="I55" s="259" t="s">
        <v>2440</v>
      </c>
      <c r="J55" s="462">
        <v>5000</v>
      </c>
      <c r="K55" s="462">
        <v>40000</v>
      </c>
      <c r="L55" s="462">
        <v>40000</v>
      </c>
      <c r="M55" s="462">
        <v>40000</v>
      </c>
      <c r="N55" s="256">
        <f t="shared" si="9"/>
        <v>8</v>
      </c>
      <c r="O55" s="462">
        <v>100</v>
      </c>
      <c r="P55" s="462"/>
      <c r="Q55" s="462"/>
      <c r="R55" s="462"/>
      <c r="S55" s="462"/>
      <c r="T55" s="462"/>
      <c r="U55" s="462"/>
      <c r="V55" s="462"/>
      <c r="W55" s="462"/>
      <c r="X55" s="462"/>
      <c r="Y55" s="462"/>
      <c r="Z55" s="462"/>
      <c r="AA55" s="462"/>
      <c r="AB55" s="462"/>
      <c r="AC55" s="462"/>
      <c r="AD55" s="462"/>
      <c r="AE55" s="462"/>
      <c r="AF55" s="462"/>
      <c r="AG55" s="462"/>
      <c r="AH55" s="462"/>
      <c r="AI55" s="462"/>
      <c r="AJ55" s="447">
        <f t="shared" si="8"/>
        <v>0</v>
      </c>
      <c r="AK55" s="462"/>
      <c r="AL55" s="462"/>
      <c r="AM55" s="462"/>
      <c r="AN55" s="463"/>
      <c r="AO55" s="463"/>
      <c r="AP55" s="463"/>
      <c r="AQ55" s="463"/>
      <c r="AR55" s="463"/>
      <c r="AS55" s="463"/>
      <c r="AT55" s="463"/>
      <c r="AU55" s="463"/>
      <c r="AV55" s="346" t="s">
        <v>2277</v>
      </c>
    </row>
    <row r="56" spans="1:198" s="454" customFormat="1" ht="21.75" customHeight="1">
      <c r="A56" s="260">
        <v>771</v>
      </c>
      <c r="B56" s="454" t="s">
        <v>15</v>
      </c>
      <c r="C56" s="454" t="s">
        <v>1286</v>
      </c>
      <c r="D56" s="461">
        <v>38200</v>
      </c>
      <c r="E56" s="461">
        <v>38353</v>
      </c>
      <c r="F56" s="454" t="s">
        <v>5</v>
      </c>
      <c r="G56" s="454" t="s">
        <v>1451</v>
      </c>
      <c r="H56" s="454" t="s">
        <v>2230</v>
      </c>
      <c r="I56" s="259" t="s">
        <v>2440</v>
      </c>
      <c r="J56" s="462">
        <v>2500</v>
      </c>
      <c r="K56" s="462">
        <v>50000</v>
      </c>
      <c r="L56" s="462">
        <v>50000</v>
      </c>
      <c r="M56" s="462">
        <v>50000</v>
      </c>
      <c r="N56" s="256">
        <f t="shared" si="9"/>
        <v>20</v>
      </c>
      <c r="O56" s="462">
        <v>100</v>
      </c>
      <c r="P56" s="462"/>
      <c r="Q56" s="462"/>
      <c r="R56" s="462"/>
      <c r="S56" s="462"/>
      <c r="T56" s="462"/>
      <c r="U56" s="462"/>
      <c r="V56" s="462"/>
      <c r="W56" s="462"/>
      <c r="X56" s="462"/>
      <c r="Y56" s="462"/>
      <c r="Z56" s="462"/>
      <c r="AA56" s="462"/>
      <c r="AB56" s="462"/>
      <c r="AC56" s="462"/>
      <c r="AD56" s="462"/>
      <c r="AE56" s="462"/>
      <c r="AF56" s="462"/>
      <c r="AG56" s="462"/>
      <c r="AH56" s="462"/>
      <c r="AI56" s="462"/>
      <c r="AJ56" s="447">
        <f t="shared" si="8"/>
        <v>0</v>
      </c>
      <c r="AK56" s="462"/>
      <c r="AL56" s="462"/>
      <c r="AM56" s="462"/>
      <c r="AN56" s="463"/>
      <c r="AO56" s="463"/>
      <c r="AP56" s="463"/>
      <c r="AQ56" s="463"/>
      <c r="AR56" s="463"/>
      <c r="AS56" s="463"/>
      <c r="AT56" s="463"/>
      <c r="AU56" s="463"/>
      <c r="AV56" s="346" t="s">
        <v>2278</v>
      </c>
    </row>
    <row r="57" spans="1:198" s="454" customFormat="1" ht="21.75" customHeight="1">
      <c r="A57" s="260">
        <v>772</v>
      </c>
      <c r="B57" s="454" t="s">
        <v>1207</v>
      </c>
      <c r="C57" s="454" t="s">
        <v>1260</v>
      </c>
      <c r="D57" s="461">
        <v>38292</v>
      </c>
      <c r="E57" s="461">
        <v>38353</v>
      </c>
      <c r="F57" s="454" t="s">
        <v>5</v>
      </c>
      <c r="G57" s="454" t="s">
        <v>1451</v>
      </c>
      <c r="H57" s="454" t="s">
        <v>2279</v>
      </c>
      <c r="I57" s="259" t="s">
        <v>2440</v>
      </c>
      <c r="J57" s="462">
        <v>2500</v>
      </c>
      <c r="K57" s="462">
        <v>80427</v>
      </c>
      <c r="L57" s="462">
        <v>80427</v>
      </c>
      <c r="M57" s="462">
        <v>80427</v>
      </c>
      <c r="N57" s="256">
        <f t="shared" si="9"/>
        <v>32.1708</v>
      </c>
      <c r="O57" s="462">
        <v>100</v>
      </c>
      <c r="P57" s="462"/>
      <c r="Q57" s="462"/>
      <c r="R57" s="462"/>
      <c r="S57" s="462"/>
      <c r="T57" s="462"/>
      <c r="U57" s="462"/>
      <c r="V57" s="462"/>
      <c r="W57" s="462"/>
      <c r="X57" s="462"/>
      <c r="Y57" s="462"/>
      <c r="Z57" s="462"/>
      <c r="AA57" s="462"/>
      <c r="AB57" s="462"/>
      <c r="AC57" s="462"/>
      <c r="AD57" s="462"/>
      <c r="AE57" s="462"/>
      <c r="AF57" s="462"/>
      <c r="AG57" s="462"/>
      <c r="AH57" s="462"/>
      <c r="AI57" s="462"/>
      <c r="AJ57" s="447">
        <f t="shared" si="8"/>
        <v>0</v>
      </c>
      <c r="AK57" s="462"/>
      <c r="AL57" s="462"/>
      <c r="AM57" s="462"/>
      <c r="AN57" s="463"/>
      <c r="AO57" s="463"/>
      <c r="AP57" s="463"/>
      <c r="AQ57" s="463"/>
      <c r="AR57" s="463"/>
      <c r="AS57" s="463"/>
      <c r="AT57" s="463"/>
      <c r="AU57" s="463"/>
      <c r="AV57" s="346" t="s">
        <v>2280</v>
      </c>
    </row>
    <row r="58" spans="1:198" s="454" customFormat="1" ht="15">
      <c r="A58" s="260">
        <v>773</v>
      </c>
      <c r="B58" s="454" t="s">
        <v>992</v>
      </c>
      <c r="C58" s="454" t="s">
        <v>1286</v>
      </c>
      <c r="D58" s="461">
        <v>37987</v>
      </c>
      <c r="E58" s="461">
        <v>38322</v>
      </c>
      <c r="F58" s="454" t="s">
        <v>2286</v>
      </c>
      <c r="G58" s="454" t="s">
        <v>1454</v>
      </c>
      <c r="H58" s="454" t="s">
        <v>2289</v>
      </c>
      <c r="I58" s="259" t="s">
        <v>2440</v>
      </c>
      <c r="J58" s="462">
        <v>8016</v>
      </c>
      <c r="K58" s="462">
        <v>50000</v>
      </c>
      <c r="L58" s="462">
        <v>50000</v>
      </c>
      <c r="M58" s="462">
        <v>49992.959999999999</v>
      </c>
      <c r="N58" s="256">
        <f t="shared" si="9"/>
        <v>6.2366467065868259</v>
      </c>
      <c r="O58" s="462">
        <v>100</v>
      </c>
      <c r="P58" s="462"/>
      <c r="Q58" s="462"/>
      <c r="R58" s="462"/>
      <c r="S58" s="462"/>
      <c r="T58" s="462"/>
      <c r="U58" s="462"/>
      <c r="V58" s="462"/>
      <c r="W58" s="462"/>
      <c r="X58" s="462"/>
      <c r="Y58" s="462"/>
      <c r="Z58" s="462"/>
      <c r="AA58" s="462"/>
      <c r="AB58" s="462"/>
      <c r="AC58" s="462"/>
      <c r="AD58" s="462"/>
      <c r="AE58" s="462"/>
      <c r="AF58" s="462"/>
      <c r="AG58" s="462"/>
      <c r="AH58" s="462"/>
      <c r="AI58" s="462"/>
      <c r="AJ58" s="447">
        <f t="shared" si="8"/>
        <v>0</v>
      </c>
      <c r="AK58" s="462"/>
      <c r="AL58" s="462"/>
      <c r="AM58" s="462"/>
      <c r="AN58" s="463"/>
      <c r="AO58" s="463"/>
      <c r="AP58" s="463"/>
      <c r="AQ58" s="463"/>
      <c r="AR58" s="463"/>
      <c r="AS58" s="463"/>
      <c r="AT58" s="463"/>
      <c r="AU58" s="463"/>
      <c r="AV58" s="346" t="s">
        <v>2290</v>
      </c>
    </row>
    <row r="59" spans="1:198" s="454" customFormat="1" ht="15">
      <c r="A59" s="260">
        <v>774</v>
      </c>
      <c r="B59" s="454" t="s">
        <v>764</v>
      </c>
      <c r="C59" s="454" t="s">
        <v>1299</v>
      </c>
      <c r="D59" s="461">
        <v>38322</v>
      </c>
      <c r="E59" s="461">
        <v>38018</v>
      </c>
      <c r="F59" s="454" t="s">
        <v>243</v>
      </c>
      <c r="G59" s="454" t="s">
        <v>1449</v>
      </c>
      <c r="H59" s="454" t="s">
        <v>2287</v>
      </c>
      <c r="I59" s="259" t="s">
        <v>2440</v>
      </c>
      <c r="J59" s="462">
        <v>5865</v>
      </c>
      <c r="K59" s="462">
        <v>50000</v>
      </c>
      <c r="L59" s="462">
        <v>50000</v>
      </c>
      <c r="M59" s="462">
        <v>46909.22</v>
      </c>
      <c r="N59" s="256">
        <f t="shared" si="9"/>
        <v>7.998161977834612</v>
      </c>
      <c r="O59" s="462">
        <v>100</v>
      </c>
      <c r="P59" s="462"/>
      <c r="Q59" s="462"/>
      <c r="R59" s="462"/>
      <c r="S59" s="462"/>
      <c r="T59" s="462"/>
      <c r="U59" s="462"/>
      <c r="V59" s="462"/>
      <c r="W59" s="462"/>
      <c r="X59" s="462"/>
      <c r="Y59" s="462"/>
      <c r="Z59" s="462"/>
      <c r="AA59" s="462">
        <v>5865</v>
      </c>
      <c r="AB59" s="462">
        <v>100</v>
      </c>
      <c r="AC59" s="462"/>
      <c r="AD59" s="462"/>
      <c r="AE59" s="462"/>
      <c r="AF59" s="462"/>
      <c r="AG59" s="462"/>
      <c r="AH59" s="462"/>
      <c r="AI59" s="462"/>
      <c r="AJ59" s="447">
        <f t="shared" si="8"/>
        <v>5865</v>
      </c>
      <c r="AK59" s="462"/>
      <c r="AL59" s="462"/>
      <c r="AM59" s="462"/>
      <c r="AN59" s="463"/>
      <c r="AO59" s="463"/>
      <c r="AP59" s="463"/>
      <c r="AQ59" s="463"/>
      <c r="AR59" s="463"/>
      <c r="AS59" s="463"/>
      <c r="AT59" s="463"/>
      <c r="AU59" s="463"/>
      <c r="AV59" s="346" t="s">
        <v>2288</v>
      </c>
    </row>
    <row r="61" spans="1:198" s="1" customFormat="1">
      <c r="A61" s="511" t="s">
        <v>1521</v>
      </c>
      <c r="B61" s="511"/>
      <c r="C61" s="511"/>
      <c r="D61" s="511"/>
      <c r="E61" s="511"/>
      <c r="F61" s="511"/>
      <c r="G61" s="511"/>
      <c r="H61" s="511"/>
      <c r="I61" s="511"/>
      <c r="J61" s="511">
        <f>SUBTOTAL(9,J3:J59)</f>
        <v>9757618</v>
      </c>
      <c r="K61" s="511">
        <f t="shared" ref="K61:L61" si="10">SUBTOTAL(9,K3:K59)</f>
        <v>68764130</v>
      </c>
      <c r="L61" s="511">
        <f t="shared" si="10"/>
        <v>735812280.08999896</v>
      </c>
      <c r="M61" s="511">
        <f t="shared" ref="M61" si="11">SUBTOTAL(9,M3:M59)</f>
        <v>715301961.09999919</v>
      </c>
      <c r="N61" s="511">
        <f>SUBTOTAL(1,N3:N59)</f>
        <v>35.737160872779157</v>
      </c>
      <c r="O61" s="511">
        <f>SUBTOTAL(1,O3:O59)</f>
        <v>85.253211394491345</v>
      </c>
      <c r="P61" s="511">
        <f>SUBTOTAL(9,P3:P59)</f>
        <v>965541</v>
      </c>
      <c r="Q61" s="511">
        <f t="shared" ref="Q61:W61" si="12">SUBTOTAL(9,Q3:Q59)</f>
        <v>400610</v>
      </c>
      <c r="R61" s="511">
        <f t="shared" si="12"/>
        <v>989581</v>
      </c>
      <c r="S61" s="511">
        <f t="shared" si="12"/>
        <v>0</v>
      </c>
      <c r="T61" s="511">
        <f t="shared" si="12"/>
        <v>14557</v>
      </c>
      <c r="U61" s="511">
        <f t="shared" si="12"/>
        <v>192986</v>
      </c>
      <c r="V61" s="511">
        <f t="shared" si="12"/>
        <v>4760112</v>
      </c>
      <c r="W61" s="511">
        <f t="shared" si="12"/>
        <v>77665294.159999996</v>
      </c>
      <c r="X61" s="511">
        <f>SUBTOTAL(1,X3:X59)</f>
        <v>13.395029928312248</v>
      </c>
      <c r="Y61" s="511">
        <f>SUBTOTAL(9,Y3:Y59)</f>
        <v>740169</v>
      </c>
      <c r="Z61" s="511">
        <f>SUBTOTAL(9,Z3:Z59)</f>
        <v>265687</v>
      </c>
      <c r="AA61" s="511">
        <f>SUBTOTAL(9,AA3:AA59)</f>
        <v>2941280</v>
      </c>
      <c r="AB61" s="511">
        <f t="shared" ref="AB61:AI61" si="13">SUBTOTAL(9,AB3:AB59)</f>
        <v>4126</v>
      </c>
      <c r="AC61" s="511">
        <f t="shared" si="13"/>
        <v>277696</v>
      </c>
      <c r="AD61" s="511">
        <f t="shared" si="13"/>
        <v>0</v>
      </c>
      <c r="AE61" s="511">
        <f t="shared" si="13"/>
        <v>1175892</v>
      </c>
      <c r="AF61" s="511">
        <f t="shared" si="13"/>
        <v>0</v>
      </c>
      <c r="AG61" s="511">
        <f t="shared" si="13"/>
        <v>44938</v>
      </c>
      <c r="AH61" s="511">
        <f t="shared" si="13"/>
        <v>18950</v>
      </c>
      <c r="AI61" s="511">
        <f t="shared" si="13"/>
        <v>2159</v>
      </c>
      <c r="AJ61" s="511">
        <f t="shared" ref="AJ61:AL61" si="14">SUBTOTAL(9,AJ3:AJ59)</f>
        <v>3225917</v>
      </c>
      <c r="AK61" s="511">
        <f t="shared" si="14"/>
        <v>1162356</v>
      </c>
      <c r="AL61" s="511">
        <f t="shared" si="14"/>
        <v>96695690</v>
      </c>
      <c r="AM61" s="511">
        <f>SUBTOTAL(1,AM3:AM59)</f>
        <v>16.861284964691226</v>
      </c>
      <c r="AN61" s="511"/>
      <c r="AO61" s="511"/>
      <c r="AP61" s="511"/>
      <c r="AQ61" s="511"/>
      <c r="AR61" s="511"/>
      <c r="AS61" s="511"/>
      <c r="AT61" s="511"/>
      <c r="AU61" s="511"/>
      <c r="AV61" s="511"/>
    </row>
  </sheetData>
  <autoFilter ref="A2:GP59"/>
  <mergeCells count="10">
    <mergeCell ref="AO1:AS1"/>
    <mergeCell ref="AT1:AU1"/>
    <mergeCell ref="AV1:AV2"/>
    <mergeCell ref="J1:O1"/>
    <mergeCell ref="P1:R1"/>
    <mergeCell ref="S1:U1"/>
    <mergeCell ref="V1:X1"/>
    <mergeCell ref="Y1:AI1"/>
    <mergeCell ref="AJ1:AJ2"/>
    <mergeCell ref="AK1:AM1"/>
  </mergeCells>
  <hyperlinks>
    <hyperlink ref="AV3" r:id="rId1"/>
    <hyperlink ref="AV4" r:id="rId2"/>
    <hyperlink ref="AV5" r:id="rId3"/>
    <hyperlink ref="AV6" r:id="rId4"/>
    <hyperlink ref="AV8" r:id="rId5"/>
    <hyperlink ref="AV7" r:id="rId6"/>
    <hyperlink ref="AV9" r:id="rId7"/>
    <hyperlink ref="AV11" r:id="rId8"/>
    <hyperlink ref="AV36" r:id="rId9"/>
    <hyperlink ref="AV37:AV38" r:id="rId10" display="http://www.ifrc.org/docs/appeals/rpts04/cofl3.pdf"/>
    <hyperlink ref="AV39" r:id="rId11"/>
    <hyperlink ref="AV12" r:id="rId12"/>
    <hyperlink ref="AV13" r:id="rId13"/>
    <hyperlink ref="AV14" r:id="rId14"/>
    <hyperlink ref="AV15" r:id="rId15"/>
    <hyperlink ref="AV16" r:id="rId16"/>
    <hyperlink ref="AV17" r:id="rId17"/>
    <hyperlink ref="AV18" r:id="rId18"/>
    <hyperlink ref="AV19" r:id="rId19"/>
    <hyperlink ref="AV20" r:id="rId20"/>
    <hyperlink ref="AV21" r:id="rId21"/>
    <hyperlink ref="AV22" r:id="rId22"/>
    <hyperlink ref="AV23" r:id="rId23"/>
    <hyperlink ref="AV24" r:id="rId24"/>
    <hyperlink ref="AV25" r:id="rId25"/>
    <hyperlink ref="AV47" r:id="rId26" display="http://www.ifrc.org/docs/appeals/rpts04/CNfl10090409.pdf"/>
    <hyperlink ref="AV48:AV49" r:id="rId27" display="http://www.ifrc.org/docs/appeals/rpts04/carjeanne2.pdf"/>
    <hyperlink ref="AV26" r:id="rId28"/>
    <hyperlink ref="AV27" r:id="rId29"/>
    <hyperlink ref="AV48" r:id="rId30"/>
    <hyperlink ref="AV28" r:id="rId31"/>
    <hyperlink ref="AV10" r:id="rId32"/>
    <hyperlink ref="AV30" r:id="rId33"/>
    <hyperlink ref="AV31" r:id="rId34"/>
    <hyperlink ref="AV55" r:id="rId35"/>
    <hyperlink ref="AV54" r:id="rId36"/>
    <hyperlink ref="AV56" r:id="rId37"/>
    <hyperlink ref="AV57" r:id="rId38"/>
    <hyperlink ref="AV41" r:id="rId39"/>
    <hyperlink ref="AV42" r:id="rId40"/>
    <hyperlink ref="AV44" r:id="rId41"/>
    <hyperlink ref="AV46" r:id="rId42"/>
    <hyperlink ref="AV50" r:id="rId43"/>
    <hyperlink ref="AV52" r:id="rId44"/>
    <hyperlink ref="AV33" r:id="rId45"/>
    <hyperlink ref="AV32" r:id="rId46"/>
    <hyperlink ref="AV34" r:id="rId47"/>
    <hyperlink ref="AV35" r:id="rId48"/>
    <hyperlink ref="AV59" r:id="rId49"/>
    <hyperlink ref="AV58" r:id="rId50"/>
    <hyperlink ref="AV38" r:id="rId51"/>
  </hyperlinks>
  <pageMargins left="0.7" right="0.7" top="0.75" bottom="0.75" header="0.3" footer="0.3"/>
  <legacyDrawing r:id="rId5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O225"/>
  <sheetViews>
    <sheetView workbookViewId="0">
      <selection activeCell="B3" sqref="B3"/>
    </sheetView>
  </sheetViews>
  <sheetFormatPr defaultColWidth="8.85546875" defaultRowHeight="15"/>
  <cols>
    <col min="1" max="3" width="8.85546875" style="285"/>
    <col min="4" max="4" width="12" style="285" customWidth="1"/>
    <col min="5" max="5" width="11.7109375" style="285" customWidth="1"/>
    <col min="6" max="6" width="8.85546875" style="285" customWidth="1"/>
    <col min="7" max="7" width="8.85546875" style="285"/>
    <col min="8" max="8" width="17.7109375" style="285" customWidth="1"/>
    <col min="9" max="9" width="19.5703125" style="285" customWidth="1"/>
    <col min="10" max="10" width="10.7109375" style="269" bestFit="1" customWidth="1"/>
    <col min="11" max="12" width="13" style="290" customWidth="1"/>
    <col min="13" max="13" width="11.42578125" style="290" customWidth="1"/>
    <col min="14" max="14" width="9.28515625" style="290" bestFit="1" customWidth="1"/>
    <col min="15" max="15" width="9.28515625" style="290" customWidth="1"/>
    <col min="16" max="16" width="13.28515625" style="269" customWidth="1"/>
    <col min="17" max="17" width="8.85546875" style="269"/>
    <col min="18" max="18" width="14.42578125" style="269" customWidth="1"/>
    <col min="19" max="19" width="8.85546875" style="285"/>
    <col min="20" max="20" width="11.140625" style="285" customWidth="1"/>
    <col min="21" max="21" width="12.140625" style="285" customWidth="1"/>
    <col min="22" max="23" width="10.7109375" style="290" bestFit="1" customWidth="1"/>
    <col min="24" max="24" width="10.7109375" style="290" customWidth="1"/>
    <col min="25" max="27" width="9.42578125" style="290" bestFit="1" customWidth="1"/>
    <col min="28" max="29" width="9.28515625" style="290" bestFit="1" customWidth="1"/>
    <col min="30" max="30" width="8.85546875" style="290"/>
    <col min="31" max="31" width="10.7109375" style="290" bestFit="1" customWidth="1"/>
    <col min="32" max="35" width="8.85546875" style="290"/>
    <col min="36" max="36" width="9.28515625" style="285" bestFit="1" customWidth="1"/>
    <col min="37" max="37" width="11.85546875" style="290" bestFit="1" customWidth="1"/>
    <col min="38" max="38" width="10.7109375" style="290" bestFit="1" customWidth="1"/>
    <col min="39" max="39" width="10.7109375" style="290" customWidth="1"/>
    <col min="40" max="40" width="8.85546875" style="290"/>
    <col min="41" max="50" width="8.85546875" style="285"/>
  </cols>
  <sheetData>
    <row r="1" spans="1:327" s="495" customFormat="1" ht="60" customHeight="1">
      <c r="A1" s="497" t="s">
        <v>3</v>
      </c>
      <c r="B1" s="497" t="s">
        <v>46</v>
      </c>
      <c r="C1" s="498" t="s">
        <v>1038</v>
      </c>
      <c r="D1" s="493" t="s">
        <v>41</v>
      </c>
      <c r="E1" s="493"/>
      <c r="F1" s="492" t="s">
        <v>42</v>
      </c>
      <c r="G1" s="497" t="s">
        <v>1448</v>
      </c>
      <c r="H1" s="497" t="s">
        <v>2436</v>
      </c>
      <c r="I1" s="499" t="s">
        <v>2439</v>
      </c>
      <c r="J1" s="1050" t="s">
        <v>1505</v>
      </c>
      <c r="K1" s="1051"/>
      <c r="L1" s="1051"/>
      <c r="M1" s="1051"/>
      <c r="N1" s="1051"/>
      <c r="O1" s="1052"/>
      <c r="P1" s="1053" t="s">
        <v>2442</v>
      </c>
      <c r="Q1" s="1054"/>
      <c r="R1" s="1055"/>
      <c r="S1" s="1053" t="s">
        <v>2445</v>
      </c>
      <c r="T1" s="1054"/>
      <c r="U1" s="1056"/>
      <c r="V1" s="1057" t="s">
        <v>2434</v>
      </c>
      <c r="W1" s="1058"/>
      <c r="X1" s="1059"/>
      <c r="Y1" s="1060" t="s">
        <v>31</v>
      </c>
      <c r="Z1" s="1061"/>
      <c r="AA1" s="1061"/>
      <c r="AB1" s="1061"/>
      <c r="AC1" s="1061"/>
      <c r="AD1" s="1061"/>
      <c r="AE1" s="1061"/>
      <c r="AF1" s="1061"/>
      <c r="AG1" s="1061"/>
      <c r="AH1" s="1061"/>
      <c r="AI1" s="1062"/>
      <c r="AJ1" s="1065" t="s">
        <v>1557</v>
      </c>
      <c r="AK1" s="1063" t="s">
        <v>2435</v>
      </c>
      <c r="AL1" s="1064"/>
      <c r="AM1" s="1067"/>
      <c r="AN1" s="494"/>
      <c r="AO1" s="1044" t="s">
        <v>35</v>
      </c>
      <c r="AP1" s="1045"/>
      <c r="AQ1" s="1045"/>
      <c r="AR1" s="1045"/>
      <c r="AS1" s="1046"/>
      <c r="AT1" s="1047" t="s">
        <v>112</v>
      </c>
      <c r="AU1" s="1046"/>
      <c r="AV1" s="1048" t="s">
        <v>51</v>
      </c>
    </row>
    <row r="2" spans="1:327" s="496" customFormat="1" ht="48" customHeight="1">
      <c r="A2" s="244"/>
      <c r="B2" s="244"/>
      <c r="C2" s="245"/>
      <c r="D2" s="247" t="s">
        <v>108</v>
      </c>
      <c r="E2" s="247" t="s">
        <v>107</v>
      </c>
      <c r="F2" s="244"/>
      <c r="G2" s="244"/>
      <c r="H2" s="244"/>
      <c r="I2" s="251"/>
      <c r="J2" s="246" t="s">
        <v>13</v>
      </c>
      <c r="K2" s="246" t="s">
        <v>45</v>
      </c>
      <c r="L2" s="250" t="s">
        <v>111</v>
      </c>
      <c r="M2" s="246" t="s">
        <v>67</v>
      </c>
      <c r="N2" s="500" t="s">
        <v>2299</v>
      </c>
      <c r="O2" s="246" t="s">
        <v>115</v>
      </c>
      <c r="P2" s="478" t="s">
        <v>2443</v>
      </c>
      <c r="Q2" s="249" t="s">
        <v>2444</v>
      </c>
      <c r="R2" s="249" t="s">
        <v>50</v>
      </c>
      <c r="S2" s="248" t="s">
        <v>93</v>
      </c>
      <c r="T2" s="248" t="s">
        <v>92</v>
      </c>
      <c r="U2" s="248" t="s">
        <v>91</v>
      </c>
      <c r="V2" s="249" t="s">
        <v>48</v>
      </c>
      <c r="W2" s="249" t="s">
        <v>49</v>
      </c>
      <c r="X2" s="501" t="s">
        <v>2360</v>
      </c>
      <c r="Y2" s="471" t="s">
        <v>38</v>
      </c>
      <c r="Z2" s="471" t="s">
        <v>76</v>
      </c>
      <c r="AA2" s="471" t="s">
        <v>77</v>
      </c>
      <c r="AB2" s="471" t="s">
        <v>82</v>
      </c>
      <c r="AC2" s="471" t="s">
        <v>109</v>
      </c>
      <c r="AD2" s="471" t="s">
        <v>110</v>
      </c>
      <c r="AE2" s="471" t="s">
        <v>81</v>
      </c>
      <c r="AF2" s="471" t="s">
        <v>33</v>
      </c>
      <c r="AG2" s="471" t="s">
        <v>34</v>
      </c>
      <c r="AH2" s="471" t="s">
        <v>32</v>
      </c>
      <c r="AI2" s="472" t="s">
        <v>86</v>
      </c>
      <c r="AJ2" s="1066"/>
      <c r="AK2" s="477" t="s">
        <v>47</v>
      </c>
      <c r="AL2" s="477" t="s">
        <v>74</v>
      </c>
      <c r="AM2" s="512" t="s">
        <v>2360</v>
      </c>
      <c r="AN2" s="479" t="s">
        <v>0</v>
      </c>
      <c r="AO2" s="480" t="s">
        <v>57</v>
      </c>
      <c r="AP2" s="480" t="s">
        <v>39</v>
      </c>
      <c r="AQ2" s="480" t="s">
        <v>40</v>
      </c>
      <c r="AR2" s="480" t="s">
        <v>37</v>
      </c>
      <c r="AS2" s="480" t="s">
        <v>36</v>
      </c>
      <c r="AT2" s="480" t="s">
        <v>113</v>
      </c>
      <c r="AU2" s="479" t="s">
        <v>114</v>
      </c>
      <c r="AV2" s="1049"/>
    </row>
    <row r="3" spans="1:327" s="502" customFormat="1" ht="14.25" customHeight="1">
      <c r="A3" s="342">
        <v>1</v>
      </c>
      <c r="B3" s="503" t="s">
        <v>774</v>
      </c>
      <c r="C3" s="504" t="s">
        <v>1278</v>
      </c>
      <c r="D3" s="505">
        <v>37956</v>
      </c>
      <c r="E3" s="505">
        <v>39569</v>
      </c>
      <c r="F3" s="503" t="s">
        <v>773</v>
      </c>
      <c r="G3" s="259" t="s">
        <v>1454</v>
      </c>
      <c r="H3" s="503" t="s">
        <v>772</v>
      </c>
      <c r="I3" s="503" t="s">
        <v>2438</v>
      </c>
      <c r="J3" s="506">
        <v>210000</v>
      </c>
      <c r="K3" s="506">
        <v>31446579</v>
      </c>
      <c r="L3" s="506">
        <v>30944707</v>
      </c>
      <c r="M3" s="506">
        <v>31784190</v>
      </c>
      <c r="N3" s="507">
        <f>M3/J3</f>
        <v>151.3532857142857</v>
      </c>
      <c r="O3" s="506">
        <v>98</v>
      </c>
      <c r="P3" s="506" t="s">
        <v>75</v>
      </c>
      <c r="Q3" s="506" t="s">
        <v>75</v>
      </c>
      <c r="R3" s="506" t="s">
        <v>75</v>
      </c>
      <c r="S3" s="506" t="s">
        <v>849</v>
      </c>
      <c r="T3" s="506" t="s">
        <v>75</v>
      </c>
      <c r="U3" s="506" t="s">
        <v>75</v>
      </c>
      <c r="V3" s="508">
        <v>-3952</v>
      </c>
      <c r="W3" s="506">
        <v>137152</v>
      </c>
      <c r="X3" s="506"/>
      <c r="Y3" s="506" t="s">
        <v>75</v>
      </c>
      <c r="Z3" s="506" t="s">
        <v>75</v>
      </c>
      <c r="AA3" s="506" t="s">
        <v>75</v>
      </c>
      <c r="AB3" s="506" t="s">
        <v>75</v>
      </c>
      <c r="AC3" s="506" t="s">
        <v>75</v>
      </c>
      <c r="AD3" s="506" t="s">
        <v>75</v>
      </c>
      <c r="AE3" s="506" t="s">
        <v>75</v>
      </c>
      <c r="AF3" s="506" t="s">
        <v>75</v>
      </c>
      <c r="AG3" s="506" t="s">
        <v>75</v>
      </c>
      <c r="AH3" s="506" t="s">
        <v>75</v>
      </c>
      <c r="AI3" s="506" t="s">
        <v>75</v>
      </c>
      <c r="AJ3" s="301">
        <v>0</v>
      </c>
      <c r="AK3" s="506">
        <v>174799</v>
      </c>
      <c r="AL3" s="506">
        <v>280580</v>
      </c>
      <c r="AM3" s="506"/>
      <c r="AN3" s="506"/>
      <c r="AO3" s="509">
        <v>3</v>
      </c>
      <c r="AP3" s="509" t="s">
        <v>75</v>
      </c>
      <c r="AQ3" s="509" t="s">
        <v>75</v>
      </c>
      <c r="AR3" s="509">
        <v>1</v>
      </c>
      <c r="AS3" s="509">
        <v>3</v>
      </c>
      <c r="AT3" s="509" t="s">
        <v>75</v>
      </c>
      <c r="AU3" s="509" t="s">
        <v>75</v>
      </c>
      <c r="AV3" s="510" t="s">
        <v>771</v>
      </c>
      <c r="AW3" s="503"/>
      <c r="AX3" s="503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</row>
    <row r="4" spans="1:327" s="5" customFormat="1" ht="18.75" customHeight="1">
      <c r="A4" s="342">
        <v>2</v>
      </c>
      <c r="B4" s="388" t="s">
        <v>208</v>
      </c>
      <c r="C4" s="377" t="s">
        <v>1299</v>
      </c>
      <c r="D4" s="325">
        <v>37956</v>
      </c>
      <c r="E4" s="325">
        <v>38687</v>
      </c>
      <c r="F4" s="377" t="s">
        <v>207</v>
      </c>
      <c r="G4" s="259" t="s">
        <v>1452</v>
      </c>
      <c r="H4" s="377" t="s">
        <v>210</v>
      </c>
      <c r="I4" s="342" t="s">
        <v>2438</v>
      </c>
      <c r="J4" s="318">
        <v>74000</v>
      </c>
      <c r="K4" s="327">
        <v>15048390</v>
      </c>
      <c r="L4" s="327">
        <v>15048390</v>
      </c>
      <c r="M4" s="318">
        <v>15048417</v>
      </c>
      <c r="N4" s="263">
        <f t="shared" ref="N4:N8" si="0">M4/J4</f>
        <v>203.35698648648648</v>
      </c>
      <c r="O4" s="318">
        <v>100</v>
      </c>
      <c r="P4" s="327">
        <v>40000</v>
      </c>
      <c r="Q4" s="327" t="s">
        <v>134</v>
      </c>
      <c r="R4" s="318">
        <v>40000</v>
      </c>
      <c r="S4" s="318" t="s">
        <v>233</v>
      </c>
      <c r="T4" s="327">
        <v>200</v>
      </c>
      <c r="U4" s="318" t="s">
        <v>134</v>
      </c>
      <c r="V4" s="318">
        <v>0</v>
      </c>
      <c r="W4" s="318">
        <v>223145</v>
      </c>
      <c r="X4" s="318">
        <f t="shared" ref="X4:X7" si="1">W4/R4</f>
        <v>5.5786249999999997</v>
      </c>
      <c r="Y4" s="318"/>
      <c r="Z4" s="318" t="s">
        <v>75</v>
      </c>
      <c r="AA4" s="318">
        <v>65000</v>
      </c>
      <c r="AB4" s="327"/>
      <c r="AC4" s="318">
        <v>200</v>
      </c>
      <c r="AD4" s="318"/>
      <c r="AE4" s="327" t="s">
        <v>75</v>
      </c>
      <c r="AF4" s="327" t="s">
        <v>75</v>
      </c>
      <c r="AG4" s="327" t="s">
        <v>75</v>
      </c>
      <c r="AH4" s="318" t="s">
        <v>75</v>
      </c>
      <c r="AI4" s="327" t="s">
        <v>2</v>
      </c>
      <c r="AJ4" s="301">
        <v>65000</v>
      </c>
      <c r="AK4" s="318">
        <v>0</v>
      </c>
      <c r="AL4" s="318">
        <v>228465</v>
      </c>
      <c r="AM4" s="318">
        <f t="shared" ref="AM4:AM8" si="2">AL4/AJ4</f>
        <v>3.514846153846154</v>
      </c>
      <c r="AN4" s="327"/>
      <c r="AO4" s="342" t="s">
        <v>75</v>
      </c>
      <c r="AP4" s="342" t="s">
        <v>75</v>
      </c>
      <c r="AQ4" s="342" t="s">
        <v>75</v>
      </c>
      <c r="AR4" s="342" t="s">
        <v>75</v>
      </c>
      <c r="AS4" s="342" t="s">
        <v>75</v>
      </c>
      <c r="AT4" s="342" t="s">
        <v>75</v>
      </c>
      <c r="AU4" s="342" t="s">
        <v>75</v>
      </c>
      <c r="AV4" s="404" t="s">
        <v>214</v>
      </c>
      <c r="AW4" s="388"/>
      <c r="AX4" s="388"/>
    </row>
    <row r="5" spans="1:327" s="9" customFormat="1">
      <c r="A5" s="342">
        <v>3</v>
      </c>
      <c r="B5" s="261" t="s">
        <v>129</v>
      </c>
      <c r="C5" s="261" t="s">
        <v>1284</v>
      </c>
      <c r="D5" s="262">
        <v>37865</v>
      </c>
      <c r="E5" s="262">
        <v>38777</v>
      </c>
      <c r="F5" s="261" t="s">
        <v>330</v>
      </c>
      <c r="G5" s="254" t="s">
        <v>1452</v>
      </c>
      <c r="H5" s="261" t="s">
        <v>366</v>
      </c>
      <c r="I5" s="342" t="s">
        <v>2438</v>
      </c>
      <c r="J5" s="263">
        <v>305000</v>
      </c>
      <c r="K5" s="263">
        <v>30937383</v>
      </c>
      <c r="L5" s="263">
        <v>32335355</v>
      </c>
      <c r="M5" s="263">
        <v>32335544</v>
      </c>
      <c r="N5" s="263">
        <f t="shared" si="0"/>
        <v>106.01817704918032</v>
      </c>
      <c r="O5" s="263">
        <v>104</v>
      </c>
      <c r="P5" s="263" t="s">
        <v>75</v>
      </c>
      <c r="Q5" s="263" t="s">
        <v>75</v>
      </c>
      <c r="R5" s="263" t="s">
        <v>75</v>
      </c>
      <c r="S5" s="263" t="s">
        <v>233</v>
      </c>
      <c r="T5" s="263" t="s">
        <v>75</v>
      </c>
      <c r="U5" s="263" t="s">
        <v>75</v>
      </c>
      <c r="V5" s="263">
        <v>228898</v>
      </c>
      <c r="W5" s="263">
        <v>444968</v>
      </c>
      <c r="X5" s="318"/>
      <c r="Y5" s="263" t="s">
        <v>134</v>
      </c>
      <c r="Z5" s="263" t="s">
        <v>75</v>
      </c>
      <c r="AA5" s="263" t="s">
        <v>75</v>
      </c>
      <c r="AB5" s="263" t="s">
        <v>267</v>
      </c>
      <c r="AC5" s="263" t="s">
        <v>75</v>
      </c>
      <c r="AD5" s="263" t="s">
        <v>75</v>
      </c>
      <c r="AE5" s="263" t="s">
        <v>75</v>
      </c>
      <c r="AF5" s="263" t="s">
        <v>75</v>
      </c>
      <c r="AG5" s="263" t="s">
        <v>75</v>
      </c>
      <c r="AH5" s="263" t="s">
        <v>75</v>
      </c>
      <c r="AI5" s="263" t="s">
        <v>75</v>
      </c>
      <c r="AJ5" s="301">
        <v>0</v>
      </c>
      <c r="AK5" s="263">
        <v>1754850</v>
      </c>
      <c r="AL5" s="263">
        <v>943856</v>
      </c>
      <c r="AM5" s="318"/>
      <c r="AN5" s="263"/>
      <c r="AO5" s="261" t="s">
        <v>75</v>
      </c>
      <c r="AP5" s="261" t="s">
        <v>75</v>
      </c>
      <c r="AQ5" s="261" t="s">
        <v>75</v>
      </c>
      <c r="AR5" s="261" t="s">
        <v>75</v>
      </c>
      <c r="AS5" s="261" t="s">
        <v>75</v>
      </c>
      <c r="AT5" s="261" t="s">
        <v>75</v>
      </c>
      <c r="AU5" s="261" t="s">
        <v>75</v>
      </c>
      <c r="AV5" s="261" t="s">
        <v>329</v>
      </c>
      <c r="AW5" s="261"/>
      <c r="AX5" s="261"/>
    </row>
    <row r="6" spans="1:327" s="12" customFormat="1">
      <c r="A6" s="342">
        <v>4</v>
      </c>
      <c r="B6" s="362" t="s">
        <v>362</v>
      </c>
      <c r="C6" s="362" t="s">
        <v>1284</v>
      </c>
      <c r="D6" s="485">
        <v>37742</v>
      </c>
      <c r="E6" s="485">
        <v>38687</v>
      </c>
      <c r="F6" s="362" t="s">
        <v>24</v>
      </c>
      <c r="G6" s="259" t="s">
        <v>1454</v>
      </c>
      <c r="H6" s="362" t="s">
        <v>404</v>
      </c>
      <c r="I6" s="342" t="s">
        <v>2438</v>
      </c>
      <c r="J6" s="263">
        <v>40000</v>
      </c>
      <c r="K6" s="402">
        <v>4797861</v>
      </c>
      <c r="L6" s="402">
        <v>5000490</v>
      </c>
      <c r="M6" s="402">
        <v>4492621</v>
      </c>
      <c r="N6" s="263">
        <f t="shared" si="0"/>
        <v>112.31552499999999</v>
      </c>
      <c r="O6" s="402">
        <v>104.2</v>
      </c>
      <c r="P6" s="402">
        <v>25000</v>
      </c>
      <c r="Q6" s="402" t="s">
        <v>134</v>
      </c>
      <c r="R6" s="402">
        <v>25000</v>
      </c>
      <c r="S6" s="402" t="s">
        <v>233</v>
      </c>
      <c r="T6" s="402" t="s">
        <v>75</v>
      </c>
      <c r="U6" s="402" t="s">
        <v>134</v>
      </c>
      <c r="V6" s="263">
        <v>10000</v>
      </c>
      <c r="W6" s="402">
        <v>1040</v>
      </c>
      <c r="X6" s="318">
        <f t="shared" si="1"/>
        <v>4.1599999999999998E-2</v>
      </c>
      <c r="Y6" s="402">
        <v>40000</v>
      </c>
      <c r="Z6" s="402">
        <v>40000</v>
      </c>
      <c r="AA6" s="402" t="s">
        <v>134</v>
      </c>
      <c r="AB6" s="402">
        <v>20</v>
      </c>
      <c r="AC6" s="402"/>
      <c r="AD6" s="402" t="s">
        <v>75</v>
      </c>
      <c r="AE6" s="402" t="s">
        <v>75</v>
      </c>
      <c r="AF6" s="402" t="s">
        <v>75</v>
      </c>
      <c r="AG6" s="402" t="s">
        <v>75</v>
      </c>
      <c r="AH6" s="402" t="s">
        <v>267</v>
      </c>
      <c r="AI6" s="402" t="s">
        <v>75</v>
      </c>
      <c r="AJ6" s="301">
        <v>40000</v>
      </c>
      <c r="AK6" s="263">
        <v>80000</v>
      </c>
      <c r="AL6" s="402">
        <v>81556</v>
      </c>
      <c r="AM6" s="318">
        <f t="shared" si="2"/>
        <v>2.0388999999999999</v>
      </c>
      <c r="AN6" s="402"/>
      <c r="AO6" s="362" t="s">
        <v>75</v>
      </c>
      <c r="AP6" s="362" t="s">
        <v>75</v>
      </c>
      <c r="AQ6" s="362">
        <v>1</v>
      </c>
      <c r="AR6" s="362" t="s">
        <v>75</v>
      </c>
      <c r="AS6" s="362">
        <v>1</v>
      </c>
      <c r="AT6" s="362" t="s">
        <v>75</v>
      </c>
      <c r="AU6" s="362" t="s">
        <v>75</v>
      </c>
      <c r="AV6" s="403" t="s">
        <v>391</v>
      </c>
      <c r="AW6" s="362"/>
      <c r="AX6" s="362"/>
    </row>
    <row r="7" spans="1:327" s="12" customFormat="1">
      <c r="A7" s="342">
        <v>5</v>
      </c>
      <c r="B7" s="362" t="s">
        <v>121</v>
      </c>
      <c r="C7" s="362" t="s">
        <v>1261</v>
      </c>
      <c r="D7" s="485">
        <v>37803</v>
      </c>
      <c r="E7" s="485">
        <v>38108</v>
      </c>
      <c r="F7" s="362" t="s">
        <v>5</v>
      </c>
      <c r="G7" s="259" t="s">
        <v>1451</v>
      </c>
      <c r="H7" s="362" t="s">
        <v>403</v>
      </c>
      <c r="I7" s="342" t="s">
        <v>2438</v>
      </c>
      <c r="J7" s="263">
        <v>440000</v>
      </c>
      <c r="K7" s="402">
        <v>7932000</v>
      </c>
      <c r="L7" s="402">
        <v>5655072</v>
      </c>
      <c r="M7" s="402">
        <v>5655072</v>
      </c>
      <c r="N7" s="263">
        <f t="shared" si="0"/>
        <v>12.852436363636363</v>
      </c>
      <c r="O7" s="402">
        <v>71</v>
      </c>
      <c r="P7" s="402">
        <v>48214</v>
      </c>
      <c r="Q7" s="402" t="s">
        <v>75</v>
      </c>
      <c r="R7" s="402">
        <v>48214</v>
      </c>
      <c r="S7" s="402" t="s">
        <v>233</v>
      </c>
      <c r="T7" s="402" t="s">
        <v>75</v>
      </c>
      <c r="U7" s="402" t="s">
        <v>75</v>
      </c>
      <c r="V7" s="263">
        <v>99900</v>
      </c>
      <c r="W7" s="402">
        <v>70929</v>
      </c>
      <c r="X7" s="318">
        <f t="shared" si="1"/>
        <v>1.4711287177998091</v>
      </c>
      <c r="Y7" s="402" t="s">
        <v>134</v>
      </c>
      <c r="Z7" s="402" t="s">
        <v>75</v>
      </c>
      <c r="AA7" s="402" t="s">
        <v>75</v>
      </c>
      <c r="AB7" s="402" t="s">
        <v>75</v>
      </c>
      <c r="AC7" s="402" t="s">
        <v>75</v>
      </c>
      <c r="AD7" s="402" t="s">
        <v>75</v>
      </c>
      <c r="AE7" s="402">
        <v>136300</v>
      </c>
      <c r="AF7" s="402" t="s">
        <v>75</v>
      </c>
      <c r="AG7" s="402" t="s">
        <v>75</v>
      </c>
      <c r="AH7" s="402" t="s">
        <v>75</v>
      </c>
      <c r="AI7" s="402" t="s">
        <v>75</v>
      </c>
      <c r="AJ7" s="301">
        <v>0</v>
      </c>
      <c r="AK7" s="263" t="s">
        <v>66</v>
      </c>
      <c r="AL7" s="402" t="s">
        <v>66</v>
      </c>
      <c r="AM7" s="318"/>
      <c r="AN7" s="402"/>
      <c r="AO7" s="362" t="s">
        <v>75</v>
      </c>
      <c r="AP7" s="362" t="s">
        <v>75</v>
      </c>
      <c r="AQ7" s="362" t="s">
        <v>75</v>
      </c>
      <c r="AR7" s="362" t="s">
        <v>75</v>
      </c>
      <c r="AS7" s="362" t="s">
        <v>75</v>
      </c>
      <c r="AT7" s="362" t="s">
        <v>75</v>
      </c>
      <c r="AU7" s="362" t="s">
        <v>75</v>
      </c>
      <c r="AV7" s="403" t="s">
        <v>397</v>
      </c>
      <c r="AW7" s="362"/>
      <c r="AX7" s="362"/>
    </row>
    <row r="8" spans="1:327" s="9" customFormat="1">
      <c r="A8" s="342">
        <v>6</v>
      </c>
      <c r="B8" s="261" t="s">
        <v>400</v>
      </c>
      <c r="C8" s="261" t="s">
        <v>1261</v>
      </c>
      <c r="D8" s="262">
        <v>36404</v>
      </c>
      <c r="E8" s="262">
        <v>38687</v>
      </c>
      <c r="F8" s="261" t="s">
        <v>24</v>
      </c>
      <c r="G8" s="259" t="s">
        <v>1454</v>
      </c>
      <c r="H8" s="261" t="s">
        <v>402</v>
      </c>
      <c r="I8" s="342" t="s">
        <v>2438</v>
      </c>
      <c r="J8" s="263">
        <v>100000</v>
      </c>
      <c r="K8" s="263">
        <v>55400000</v>
      </c>
      <c r="L8" s="263">
        <v>55647151</v>
      </c>
      <c r="M8" s="263">
        <v>55647151</v>
      </c>
      <c r="N8" s="263">
        <f t="shared" si="0"/>
        <v>556.47150999999997</v>
      </c>
      <c r="O8" s="263">
        <v>104.4</v>
      </c>
      <c r="P8" s="263" t="s">
        <v>75</v>
      </c>
      <c r="Q8" s="263" t="s">
        <v>75</v>
      </c>
      <c r="R8" s="263" t="s">
        <v>75</v>
      </c>
      <c r="S8" s="263" t="s">
        <v>233</v>
      </c>
      <c r="T8" s="263" t="s">
        <v>75</v>
      </c>
      <c r="U8" s="263" t="s">
        <v>75</v>
      </c>
      <c r="V8" s="263" t="s">
        <v>66</v>
      </c>
      <c r="W8" s="263" t="s">
        <v>66</v>
      </c>
      <c r="X8" s="318"/>
      <c r="Y8" s="263">
        <v>15000</v>
      </c>
      <c r="Z8" s="263">
        <v>16477</v>
      </c>
      <c r="AA8" s="263">
        <v>849</v>
      </c>
      <c r="AB8" s="263">
        <v>2139</v>
      </c>
      <c r="AC8" s="263" t="s">
        <v>75</v>
      </c>
      <c r="AD8" s="263" t="s">
        <v>75</v>
      </c>
      <c r="AE8" s="263" t="s">
        <v>75</v>
      </c>
      <c r="AF8" s="263" t="s">
        <v>75</v>
      </c>
      <c r="AG8" s="263" t="s">
        <v>75</v>
      </c>
      <c r="AH8" s="263" t="s">
        <v>75</v>
      </c>
      <c r="AI8" s="263" t="s">
        <v>75</v>
      </c>
      <c r="AJ8" s="301">
        <v>17326</v>
      </c>
      <c r="AK8" s="263">
        <v>100000</v>
      </c>
      <c r="AL8" s="263">
        <v>12732</v>
      </c>
      <c r="AM8" s="318">
        <f t="shared" si="2"/>
        <v>0.73484935934433804</v>
      </c>
      <c r="AN8" s="263"/>
      <c r="AO8" s="261" t="s">
        <v>75</v>
      </c>
      <c r="AP8" s="261" t="s">
        <v>75</v>
      </c>
      <c r="AQ8" s="261" t="s">
        <v>75</v>
      </c>
      <c r="AR8" s="261" t="s">
        <v>75</v>
      </c>
      <c r="AS8" s="261" t="s">
        <v>75</v>
      </c>
      <c r="AT8" s="261" t="s">
        <v>75</v>
      </c>
      <c r="AU8" s="261" t="s">
        <v>75</v>
      </c>
      <c r="AV8" s="276" t="s">
        <v>401</v>
      </c>
      <c r="AW8" s="261"/>
      <c r="AX8" s="261"/>
    </row>
    <row r="9" spans="1:327" s="4" customFormat="1">
      <c r="A9" s="252"/>
      <c r="B9" s="252"/>
      <c r="C9" s="252"/>
      <c r="D9" s="252"/>
      <c r="E9" s="252"/>
      <c r="F9" s="252"/>
      <c r="G9" s="252"/>
      <c r="H9" s="252"/>
      <c r="I9" s="252"/>
      <c r="J9" s="269"/>
      <c r="K9" s="269"/>
      <c r="L9" s="269"/>
      <c r="M9" s="269"/>
      <c r="N9" s="269"/>
      <c r="O9" s="269"/>
      <c r="P9" s="269"/>
      <c r="Q9" s="269"/>
      <c r="R9" s="269"/>
      <c r="S9" s="252"/>
      <c r="T9" s="252"/>
      <c r="U9" s="252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52"/>
      <c r="AK9" s="269"/>
      <c r="AL9" s="269"/>
      <c r="AM9" s="270"/>
      <c r="AN9" s="269"/>
      <c r="AO9" s="252"/>
      <c r="AP9" s="252"/>
      <c r="AQ9" s="252"/>
      <c r="AR9" s="252"/>
      <c r="AS9" s="252"/>
      <c r="AT9" s="252"/>
      <c r="AU9" s="252"/>
      <c r="AV9" s="252"/>
      <c r="AW9" s="252"/>
      <c r="AX9" s="252"/>
    </row>
    <row r="10" spans="1:327" s="1" customFormat="1" ht="12.75">
      <c r="A10" s="511" t="s">
        <v>1521</v>
      </c>
      <c r="B10" s="511"/>
      <c r="C10" s="511"/>
      <c r="D10" s="511"/>
      <c r="E10" s="511"/>
      <c r="F10" s="511"/>
      <c r="G10" s="511"/>
      <c r="H10" s="511"/>
      <c r="I10" s="511"/>
      <c r="J10" s="511">
        <f>SUBTOTAL(9,J3:J8)</f>
        <v>1169000</v>
      </c>
      <c r="K10" s="511">
        <f t="shared" ref="K10:L10" si="3">SUBTOTAL(9,K3:K8)</f>
        <v>145562213</v>
      </c>
      <c r="L10" s="511">
        <f t="shared" si="3"/>
        <v>144631165</v>
      </c>
      <c r="M10" s="511">
        <f t="shared" ref="M10" si="4">SUBTOTAL(9,M3:M8)</f>
        <v>144962995</v>
      </c>
      <c r="N10" s="511">
        <f>SUBTOTAL(1,N3:N8)</f>
        <v>190.39465343559814</v>
      </c>
      <c r="O10" s="511">
        <f>SUBTOTAL(1,O3:O8)</f>
        <v>96.933333333333337</v>
      </c>
      <c r="P10" s="511">
        <f>SUBTOTAL(9,P3:P8)</f>
        <v>113214</v>
      </c>
      <c r="Q10" s="511">
        <f t="shared" ref="Q10:W10" si="5">SUBTOTAL(9,Q3:Q8)</f>
        <v>0</v>
      </c>
      <c r="R10" s="511">
        <f t="shared" si="5"/>
        <v>113214</v>
      </c>
      <c r="S10" s="511">
        <f t="shared" si="5"/>
        <v>0</v>
      </c>
      <c r="T10" s="511">
        <f t="shared" si="5"/>
        <v>200</v>
      </c>
      <c r="U10" s="511">
        <f t="shared" si="5"/>
        <v>0</v>
      </c>
      <c r="V10" s="511">
        <f t="shared" si="5"/>
        <v>334846</v>
      </c>
      <c r="W10" s="511">
        <f t="shared" si="5"/>
        <v>877234</v>
      </c>
      <c r="X10" s="511">
        <f>SUBTOTAL(1,X3:X8)</f>
        <v>2.3637845725999362</v>
      </c>
      <c r="Y10" s="511"/>
      <c r="Z10" s="511">
        <f>SUBTOTAL(9,Z3:Z8)</f>
        <v>56477</v>
      </c>
      <c r="AA10" s="511">
        <f>SUBTOTAL(9,AA3:AA8)</f>
        <v>65849</v>
      </c>
      <c r="AB10" s="511">
        <f t="shared" ref="AB10:AK10" si="6">SUBTOTAL(9,AB3:AB8)</f>
        <v>2159</v>
      </c>
      <c r="AC10" s="511">
        <f t="shared" si="6"/>
        <v>200</v>
      </c>
      <c r="AD10" s="511">
        <f t="shared" si="6"/>
        <v>0</v>
      </c>
      <c r="AE10" s="511">
        <f t="shared" si="6"/>
        <v>136300</v>
      </c>
      <c r="AF10" s="511">
        <f t="shared" si="6"/>
        <v>0</v>
      </c>
      <c r="AG10" s="511">
        <f t="shared" si="6"/>
        <v>0</v>
      </c>
      <c r="AH10" s="511">
        <f t="shared" si="6"/>
        <v>0</v>
      </c>
      <c r="AI10" s="511">
        <f t="shared" si="6"/>
        <v>0</v>
      </c>
      <c r="AJ10" s="511">
        <f t="shared" si="6"/>
        <v>122326</v>
      </c>
      <c r="AK10" s="511">
        <f t="shared" si="6"/>
        <v>2109649</v>
      </c>
      <c r="AL10" s="511">
        <f t="shared" ref="AL10" si="7">SUBTOTAL(9,AL3:AL8)</f>
        <v>1547189</v>
      </c>
      <c r="AM10" s="511">
        <f>SUBTOTAL(1,AM3:AM8)</f>
        <v>2.0961985043968308</v>
      </c>
      <c r="AN10" s="511"/>
      <c r="AO10" s="511"/>
      <c r="AP10" s="511"/>
      <c r="AQ10" s="511"/>
      <c r="AR10" s="511"/>
      <c r="AS10" s="511"/>
      <c r="AT10" s="511"/>
      <c r="AU10" s="511"/>
      <c r="AV10" s="511"/>
    </row>
    <row r="11" spans="1:327" s="4" customFormat="1">
      <c r="A11" s="252"/>
      <c r="B11" s="252"/>
      <c r="C11" s="252"/>
      <c r="D11" s="252"/>
      <c r="E11" s="252"/>
      <c r="F11" s="252"/>
      <c r="G11" s="252"/>
      <c r="H11" s="252"/>
      <c r="I11" s="252"/>
      <c r="J11" s="269"/>
      <c r="K11" s="269"/>
      <c r="L11" s="269"/>
      <c r="M11" s="269"/>
      <c r="N11" s="269"/>
      <c r="O11" s="269"/>
      <c r="P11" s="269"/>
      <c r="Q11" s="269"/>
      <c r="R11" s="269"/>
      <c r="S11" s="252"/>
      <c r="T11" s="252"/>
      <c r="U11" s="252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52"/>
      <c r="AK11" s="269"/>
      <c r="AL11" s="269"/>
      <c r="AM11" s="269"/>
      <c r="AN11" s="269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</row>
    <row r="12" spans="1:327" s="4" customFormat="1">
      <c r="A12" s="252"/>
      <c r="B12" s="252"/>
      <c r="C12" s="252"/>
      <c r="D12" s="252"/>
      <c r="E12" s="252"/>
      <c r="F12" s="252"/>
      <c r="G12" s="252"/>
      <c r="H12" s="252"/>
      <c r="I12" s="252"/>
      <c r="J12" s="269"/>
      <c r="K12" s="269"/>
      <c r="L12" s="269"/>
      <c r="M12" s="269"/>
      <c r="N12" s="269"/>
      <c r="O12" s="269"/>
      <c r="P12" s="269"/>
      <c r="Q12" s="269"/>
      <c r="R12" s="269"/>
      <c r="S12" s="252"/>
      <c r="T12" s="252"/>
      <c r="U12" s="252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52"/>
      <c r="AK12" s="269"/>
      <c r="AL12" s="269"/>
      <c r="AM12" s="269"/>
      <c r="AN12" s="269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</row>
    <row r="13" spans="1:327" s="4" customFormat="1">
      <c r="A13" s="252"/>
      <c r="B13" s="252"/>
      <c r="C13" s="252"/>
      <c r="D13" s="252"/>
      <c r="E13" s="252"/>
      <c r="F13" s="252"/>
      <c r="G13" s="252"/>
      <c r="H13" s="252"/>
      <c r="I13" s="252"/>
      <c r="J13" s="269"/>
      <c r="K13" s="269"/>
      <c r="L13" s="269"/>
      <c r="M13" s="269"/>
      <c r="N13" s="269"/>
      <c r="O13" s="269"/>
      <c r="P13" s="269"/>
      <c r="Q13" s="269"/>
      <c r="R13" s="269"/>
      <c r="S13" s="252"/>
      <c r="T13" s="252"/>
      <c r="U13" s="252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52"/>
      <c r="AK13" s="269"/>
      <c r="AL13" s="269"/>
      <c r="AM13" s="269"/>
      <c r="AN13" s="269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</row>
    <row r="14" spans="1:327" s="4" customFormat="1">
      <c r="A14" s="252"/>
      <c r="B14" s="252"/>
      <c r="C14" s="252"/>
      <c r="D14" s="252"/>
      <c r="E14" s="252"/>
      <c r="F14" s="252"/>
      <c r="G14" s="252"/>
      <c r="H14" s="252"/>
      <c r="I14" s="252"/>
      <c r="J14" s="269"/>
      <c r="K14" s="269"/>
      <c r="L14" s="269"/>
      <c r="M14" s="269"/>
      <c r="N14" s="269"/>
      <c r="O14" s="269"/>
      <c r="P14" s="269"/>
      <c r="Q14" s="269"/>
      <c r="R14" s="269"/>
      <c r="S14" s="252"/>
      <c r="T14" s="252"/>
      <c r="U14" s="252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52"/>
      <c r="AK14" s="269"/>
      <c r="AL14" s="269"/>
      <c r="AM14" s="269"/>
      <c r="AN14" s="269"/>
      <c r="AO14" s="252"/>
      <c r="AP14" s="252"/>
      <c r="AQ14" s="252"/>
      <c r="AR14" s="252"/>
      <c r="AS14" s="252"/>
      <c r="AT14" s="252"/>
      <c r="AU14" s="252"/>
      <c r="AV14" s="252"/>
      <c r="AW14" s="252"/>
      <c r="AX14" s="252"/>
    </row>
    <row r="15" spans="1:327" s="4" customFormat="1">
      <c r="A15" s="252"/>
      <c r="B15" s="252"/>
      <c r="C15" s="252"/>
      <c r="D15" s="252"/>
      <c r="E15" s="252"/>
      <c r="F15" s="252"/>
      <c r="G15" s="252"/>
      <c r="H15" s="252"/>
      <c r="I15" s="252"/>
      <c r="J15" s="269"/>
      <c r="K15" s="269"/>
      <c r="L15" s="269"/>
      <c r="M15" s="269"/>
      <c r="N15" s="269"/>
      <c r="O15" s="269"/>
      <c r="P15" s="269"/>
      <c r="Q15" s="269"/>
      <c r="R15" s="269"/>
      <c r="S15" s="252"/>
      <c r="T15" s="252"/>
      <c r="U15" s="252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52"/>
      <c r="AK15" s="269"/>
      <c r="AL15" s="269"/>
      <c r="AM15" s="269"/>
      <c r="AN15" s="269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</row>
    <row r="16" spans="1:327" s="4" customFormat="1">
      <c r="A16" s="252"/>
      <c r="B16" s="252"/>
      <c r="C16" s="252"/>
      <c r="D16" s="252"/>
      <c r="E16" s="252"/>
      <c r="F16" s="252"/>
      <c r="G16" s="252"/>
      <c r="H16" s="252"/>
      <c r="I16" s="252"/>
      <c r="J16" s="269"/>
      <c r="K16" s="269"/>
      <c r="L16" s="269"/>
      <c r="M16" s="269"/>
      <c r="N16" s="269"/>
      <c r="O16" s="269"/>
      <c r="P16" s="269"/>
      <c r="Q16" s="269"/>
      <c r="R16" s="269"/>
      <c r="S16" s="252"/>
      <c r="T16" s="252"/>
      <c r="U16" s="252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52"/>
      <c r="AK16" s="269"/>
      <c r="AL16" s="269"/>
      <c r="AM16" s="269"/>
      <c r="AN16" s="269"/>
      <c r="AO16" s="252"/>
      <c r="AP16" s="252"/>
      <c r="AQ16" s="252"/>
      <c r="AR16" s="252"/>
      <c r="AS16" s="252"/>
      <c r="AT16" s="252"/>
      <c r="AU16" s="252"/>
      <c r="AV16" s="252"/>
      <c r="AW16" s="252"/>
      <c r="AX16" s="252"/>
    </row>
    <row r="17" spans="1:50" s="4" customFormat="1">
      <c r="A17" s="252"/>
      <c r="B17" s="252"/>
      <c r="C17" s="252"/>
      <c r="D17" s="252"/>
      <c r="E17" s="252"/>
      <c r="F17" s="252"/>
      <c r="G17" s="252"/>
      <c r="H17" s="252"/>
      <c r="I17" s="252"/>
      <c r="J17" s="269"/>
      <c r="K17" s="269"/>
      <c r="L17" s="269"/>
      <c r="M17" s="269"/>
      <c r="N17" s="269"/>
      <c r="O17" s="269"/>
      <c r="P17" s="269"/>
      <c r="Q17" s="269"/>
      <c r="R17" s="269"/>
      <c r="S17" s="252"/>
      <c r="T17" s="252"/>
      <c r="U17" s="252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52"/>
      <c r="AK17" s="269"/>
      <c r="AL17" s="269"/>
      <c r="AM17" s="269"/>
      <c r="AN17" s="269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</row>
    <row r="18" spans="1:50" s="4" customFormat="1">
      <c r="A18" s="252"/>
      <c r="B18" s="252"/>
      <c r="C18" s="252"/>
      <c r="D18" s="252"/>
      <c r="E18" s="252"/>
      <c r="F18" s="252"/>
      <c r="G18" s="252"/>
      <c r="H18" s="252"/>
      <c r="I18" s="252"/>
      <c r="J18" s="269"/>
      <c r="K18" s="269"/>
      <c r="L18" s="269"/>
      <c r="M18" s="269"/>
      <c r="N18" s="269"/>
      <c r="O18" s="269"/>
      <c r="P18" s="269"/>
      <c r="Q18" s="269"/>
      <c r="R18" s="269"/>
      <c r="S18" s="252"/>
      <c r="T18" s="252"/>
      <c r="U18" s="252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52"/>
      <c r="AK18" s="269"/>
      <c r="AL18" s="269"/>
      <c r="AM18" s="269"/>
      <c r="AN18" s="269"/>
      <c r="AO18" s="252"/>
      <c r="AP18" s="252"/>
      <c r="AQ18" s="252"/>
      <c r="AR18" s="252"/>
      <c r="AS18" s="252"/>
      <c r="AT18" s="252"/>
      <c r="AU18" s="252"/>
      <c r="AV18" s="252"/>
      <c r="AW18" s="252"/>
      <c r="AX18" s="252"/>
    </row>
    <row r="19" spans="1:50" s="4" customFormat="1">
      <c r="A19" s="252"/>
      <c r="B19" s="252"/>
      <c r="C19" s="252"/>
      <c r="D19" s="252"/>
      <c r="E19" s="252"/>
      <c r="F19" s="252"/>
      <c r="G19" s="252"/>
      <c r="H19" s="252"/>
      <c r="I19" s="252"/>
      <c r="J19" s="269"/>
      <c r="K19" s="269"/>
      <c r="L19" s="269"/>
      <c r="M19" s="269"/>
      <c r="N19" s="269"/>
      <c r="O19" s="269"/>
      <c r="P19" s="269"/>
      <c r="Q19" s="269"/>
      <c r="R19" s="269"/>
      <c r="S19" s="252"/>
      <c r="T19" s="252"/>
      <c r="U19" s="252"/>
      <c r="V19" s="269"/>
      <c r="W19" s="269"/>
      <c r="X19" s="269"/>
      <c r="Y19" s="269"/>
      <c r="Z19" s="269"/>
      <c r="AA19" s="269"/>
      <c r="AB19" s="269"/>
      <c r="AC19" s="269"/>
      <c r="AD19" s="269"/>
      <c r="AE19" s="269"/>
      <c r="AF19" s="269"/>
      <c r="AG19" s="269"/>
      <c r="AH19" s="269"/>
      <c r="AI19" s="269"/>
      <c r="AJ19" s="252"/>
      <c r="AK19" s="269"/>
      <c r="AL19" s="269"/>
      <c r="AM19" s="269"/>
      <c r="AN19" s="269"/>
      <c r="AO19" s="252"/>
      <c r="AP19" s="252"/>
      <c r="AQ19" s="252"/>
      <c r="AR19" s="252"/>
      <c r="AS19" s="252"/>
      <c r="AT19" s="252"/>
      <c r="AU19" s="252"/>
      <c r="AV19" s="252"/>
      <c r="AW19" s="252"/>
      <c r="AX19" s="252"/>
    </row>
    <row r="20" spans="1:50" s="4" customFormat="1">
      <c r="A20" s="252"/>
      <c r="B20" s="252"/>
      <c r="C20" s="252"/>
      <c r="D20" s="252"/>
      <c r="E20" s="252"/>
      <c r="F20" s="252"/>
      <c r="G20" s="252"/>
      <c r="H20" s="252"/>
      <c r="I20" s="252"/>
      <c r="J20" s="269"/>
      <c r="K20" s="269"/>
      <c r="L20" s="269"/>
      <c r="M20" s="269"/>
      <c r="N20" s="269"/>
      <c r="O20" s="269"/>
      <c r="P20" s="269"/>
      <c r="Q20" s="269"/>
      <c r="R20" s="269"/>
      <c r="S20" s="252"/>
      <c r="T20" s="252"/>
      <c r="U20" s="252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9"/>
      <c r="AG20" s="269"/>
      <c r="AH20" s="269"/>
      <c r="AI20" s="269"/>
      <c r="AJ20" s="252"/>
      <c r="AK20" s="269"/>
      <c r="AL20" s="269"/>
      <c r="AM20" s="269"/>
      <c r="AN20" s="269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</row>
    <row r="21" spans="1:50" s="4" customFormat="1">
      <c r="A21" s="252"/>
      <c r="B21" s="252"/>
      <c r="C21" s="252"/>
      <c r="D21" s="252"/>
      <c r="E21" s="252"/>
      <c r="F21" s="252"/>
      <c r="G21" s="252"/>
      <c r="H21" s="252"/>
      <c r="I21" s="252"/>
      <c r="J21" s="269"/>
      <c r="K21" s="269"/>
      <c r="L21" s="269"/>
      <c r="M21" s="269"/>
      <c r="N21" s="269"/>
      <c r="O21" s="269"/>
      <c r="P21" s="269"/>
      <c r="Q21" s="269"/>
      <c r="R21" s="269"/>
      <c r="S21" s="252"/>
      <c r="T21" s="252"/>
      <c r="U21" s="252"/>
      <c r="V21" s="269"/>
      <c r="W21" s="269"/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52"/>
      <c r="AK21" s="269"/>
      <c r="AL21" s="269"/>
      <c r="AM21" s="269"/>
      <c r="AN21" s="269"/>
      <c r="AO21" s="252"/>
      <c r="AP21" s="252"/>
      <c r="AQ21" s="252"/>
      <c r="AR21" s="252"/>
      <c r="AS21" s="252"/>
      <c r="AT21" s="252"/>
      <c r="AU21" s="252"/>
      <c r="AV21" s="252"/>
      <c r="AW21" s="252"/>
      <c r="AX21" s="252"/>
    </row>
    <row r="22" spans="1:50" s="4" customFormat="1">
      <c r="A22" s="252"/>
      <c r="B22" s="252"/>
      <c r="C22" s="252"/>
      <c r="D22" s="252"/>
      <c r="E22" s="252"/>
      <c r="F22" s="252"/>
      <c r="G22" s="252"/>
      <c r="H22" s="252"/>
      <c r="I22" s="252"/>
      <c r="J22" s="269"/>
      <c r="K22" s="269"/>
      <c r="L22" s="269"/>
      <c r="M22" s="269"/>
      <c r="N22" s="269"/>
      <c r="O22" s="269"/>
      <c r="P22" s="269"/>
      <c r="Q22" s="269"/>
      <c r="R22" s="269"/>
      <c r="S22" s="252"/>
      <c r="T22" s="252"/>
      <c r="U22" s="252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52"/>
      <c r="AK22" s="269"/>
      <c r="AL22" s="269"/>
      <c r="AM22" s="269"/>
      <c r="AN22" s="269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</row>
    <row r="23" spans="1:50" s="4" customFormat="1">
      <c r="A23" s="252"/>
      <c r="B23" s="252"/>
      <c r="C23" s="252"/>
      <c r="D23" s="252"/>
      <c r="E23" s="252"/>
      <c r="F23" s="252"/>
      <c r="G23" s="252"/>
      <c r="H23" s="252"/>
      <c r="I23" s="252"/>
      <c r="J23" s="269"/>
      <c r="K23" s="269"/>
      <c r="L23" s="269"/>
      <c r="M23" s="269"/>
      <c r="N23" s="269"/>
      <c r="O23" s="269"/>
      <c r="P23" s="269"/>
      <c r="Q23" s="269"/>
      <c r="R23" s="269"/>
      <c r="S23" s="252"/>
      <c r="T23" s="252"/>
      <c r="U23" s="252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52"/>
      <c r="AK23" s="269"/>
      <c r="AL23" s="269"/>
      <c r="AM23" s="269"/>
      <c r="AN23" s="269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</row>
    <row r="24" spans="1:50" s="4" customFormat="1">
      <c r="A24" s="252"/>
      <c r="B24" s="252"/>
      <c r="C24" s="252"/>
      <c r="D24" s="252"/>
      <c r="E24" s="252"/>
      <c r="F24" s="252"/>
      <c r="G24" s="252"/>
      <c r="H24" s="252"/>
      <c r="I24" s="252"/>
      <c r="J24" s="269"/>
      <c r="K24" s="269"/>
      <c r="L24" s="269"/>
      <c r="M24" s="269"/>
      <c r="N24" s="269"/>
      <c r="O24" s="269"/>
      <c r="P24" s="269"/>
      <c r="Q24" s="269"/>
      <c r="R24" s="269"/>
      <c r="S24" s="252"/>
      <c r="T24" s="252"/>
      <c r="U24" s="252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52"/>
      <c r="AK24" s="269"/>
      <c r="AL24" s="269"/>
      <c r="AM24" s="269"/>
      <c r="AN24" s="269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</row>
    <row r="25" spans="1:50" s="4" customFormat="1">
      <c r="A25" s="252"/>
      <c r="B25" s="252"/>
      <c r="C25" s="252"/>
      <c r="D25" s="252"/>
      <c r="E25" s="252"/>
      <c r="F25" s="252"/>
      <c r="G25" s="252"/>
      <c r="H25" s="252"/>
      <c r="I25" s="252"/>
      <c r="J25" s="269"/>
      <c r="K25" s="269"/>
      <c r="L25" s="269"/>
      <c r="M25" s="269"/>
      <c r="N25" s="269"/>
      <c r="O25" s="269"/>
      <c r="P25" s="269"/>
      <c r="Q25" s="269"/>
      <c r="R25" s="269"/>
      <c r="S25" s="252"/>
      <c r="T25" s="252"/>
      <c r="U25" s="252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52"/>
      <c r="AK25" s="269"/>
      <c r="AL25" s="269"/>
      <c r="AM25" s="269"/>
      <c r="AN25" s="269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</row>
    <row r="26" spans="1:50" s="4" customFormat="1">
      <c r="A26" s="252"/>
      <c r="B26" s="252"/>
      <c r="C26" s="252"/>
      <c r="D26" s="252"/>
      <c r="E26" s="252"/>
      <c r="F26" s="252"/>
      <c r="G26" s="252"/>
      <c r="H26" s="252"/>
      <c r="I26" s="252"/>
      <c r="J26" s="269"/>
      <c r="K26" s="269"/>
      <c r="L26" s="269"/>
      <c r="M26" s="269"/>
      <c r="N26" s="269"/>
      <c r="O26" s="269"/>
      <c r="P26" s="269"/>
      <c r="Q26" s="269"/>
      <c r="R26" s="269"/>
      <c r="S26" s="252"/>
      <c r="T26" s="252"/>
      <c r="U26" s="252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9"/>
      <c r="AG26" s="269"/>
      <c r="AH26" s="269"/>
      <c r="AI26" s="269"/>
      <c r="AJ26" s="252"/>
      <c r="AK26" s="269"/>
      <c r="AL26" s="269"/>
      <c r="AM26" s="269"/>
      <c r="AN26" s="269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</row>
    <row r="27" spans="1:50" s="4" customFormat="1">
      <c r="A27" s="252"/>
      <c r="B27" s="252"/>
      <c r="C27" s="252"/>
      <c r="D27" s="252"/>
      <c r="E27" s="252"/>
      <c r="F27" s="252"/>
      <c r="G27" s="252"/>
      <c r="H27" s="252"/>
      <c r="I27" s="252"/>
      <c r="J27" s="269"/>
      <c r="K27" s="269"/>
      <c r="L27" s="269"/>
      <c r="M27" s="269"/>
      <c r="N27" s="269"/>
      <c r="O27" s="269"/>
      <c r="P27" s="269"/>
      <c r="Q27" s="269"/>
      <c r="R27" s="269"/>
      <c r="S27" s="252"/>
      <c r="T27" s="252"/>
      <c r="U27" s="252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52"/>
      <c r="AK27" s="269"/>
      <c r="AL27" s="269"/>
      <c r="AM27" s="269"/>
      <c r="AN27" s="269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</row>
    <row r="28" spans="1:50" s="4" customFormat="1">
      <c r="A28" s="252"/>
      <c r="B28" s="252"/>
      <c r="C28" s="252"/>
      <c r="D28" s="252"/>
      <c r="E28" s="252"/>
      <c r="F28" s="252"/>
      <c r="G28" s="252"/>
      <c r="H28" s="252"/>
      <c r="I28" s="252"/>
      <c r="J28" s="269"/>
      <c r="K28" s="269"/>
      <c r="L28" s="269"/>
      <c r="M28" s="269"/>
      <c r="N28" s="269"/>
      <c r="O28" s="269"/>
      <c r="P28" s="269"/>
      <c r="Q28" s="269"/>
      <c r="R28" s="269"/>
      <c r="S28" s="252"/>
      <c r="T28" s="252"/>
      <c r="U28" s="252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69"/>
      <c r="AH28" s="269"/>
      <c r="AI28" s="269"/>
      <c r="AJ28" s="252"/>
      <c r="AK28" s="269"/>
      <c r="AL28" s="269"/>
      <c r="AM28" s="269"/>
      <c r="AN28" s="269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</row>
    <row r="29" spans="1:50" s="4" customFormat="1">
      <c r="A29" s="252"/>
      <c r="B29" s="252"/>
      <c r="C29" s="252"/>
      <c r="D29" s="252"/>
      <c r="E29" s="252"/>
      <c r="F29" s="252"/>
      <c r="G29" s="252"/>
      <c r="H29" s="252"/>
      <c r="I29" s="252"/>
      <c r="J29" s="269"/>
      <c r="K29" s="269"/>
      <c r="L29" s="269"/>
      <c r="M29" s="269"/>
      <c r="N29" s="269"/>
      <c r="O29" s="269"/>
      <c r="P29" s="269"/>
      <c r="Q29" s="269"/>
      <c r="R29" s="269"/>
      <c r="S29" s="252"/>
      <c r="T29" s="252"/>
      <c r="U29" s="252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  <c r="AJ29" s="252"/>
      <c r="AK29" s="269"/>
      <c r="AL29" s="269"/>
      <c r="AM29" s="269"/>
      <c r="AN29" s="269"/>
      <c r="AO29" s="252"/>
      <c r="AP29" s="252"/>
      <c r="AQ29" s="252"/>
      <c r="AR29" s="252"/>
      <c r="AS29" s="252"/>
      <c r="AT29" s="252"/>
      <c r="AU29" s="252"/>
      <c r="AV29" s="252"/>
      <c r="AW29" s="252"/>
      <c r="AX29" s="252"/>
    </row>
    <row r="30" spans="1:50" s="4" customFormat="1">
      <c r="A30" s="252"/>
      <c r="B30" s="252"/>
      <c r="C30" s="252"/>
      <c r="D30" s="252"/>
      <c r="E30" s="252"/>
      <c r="F30" s="252"/>
      <c r="G30" s="252"/>
      <c r="H30" s="252"/>
      <c r="I30" s="252"/>
      <c r="J30" s="269"/>
      <c r="K30" s="269"/>
      <c r="L30" s="269"/>
      <c r="M30" s="269"/>
      <c r="N30" s="269"/>
      <c r="O30" s="269"/>
      <c r="P30" s="269"/>
      <c r="Q30" s="269"/>
      <c r="R30" s="269"/>
      <c r="S30" s="252"/>
      <c r="T30" s="252"/>
      <c r="U30" s="252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52"/>
      <c r="AK30" s="269"/>
      <c r="AL30" s="269"/>
      <c r="AM30" s="269"/>
      <c r="AN30" s="269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</row>
    <row r="31" spans="1:50" s="4" customFormat="1">
      <c r="A31" s="252"/>
      <c r="B31" s="252"/>
      <c r="C31" s="252"/>
      <c r="D31" s="252"/>
      <c r="E31" s="252"/>
      <c r="F31" s="252"/>
      <c r="G31" s="252"/>
      <c r="H31" s="252"/>
      <c r="I31" s="252"/>
      <c r="J31" s="269"/>
      <c r="K31" s="269"/>
      <c r="L31" s="269"/>
      <c r="M31" s="269"/>
      <c r="N31" s="269"/>
      <c r="O31" s="269"/>
      <c r="P31" s="269"/>
      <c r="Q31" s="269"/>
      <c r="R31" s="269"/>
      <c r="S31" s="252"/>
      <c r="T31" s="252"/>
      <c r="U31" s="252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69"/>
      <c r="AG31" s="269"/>
      <c r="AH31" s="269"/>
      <c r="AI31" s="269"/>
      <c r="AJ31" s="252"/>
      <c r="AK31" s="269"/>
      <c r="AL31" s="269"/>
      <c r="AM31" s="269"/>
      <c r="AN31" s="269"/>
      <c r="AO31" s="252"/>
      <c r="AP31" s="252"/>
      <c r="AQ31" s="252"/>
      <c r="AR31" s="252"/>
      <c r="AS31" s="252"/>
      <c r="AT31" s="252"/>
      <c r="AU31" s="252"/>
      <c r="AV31" s="252"/>
      <c r="AW31" s="252"/>
      <c r="AX31" s="252"/>
    </row>
    <row r="32" spans="1:50" s="4" customFormat="1">
      <c r="A32" s="252"/>
      <c r="B32" s="252"/>
      <c r="C32" s="252"/>
      <c r="D32" s="252"/>
      <c r="E32" s="252"/>
      <c r="F32" s="252"/>
      <c r="G32" s="252"/>
      <c r="H32" s="252"/>
      <c r="I32" s="252"/>
      <c r="J32" s="269"/>
      <c r="K32" s="269"/>
      <c r="L32" s="269"/>
      <c r="M32" s="269"/>
      <c r="N32" s="269"/>
      <c r="O32" s="269"/>
      <c r="P32" s="269"/>
      <c r="Q32" s="269"/>
      <c r="R32" s="269"/>
      <c r="S32" s="252"/>
      <c r="T32" s="252"/>
      <c r="U32" s="252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52"/>
      <c r="AK32" s="269"/>
      <c r="AL32" s="269"/>
      <c r="AM32" s="269"/>
      <c r="AN32" s="269"/>
      <c r="AO32" s="252"/>
      <c r="AP32" s="252"/>
      <c r="AQ32" s="252"/>
      <c r="AR32" s="252"/>
      <c r="AS32" s="252"/>
      <c r="AT32" s="252"/>
      <c r="AU32" s="252"/>
      <c r="AV32" s="252"/>
      <c r="AW32" s="252"/>
      <c r="AX32" s="252"/>
    </row>
    <row r="33" spans="1:50" s="4" customFormat="1">
      <c r="A33" s="252"/>
      <c r="B33" s="252"/>
      <c r="C33" s="252"/>
      <c r="D33" s="252"/>
      <c r="E33" s="252"/>
      <c r="F33" s="252"/>
      <c r="G33" s="252"/>
      <c r="H33" s="252"/>
      <c r="I33" s="252"/>
      <c r="J33" s="269"/>
      <c r="K33" s="269"/>
      <c r="L33" s="269"/>
      <c r="M33" s="269"/>
      <c r="N33" s="269"/>
      <c r="O33" s="269"/>
      <c r="P33" s="269"/>
      <c r="Q33" s="269"/>
      <c r="R33" s="269"/>
      <c r="S33" s="252"/>
      <c r="T33" s="252"/>
      <c r="U33" s="252"/>
      <c r="V33" s="269"/>
      <c r="W33" s="269"/>
      <c r="X33" s="269"/>
      <c r="Y33" s="269"/>
      <c r="Z33" s="269"/>
      <c r="AA33" s="269"/>
      <c r="AB33" s="269"/>
      <c r="AC33" s="269"/>
      <c r="AD33" s="269"/>
      <c r="AE33" s="269"/>
      <c r="AF33" s="269"/>
      <c r="AG33" s="269"/>
      <c r="AH33" s="269"/>
      <c r="AI33" s="269"/>
      <c r="AJ33" s="252"/>
      <c r="AK33" s="269"/>
      <c r="AL33" s="269"/>
      <c r="AM33" s="269"/>
      <c r="AN33" s="269"/>
      <c r="AO33" s="252"/>
      <c r="AP33" s="252"/>
      <c r="AQ33" s="252"/>
      <c r="AR33" s="252"/>
      <c r="AS33" s="252"/>
      <c r="AT33" s="252"/>
      <c r="AU33" s="252"/>
      <c r="AV33" s="252"/>
      <c r="AW33" s="252"/>
      <c r="AX33" s="252"/>
    </row>
    <row r="34" spans="1:50" s="4" customFormat="1">
      <c r="A34" s="252"/>
      <c r="B34" s="252"/>
      <c r="C34" s="252"/>
      <c r="D34" s="252"/>
      <c r="E34" s="252"/>
      <c r="F34" s="252"/>
      <c r="G34" s="252"/>
      <c r="H34" s="252"/>
      <c r="I34" s="252"/>
      <c r="J34" s="269"/>
      <c r="K34" s="269"/>
      <c r="L34" s="269"/>
      <c r="M34" s="269"/>
      <c r="N34" s="269"/>
      <c r="O34" s="269"/>
      <c r="P34" s="269"/>
      <c r="Q34" s="269"/>
      <c r="R34" s="269"/>
      <c r="S34" s="252"/>
      <c r="T34" s="252"/>
      <c r="U34" s="252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52"/>
      <c r="AK34" s="269"/>
      <c r="AL34" s="269"/>
      <c r="AM34" s="269"/>
      <c r="AN34" s="269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</row>
    <row r="35" spans="1:50" s="4" customFormat="1">
      <c r="A35" s="252"/>
      <c r="B35" s="252"/>
      <c r="C35" s="252"/>
      <c r="D35" s="252"/>
      <c r="E35" s="252"/>
      <c r="F35" s="252"/>
      <c r="G35" s="252"/>
      <c r="H35" s="252"/>
      <c r="I35" s="252"/>
      <c r="J35" s="269"/>
      <c r="K35" s="269"/>
      <c r="L35" s="269"/>
      <c r="M35" s="269"/>
      <c r="N35" s="269"/>
      <c r="O35" s="269"/>
      <c r="P35" s="269"/>
      <c r="Q35" s="269"/>
      <c r="R35" s="269"/>
      <c r="S35" s="252"/>
      <c r="T35" s="252"/>
      <c r="U35" s="252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69"/>
      <c r="AG35" s="269"/>
      <c r="AH35" s="269"/>
      <c r="AI35" s="269"/>
      <c r="AJ35" s="252"/>
      <c r="AK35" s="269"/>
      <c r="AL35" s="269"/>
      <c r="AM35" s="269"/>
      <c r="AN35" s="269"/>
      <c r="AO35" s="252"/>
      <c r="AP35" s="252"/>
      <c r="AQ35" s="252"/>
      <c r="AR35" s="252"/>
      <c r="AS35" s="252"/>
      <c r="AT35" s="252"/>
      <c r="AU35" s="252"/>
      <c r="AV35" s="252"/>
      <c r="AW35" s="252"/>
      <c r="AX35" s="252"/>
    </row>
    <row r="36" spans="1:50" s="4" customFormat="1">
      <c r="A36" s="252"/>
      <c r="B36" s="252"/>
      <c r="C36" s="252"/>
      <c r="D36" s="252"/>
      <c r="E36" s="252"/>
      <c r="F36" s="252"/>
      <c r="G36" s="252"/>
      <c r="H36" s="252"/>
      <c r="I36" s="252"/>
      <c r="J36" s="269"/>
      <c r="K36" s="269"/>
      <c r="L36" s="269"/>
      <c r="M36" s="269"/>
      <c r="N36" s="269"/>
      <c r="O36" s="269"/>
      <c r="P36" s="269"/>
      <c r="Q36" s="269"/>
      <c r="R36" s="269"/>
      <c r="S36" s="252"/>
      <c r="T36" s="252"/>
      <c r="U36" s="252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  <c r="AJ36" s="252"/>
      <c r="AK36" s="269"/>
      <c r="AL36" s="269"/>
      <c r="AM36" s="269"/>
      <c r="AN36" s="269"/>
      <c r="AO36" s="252"/>
      <c r="AP36" s="252"/>
      <c r="AQ36" s="252"/>
      <c r="AR36" s="252"/>
      <c r="AS36" s="252"/>
      <c r="AT36" s="252"/>
      <c r="AU36" s="252"/>
      <c r="AV36" s="252"/>
      <c r="AW36" s="252"/>
      <c r="AX36" s="252"/>
    </row>
    <row r="37" spans="1:50" s="4" customFormat="1">
      <c r="A37" s="252"/>
      <c r="B37" s="252"/>
      <c r="C37" s="252"/>
      <c r="D37" s="252"/>
      <c r="E37" s="252"/>
      <c r="F37" s="252"/>
      <c r="G37" s="252"/>
      <c r="H37" s="252"/>
      <c r="I37" s="252"/>
      <c r="J37" s="269"/>
      <c r="K37" s="269"/>
      <c r="L37" s="269"/>
      <c r="M37" s="269"/>
      <c r="N37" s="269"/>
      <c r="O37" s="269"/>
      <c r="P37" s="269"/>
      <c r="Q37" s="269"/>
      <c r="R37" s="269"/>
      <c r="S37" s="252"/>
      <c r="T37" s="252"/>
      <c r="U37" s="252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69"/>
      <c r="AG37" s="269"/>
      <c r="AH37" s="269"/>
      <c r="AI37" s="269"/>
      <c r="AJ37" s="252"/>
      <c r="AK37" s="269"/>
      <c r="AL37" s="269"/>
      <c r="AM37" s="269"/>
      <c r="AN37" s="269"/>
      <c r="AO37" s="252"/>
      <c r="AP37" s="252"/>
      <c r="AQ37" s="252"/>
      <c r="AR37" s="252"/>
      <c r="AS37" s="252"/>
      <c r="AT37" s="252"/>
      <c r="AU37" s="252"/>
      <c r="AV37" s="252"/>
      <c r="AW37" s="252"/>
      <c r="AX37" s="252"/>
    </row>
    <row r="38" spans="1:50" s="4" customFormat="1">
      <c r="A38" s="252"/>
      <c r="B38" s="252"/>
      <c r="C38" s="252"/>
      <c r="D38" s="252"/>
      <c r="E38" s="252"/>
      <c r="F38" s="252"/>
      <c r="G38" s="252"/>
      <c r="H38" s="252"/>
      <c r="I38" s="252"/>
      <c r="J38" s="269"/>
      <c r="K38" s="269"/>
      <c r="L38" s="269"/>
      <c r="M38" s="269"/>
      <c r="N38" s="269"/>
      <c r="O38" s="269"/>
      <c r="P38" s="269"/>
      <c r="Q38" s="269"/>
      <c r="R38" s="269"/>
      <c r="S38" s="252"/>
      <c r="T38" s="252"/>
      <c r="U38" s="252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52"/>
      <c r="AK38" s="269"/>
      <c r="AL38" s="269"/>
      <c r="AM38" s="269"/>
      <c r="AN38" s="269"/>
      <c r="AO38" s="252"/>
      <c r="AP38" s="252"/>
      <c r="AQ38" s="252"/>
      <c r="AR38" s="252"/>
      <c r="AS38" s="252"/>
      <c r="AT38" s="252"/>
      <c r="AU38" s="252"/>
      <c r="AV38" s="252"/>
      <c r="AW38" s="252"/>
      <c r="AX38" s="252"/>
    </row>
    <row r="39" spans="1:50" s="4" customFormat="1">
      <c r="A39" s="252"/>
      <c r="B39" s="252"/>
      <c r="C39" s="252"/>
      <c r="D39" s="252"/>
      <c r="E39" s="252"/>
      <c r="F39" s="252"/>
      <c r="G39" s="252"/>
      <c r="H39" s="252"/>
      <c r="I39" s="252"/>
      <c r="J39" s="269"/>
      <c r="K39" s="269"/>
      <c r="L39" s="269"/>
      <c r="M39" s="269"/>
      <c r="N39" s="269"/>
      <c r="O39" s="269"/>
      <c r="P39" s="269"/>
      <c r="Q39" s="269"/>
      <c r="R39" s="269"/>
      <c r="S39" s="252"/>
      <c r="T39" s="252"/>
      <c r="U39" s="252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52"/>
      <c r="AK39" s="269"/>
      <c r="AL39" s="269"/>
      <c r="AM39" s="269"/>
      <c r="AN39" s="269"/>
      <c r="AO39" s="252"/>
      <c r="AP39" s="252"/>
      <c r="AQ39" s="252"/>
      <c r="AR39" s="252"/>
      <c r="AS39" s="252"/>
      <c r="AT39" s="252"/>
      <c r="AU39" s="252"/>
      <c r="AV39" s="252"/>
      <c r="AW39" s="252"/>
      <c r="AX39" s="252"/>
    </row>
    <row r="40" spans="1:50" s="4" customFormat="1">
      <c r="A40" s="252"/>
      <c r="B40" s="252"/>
      <c r="C40" s="252"/>
      <c r="D40" s="252"/>
      <c r="E40" s="252"/>
      <c r="F40" s="252"/>
      <c r="G40" s="252"/>
      <c r="H40" s="252"/>
      <c r="I40" s="252"/>
      <c r="J40" s="269"/>
      <c r="K40" s="269"/>
      <c r="L40" s="269"/>
      <c r="M40" s="269"/>
      <c r="N40" s="269"/>
      <c r="O40" s="269"/>
      <c r="P40" s="269"/>
      <c r="Q40" s="269"/>
      <c r="R40" s="269"/>
      <c r="S40" s="252"/>
      <c r="T40" s="252"/>
      <c r="U40" s="252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52"/>
      <c r="AK40" s="269"/>
      <c r="AL40" s="269"/>
      <c r="AM40" s="269"/>
      <c r="AN40" s="269"/>
      <c r="AO40" s="252"/>
      <c r="AP40" s="252"/>
      <c r="AQ40" s="252"/>
      <c r="AR40" s="252"/>
      <c r="AS40" s="252"/>
      <c r="AT40" s="252"/>
      <c r="AU40" s="252"/>
      <c r="AV40" s="252"/>
      <c r="AW40" s="252"/>
      <c r="AX40" s="252"/>
    </row>
    <row r="41" spans="1:50" s="4" customFormat="1">
      <c r="A41" s="252"/>
      <c r="B41" s="252"/>
      <c r="C41" s="252"/>
      <c r="D41" s="252"/>
      <c r="E41" s="252"/>
      <c r="F41" s="252"/>
      <c r="G41" s="252"/>
      <c r="H41" s="252"/>
      <c r="I41" s="252"/>
      <c r="J41" s="269"/>
      <c r="K41" s="269"/>
      <c r="L41" s="269"/>
      <c r="M41" s="269"/>
      <c r="N41" s="269"/>
      <c r="O41" s="269"/>
      <c r="P41" s="269"/>
      <c r="Q41" s="269"/>
      <c r="R41" s="269"/>
      <c r="S41" s="252"/>
      <c r="T41" s="252"/>
      <c r="U41" s="252"/>
      <c r="V41" s="269"/>
      <c r="W41" s="269"/>
      <c r="X41" s="269"/>
      <c r="Y41" s="269"/>
      <c r="Z41" s="269"/>
      <c r="AA41" s="269"/>
      <c r="AB41" s="269"/>
      <c r="AC41" s="269"/>
      <c r="AD41" s="269"/>
      <c r="AE41" s="269"/>
      <c r="AF41" s="269"/>
      <c r="AG41" s="269"/>
      <c r="AH41" s="269"/>
      <c r="AI41" s="269"/>
      <c r="AJ41" s="252"/>
      <c r="AK41" s="269"/>
      <c r="AL41" s="269"/>
      <c r="AM41" s="269"/>
      <c r="AN41" s="269"/>
      <c r="AO41" s="252"/>
      <c r="AP41" s="252"/>
      <c r="AQ41" s="252"/>
      <c r="AR41" s="252"/>
      <c r="AS41" s="252"/>
      <c r="AT41" s="252"/>
      <c r="AU41" s="252"/>
      <c r="AV41" s="252"/>
      <c r="AW41" s="252"/>
      <c r="AX41" s="252"/>
    </row>
    <row r="42" spans="1:50" s="4" customFormat="1">
      <c r="A42" s="252"/>
      <c r="B42" s="252"/>
      <c r="C42" s="252"/>
      <c r="D42" s="252"/>
      <c r="E42" s="252"/>
      <c r="F42" s="252"/>
      <c r="G42" s="252"/>
      <c r="H42" s="252"/>
      <c r="I42" s="252"/>
      <c r="J42" s="269"/>
      <c r="K42" s="269"/>
      <c r="L42" s="269"/>
      <c r="M42" s="269"/>
      <c r="N42" s="269"/>
      <c r="O42" s="269"/>
      <c r="P42" s="269"/>
      <c r="Q42" s="269"/>
      <c r="R42" s="269"/>
      <c r="S42" s="252"/>
      <c r="T42" s="252"/>
      <c r="U42" s="252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52"/>
      <c r="AK42" s="269"/>
      <c r="AL42" s="269"/>
      <c r="AM42" s="269"/>
      <c r="AN42" s="269"/>
      <c r="AO42" s="252"/>
      <c r="AP42" s="252"/>
      <c r="AQ42" s="252"/>
      <c r="AR42" s="252"/>
      <c r="AS42" s="252"/>
      <c r="AT42" s="252"/>
      <c r="AU42" s="252"/>
      <c r="AV42" s="252"/>
      <c r="AW42" s="252"/>
      <c r="AX42" s="252"/>
    </row>
    <row r="43" spans="1:50" s="4" customFormat="1">
      <c r="A43" s="252"/>
      <c r="B43" s="252"/>
      <c r="C43" s="252"/>
      <c r="D43" s="252"/>
      <c r="E43" s="252"/>
      <c r="F43" s="252"/>
      <c r="G43" s="252"/>
      <c r="H43" s="252"/>
      <c r="I43" s="252"/>
      <c r="J43" s="269"/>
      <c r="K43" s="269"/>
      <c r="L43" s="269"/>
      <c r="M43" s="269"/>
      <c r="N43" s="269"/>
      <c r="O43" s="269"/>
      <c r="P43" s="269"/>
      <c r="Q43" s="269"/>
      <c r="R43" s="269"/>
      <c r="S43" s="252"/>
      <c r="T43" s="252"/>
      <c r="U43" s="252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52"/>
      <c r="AK43" s="269"/>
      <c r="AL43" s="269"/>
      <c r="AM43" s="269"/>
      <c r="AN43" s="269"/>
      <c r="AO43" s="252"/>
      <c r="AP43" s="252"/>
      <c r="AQ43" s="252"/>
      <c r="AR43" s="252"/>
      <c r="AS43" s="252"/>
      <c r="AT43" s="252"/>
      <c r="AU43" s="252"/>
      <c r="AV43" s="252"/>
      <c r="AW43" s="252"/>
      <c r="AX43" s="252"/>
    </row>
    <row r="44" spans="1:50" s="4" customFormat="1">
      <c r="A44" s="252"/>
      <c r="B44" s="252"/>
      <c r="C44" s="252"/>
      <c r="D44" s="252"/>
      <c r="E44" s="252"/>
      <c r="F44" s="252"/>
      <c r="G44" s="252"/>
      <c r="H44" s="252"/>
      <c r="I44" s="252"/>
      <c r="J44" s="269"/>
      <c r="K44" s="269"/>
      <c r="L44" s="269"/>
      <c r="M44" s="269"/>
      <c r="N44" s="269"/>
      <c r="O44" s="269"/>
      <c r="P44" s="269"/>
      <c r="Q44" s="269"/>
      <c r="R44" s="269"/>
      <c r="S44" s="252"/>
      <c r="T44" s="252"/>
      <c r="U44" s="252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52"/>
      <c r="AK44" s="269"/>
      <c r="AL44" s="269"/>
      <c r="AM44" s="269"/>
      <c r="AN44" s="269"/>
      <c r="AO44" s="252"/>
      <c r="AP44" s="252"/>
      <c r="AQ44" s="252"/>
      <c r="AR44" s="252"/>
      <c r="AS44" s="252"/>
      <c r="AT44" s="252"/>
      <c r="AU44" s="252"/>
      <c r="AV44" s="252"/>
      <c r="AW44" s="252"/>
      <c r="AX44" s="252"/>
    </row>
    <row r="45" spans="1:50" s="4" customFormat="1">
      <c r="A45" s="252"/>
      <c r="B45" s="252"/>
      <c r="C45" s="252"/>
      <c r="D45" s="252"/>
      <c r="E45" s="252"/>
      <c r="F45" s="252"/>
      <c r="G45" s="252"/>
      <c r="H45" s="252"/>
      <c r="I45" s="252"/>
      <c r="J45" s="269"/>
      <c r="K45" s="269"/>
      <c r="L45" s="269"/>
      <c r="M45" s="269"/>
      <c r="N45" s="269"/>
      <c r="O45" s="269"/>
      <c r="P45" s="269"/>
      <c r="Q45" s="269"/>
      <c r="R45" s="269"/>
      <c r="S45" s="252"/>
      <c r="T45" s="252"/>
      <c r="U45" s="252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69"/>
      <c r="AI45" s="269"/>
      <c r="AJ45" s="252"/>
      <c r="AK45" s="269"/>
      <c r="AL45" s="269"/>
      <c r="AM45" s="269"/>
      <c r="AN45" s="269"/>
      <c r="AO45" s="252"/>
      <c r="AP45" s="252"/>
      <c r="AQ45" s="252"/>
      <c r="AR45" s="252"/>
      <c r="AS45" s="252"/>
      <c r="AT45" s="252"/>
      <c r="AU45" s="252"/>
      <c r="AV45" s="252"/>
      <c r="AW45" s="252"/>
      <c r="AX45" s="252"/>
    </row>
    <row r="46" spans="1:50" s="4" customFormat="1">
      <c r="A46" s="252"/>
      <c r="B46" s="252"/>
      <c r="C46" s="252"/>
      <c r="D46" s="252"/>
      <c r="E46" s="252"/>
      <c r="F46" s="252"/>
      <c r="G46" s="252"/>
      <c r="H46" s="252"/>
      <c r="I46" s="252"/>
      <c r="J46" s="269"/>
      <c r="K46" s="269"/>
      <c r="L46" s="269"/>
      <c r="M46" s="269"/>
      <c r="N46" s="269"/>
      <c r="O46" s="269"/>
      <c r="P46" s="269"/>
      <c r="Q46" s="269"/>
      <c r="R46" s="269"/>
      <c r="S46" s="252"/>
      <c r="T46" s="252"/>
      <c r="U46" s="252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52"/>
      <c r="AK46" s="269"/>
      <c r="AL46" s="269"/>
      <c r="AM46" s="269"/>
      <c r="AN46" s="269"/>
      <c r="AO46" s="252"/>
      <c r="AP46" s="252"/>
      <c r="AQ46" s="252"/>
      <c r="AR46" s="252"/>
      <c r="AS46" s="252"/>
      <c r="AT46" s="252"/>
      <c r="AU46" s="252"/>
      <c r="AV46" s="252"/>
      <c r="AW46" s="252"/>
      <c r="AX46" s="252"/>
    </row>
    <row r="47" spans="1:50" s="4" customFormat="1">
      <c r="A47" s="252"/>
      <c r="B47" s="252"/>
      <c r="C47" s="252"/>
      <c r="D47" s="252"/>
      <c r="E47" s="252"/>
      <c r="F47" s="252"/>
      <c r="G47" s="252"/>
      <c r="H47" s="252"/>
      <c r="I47" s="252"/>
      <c r="J47" s="269"/>
      <c r="K47" s="269"/>
      <c r="L47" s="269"/>
      <c r="M47" s="269"/>
      <c r="N47" s="269"/>
      <c r="O47" s="269"/>
      <c r="P47" s="269"/>
      <c r="Q47" s="269"/>
      <c r="R47" s="269"/>
      <c r="S47" s="252"/>
      <c r="T47" s="252"/>
      <c r="U47" s="252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52"/>
      <c r="AK47" s="269"/>
      <c r="AL47" s="269"/>
      <c r="AM47" s="269"/>
      <c r="AN47" s="269"/>
      <c r="AO47" s="252"/>
      <c r="AP47" s="252"/>
      <c r="AQ47" s="252"/>
      <c r="AR47" s="252"/>
      <c r="AS47" s="252"/>
      <c r="AT47" s="252"/>
      <c r="AU47" s="252"/>
      <c r="AV47" s="252"/>
      <c r="AW47" s="252"/>
      <c r="AX47" s="252"/>
    </row>
    <row r="48" spans="1:50" s="4" customFormat="1">
      <c r="A48" s="252"/>
      <c r="B48" s="252"/>
      <c r="C48" s="252"/>
      <c r="D48" s="252"/>
      <c r="E48" s="252"/>
      <c r="F48" s="252"/>
      <c r="G48" s="252"/>
      <c r="H48" s="252"/>
      <c r="I48" s="252"/>
      <c r="J48" s="269"/>
      <c r="K48" s="269"/>
      <c r="L48" s="269"/>
      <c r="M48" s="269"/>
      <c r="N48" s="269"/>
      <c r="O48" s="269"/>
      <c r="P48" s="269"/>
      <c r="Q48" s="269"/>
      <c r="R48" s="269"/>
      <c r="S48" s="252"/>
      <c r="T48" s="252"/>
      <c r="U48" s="252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52"/>
      <c r="AK48" s="269"/>
      <c r="AL48" s="269"/>
      <c r="AM48" s="269"/>
      <c r="AN48" s="269"/>
      <c r="AO48" s="252"/>
      <c r="AP48" s="252"/>
      <c r="AQ48" s="252"/>
      <c r="AR48" s="252"/>
      <c r="AS48" s="252"/>
      <c r="AT48" s="252"/>
      <c r="AU48" s="252"/>
      <c r="AV48" s="252"/>
      <c r="AW48" s="252"/>
      <c r="AX48" s="252"/>
    </row>
    <row r="49" spans="1:50" s="4" customFormat="1">
      <c r="A49" s="252"/>
      <c r="B49" s="252"/>
      <c r="C49" s="252"/>
      <c r="D49" s="252"/>
      <c r="E49" s="252"/>
      <c r="F49" s="252"/>
      <c r="G49" s="252"/>
      <c r="H49" s="252"/>
      <c r="I49" s="252"/>
      <c r="J49" s="269"/>
      <c r="K49" s="269"/>
      <c r="L49" s="269"/>
      <c r="M49" s="269"/>
      <c r="N49" s="269"/>
      <c r="O49" s="269"/>
      <c r="P49" s="269"/>
      <c r="Q49" s="269"/>
      <c r="R49" s="269"/>
      <c r="S49" s="252"/>
      <c r="T49" s="252"/>
      <c r="U49" s="252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52"/>
      <c r="AK49" s="269"/>
      <c r="AL49" s="269"/>
      <c r="AM49" s="269"/>
      <c r="AN49" s="269"/>
      <c r="AO49" s="252"/>
      <c r="AP49" s="252"/>
      <c r="AQ49" s="252"/>
      <c r="AR49" s="252"/>
      <c r="AS49" s="252"/>
      <c r="AT49" s="252"/>
      <c r="AU49" s="252"/>
      <c r="AV49" s="252"/>
      <c r="AW49" s="252"/>
      <c r="AX49" s="252"/>
    </row>
    <row r="50" spans="1:50" s="4" customFormat="1">
      <c r="A50" s="252"/>
      <c r="B50" s="252"/>
      <c r="C50" s="252"/>
      <c r="D50" s="252"/>
      <c r="E50" s="252"/>
      <c r="F50" s="252"/>
      <c r="G50" s="252"/>
      <c r="H50" s="252"/>
      <c r="I50" s="252"/>
      <c r="J50" s="269"/>
      <c r="K50" s="269"/>
      <c r="L50" s="269"/>
      <c r="M50" s="269"/>
      <c r="N50" s="269"/>
      <c r="O50" s="269"/>
      <c r="P50" s="269"/>
      <c r="Q50" s="269"/>
      <c r="R50" s="269"/>
      <c r="S50" s="252"/>
      <c r="T50" s="252"/>
      <c r="U50" s="252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  <c r="AJ50" s="252"/>
      <c r="AK50" s="269"/>
      <c r="AL50" s="269"/>
      <c r="AM50" s="269"/>
      <c r="AN50" s="269"/>
      <c r="AO50" s="252"/>
      <c r="AP50" s="252"/>
      <c r="AQ50" s="252"/>
      <c r="AR50" s="252"/>
      <c r="AS50" s="252"/>
      <c r="AT50" s="252"/>
      <c r="AU50" s="252"/>
      <c r="AV50" s="252"/>
      <c r="AW50" s="252"/>
      <c r="AX50" s="252"/>
    </row>
    <row r="51" spans="1:50" s="4" customFormat="1">
      <c r="A51" s="252"/>
      <c r="B51" s="252"/>
      <c r="C51" s="252"/>
      <c r="D51" s="252"/>
      <c r="E51" s="252"/>
      <c r="F51" s="252"/>
      <c r="G51" s="252"/>
      <c r="H51" s="252"/>
      <c r="I51" s="252"/>
      <c r="J51" s="269"/>
      <c r="K51" s="269"/>
      <c r="L51" s="269"/>
      <c r="M51" s="269"/>
      <c r="N51" s="269"/>
      <c r="O51" s="269"/>
      <c r="P51" s="269"/>
      <c r="Q51" s="269"/>
      <c r="R51" s="269"/>
      <c r="S51" s="252"/>
      <c r="T51" s="252"/>
      <c r="U51" s="252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  <c r="AJ51" s="252"/>
      <c r="AK51" s="269"/>
      <c r="AL51" s="269"/>
      <c r="AM51" s="269"/>
      <c r="AN51" s="269"/>
      <c r="AO51" s="252"/>
      <c r="AP51" s="252"/>
      <c r="AQ51" s="252"/>
      <c r="AR51" s="252"/>
      <c r="AS51" s="252"/>
      <c r="AT51" s="252"/>
      <c r="AU51" s="252"/>
      <c r="AV51" s="252"/>
      <c r="AW51" s="252"/>
      <c r="AX51" s="252"/>
    </row>
    <row r="52" spans="1:50" s="4" customFormat="1">
      <c r="A52" s="252"/>
      <c r="B52" s="252"/>
      <c r="C52" s="252"/>
      <c r="D52" s="252"/>
      <c r="E52" s="252"/>
      <c r="F52" s="252"/>
      <c r="G52" s="252"/>
      <c r="H52" s="252"/>
      <c r="I52" s="252"/>
      <c r="J52" s="269"/>
      <c r="K52" s="269"/>
      <c r="L52" s="269"/>
      <c r="M52" s="269"/>
      <c r="N52" s="269"/>
      <c r="O52" s="269"/>
      <c r="P52" s="269"/>
      <c r="Q52" s="269"/>
      <c r="R52" s="269"/>
      <c r="S52" s="252"/>
      <c r="T52" s="252"/>
      <c r="U52" s="252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52"/>
      <c r="AK52" s="269"/>
      <c r="AL52" s="269"/>
      <c r="AM52" s="269"/>
      <c r="AN52" s="269"/>
      <c r="AO52" s="252"/>
      <c r="AP52" s="252"/>
      <c r="AQ52" s="252"/>
      <c r="AR52" s="252"/>
      <c r="AS52" s="252"/>
      <c r="AT52" s="252"/>
      <c r="AU52" s="252"/>
      <c r="AV52" s="252"/>
      <c r="AW52" s="252"/>
      <c r="AX52" s="252"/>
    </row>
    <row r="53" spans="1:50" s="4" customFormat="1">
      <c r="A53" s="252"/>
      <c r="B53" s="252"/>
      <c r="C53" s="252"/>
      <c r="D53" s="252"/>
      <c r="E53" s="252"/>
      <c r="F53" s="252"/>
      <c r="G53" s="252"/>
      <c r="H53" s="252"/>
      <c r="I53" s="252"/>
      <c r="J53" s="269"/>
      <c r="K53" s="269"/>
      <c r="L53" s="269"/>
      <c r="M53" s="269"/>
      <c r="N53" s="269"/>
      <c r="O53" s="269"/>
      <c r="P53" s="269"/>
      <c r="Q53" s="269"/>
      <c r="R53" s="269"/>
      <c r="S53" s="252"/>
      <c r="T53" s="252"/>
      <c r="U53" s="252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52"/>
      <c r="AK53" s="269"/>
      <c r="AL53" s="269"/>
      <c r="AM53" s="269"/>
      <c r="AN53" s="269"/>
      <c r="AO53" s="252"/>
      <c r="AP53" s="252"/>
      <c r="AQ53" s="252"/>
      <c r="AR53" s="252"/>
      <c r="AS53" s="252"/>
      <c r="AT53" s="252"/>
      <c r="AU53" s="252"/>
      <c r="AV53" s="252"/>
      <c r="AW53" s="252"/>
      <c r="AX53" s="252"/>
    </row>
    <row r="54" spans="1:50" s="4" customFormat="1">
      <c r="A54" s="252"/>
      <c r="B54" s="252"/>
      <c r="C54" s="252"/>
      <c r="D54" s="252"/>
      <c r="E54" s="252"/>
      <c r="F54" s="252"/>
      <c r="G54" s="252"/>
      <c r="H54" s="252"/>
      <c r="I54" s="252"/>
      <c r="J54" s="269"/>
      <c r="K54" s="269"/>
      <c r="L54" s="269"/>
      <c r="M54" s="269"/>
      <c r="N54" s="269"/>
      <c r="O54" s="269"/>
      <c r="P54" s="269"/>
      <c r="Q54" s="269"/>
      <c r="R54" s="269"/>
      <c r="S54" s="252"/>
      <c r="T54" s="252"/>
      <c r="U54" s="252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52"/>
      <c r="AK54" s="269"/>
      <c r="AL54" s="269"/>
      <c r="AM54" s="269"/>
      <c r="AN54" s="269"/>
      <c r="AO54" s="252"/>
      <c r="AP54" s="252"/>
      <c r="AQ54" s="252"/>
      <c r="AR54" s="252"/>
      <c r="AS54" s="252"/>
      <c r="AT54" s="252"/>
      <c r="AU54" s="252"/>
      <c r="AV54" s="252"/>
      <c r="AW54" s="252"/>
      <c r="AX54" s="252"/>
    </row>
    <row r="55" spans="1:50" s="4" customFormat="1">
      <c r="A55" s="252"/>
      <c r="B55" s="252"/>
      <c r="C55" s="252"/>
      <c r="D55" s="252"/>
      <c r="E55" s="252"/>
      <c r="F55" s="252"/>
      <c r="G55" s="252"/>
      <c r="H55" s="252"/>
      <c r="I55" s="252"/>
      <c r="J55" s="269"/>
      <c r="K55" s="269"/>
      <c r="L55" s="269"/>
      <c r="M55" s="269"/>
      <c r="N55" s="269"/>
      <c r="O55" s="269"/>
      <c r="P55" s="269"/>
      <c r="Q55" s="269"/>
      <c r="R55" s="269"/>
      <c r="S55" s="252"/>
      <c r="T55" s="252"/>
      <c r="U55" s="252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52"/>
      <c r="AK55" s="269"/>
      <c r="AL55" s="269"/>
      <c r="AM55" s="269"/>
      <c r="AN55" s="269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</row>
    <row r="56" spans="1:50" s="4" customFormat="1">
      <c r="A56" s="252"/>
      <c r="B56" s="252"/>
      <c r="C56" s="252"/>
      <c r="D56" s="252"/>
      <c r="E56" s="252"/>
      <c r="F56" s="252"/>
      <c r="G56" s="252"/>
      <c r="H56" s="252"/>
      <c r="I56" s="252"/>
      <c r="J56" s="269"/>
      <c r="K56" s="269"/>
      <c r="L56" s="269"/>
      <c r="M56" s="269"/>
      <c r="N56" s="269"/>
      <c r="O56" s="269"/>
      <c r="P56" s="269"/>
      <c r="Q56" s="269"/>
      <c r="R56" s="269"/>
      <c r="S56" s="252"/>
      <c r="T56" s="252"/>
      <c r="U56" s="252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  <c r="AJ56" s="252"/>
      <c r="AK56" s="269"/>
      <c r="AL56" s="269"/>
      <c r="AM56" s="269"/>
      <c r="AN56" s="269"/>
      <c r="AO56" s="252"/>
      <c r="AP56" s="252"/>
      <c r="AQ56" s="252"/>
      <c r="AR56" s="252"/>
      <c r="AS56" s="252"/>
      <c r="AT56" s="252"/>
      <c r="AU56" s="252"/>
      <c r="AV56" s="252"/>
      <c r="AW56" s="252"/>
      <c r="AX56" s="252"/>
    </row>
    <row r="57" spans="1:50" s="4" customFormat="1">
      <c r="A57" s="252"/>
      <c r="B57" s="252"/>
      <c r="C57" s="252"/>
      <c r="D57" s="252"/>
      <c r="E57" s="252"/>
      <c r="F57" s="252"/>
      <c r="G57" s="252"/>
      <c r="H57" s="252"/>
      <c r="I57" s="252"/>
      <c r="J57" s="269"/>
      <c r="K57" s="269"/>
      <c r="L57" s="269"/>
      <c r="M57" s="269"/>
      <c r="N57" s="269"/>
      <c r="O57" s="269"/>
      <c r="P57" s="269"/>
      <c r="Q57" s="269"/>
      <c r="R57" s="269"/>
      <c r="S57" s="252"/>
      <c r="T57" s="252"/>
      <c r="U57" s="252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  <c r="AG57" s="269"/>
      <c r="AH57" s="269"/>
      <c r="AI57" s="269"/>
      <c r="AJ57" s="252"/>
      <c r="AK57" s="269"/>
      <c r="AL57" s="269"/>
      <c r="AM57" s="269"/>
      <c r="AN57" s="269"/>
      <c r="AO57" s="252"/>
      <c r="AP57" s="252"/>
      <c r="AQ57" s="252"/>
      <c r="AR57" s="252"/>
      <c r="AS57" s="252"/>
      <c r="AT57" s="252"/>
      <c r="AU57" s="252"/>
      <c r="AV57" s="252"/>
      <c r="AW57" s="252"/>
      <c r="AX57" s="252"/>
    </row>
    <row r="58" spans="1:50" s="4" customFormat="1">
      <c r="A58" s="252"/>
      <c r="B58" s="252"/>
      <c r="C58" s="252"/>
      <c r="D58" s="252"/>
      <c r="E58" s="252"/>
      <c r="F58" s="252"/>
      <c r="G58" s="252"/>
      <c r="H58" s="252"/>
      <c r="I58" s="252"/>
      <c r="J58" s="269"/>
      <c r="K58" s="269"/>
      <c r="L58" s="269"/>
      <c r="M58" s="269"/>
      <c r="N58" s="269"/>
      <c r="O58" s="269"/>
      <c r="P58" s="269"/>
      <c r="Q58" s="269"/>
      <c r="R58" s="269"/>
      <c r="S58" s="252"/>
      <c r="T58" s="252"/>
      <c r="U58" s="252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52"/>
      <c r="AK58" s="269"/>
      <c r="AL58" s="269"/>
      <c r="AM58" s="269"/>
      <c r="AN58" s="269"/>
      <c r="AO58" s="252"/>
      <c r="AP58" s="252"/>
      <c r="AQ58" s="252"/>
      <c r="AR58" s="252"/>
      <c r="AS58" s="252"/>
      <c r="AT58" s="252"/>
      <c r="AU58" s="252"/>
      <c r="AV58" s="252"/>
      <c r="AW58" s="252"/>
      <c r="AX58" s="252"/>
    </row>
    <row r="59" spans="1:50" s="4" customFormat="1">
      <c r="A59" s="252"/>
      <c r="B59" s="252"/>
      <c r="C59" s="252"/>
      <c r="D59" s="252"/>
      <c r="E59" s="252"/>
      <c r="F59" s="252"/>
      <c r="G59" s="252"/>
      <c r="H59" s="252"/>
      <c r="I59" s="252"/>
      <c r="J59" s="269"/>
      <c r="K59" s="269"/>
      <c r="L59" s="269"/>
      <c r="M59" s="269"/>
      <c r="N59" s="269"/>
      <c r="O59" s="269"/>
      <c r="P59" s="269"/>
      <c r="Q59" s="269"/>
      <c r="R59" s="269"/>
      <c r="S59" s="252"/>
      <c r="T59" s="252"/>
      <c r="U59" s="252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69"/>
      <c r="AG59" s="269"/>
      <c r="AH59" s="269"/>
      <c r="AI59" s="269"/>
      <c r="AJ59" s="252"/>
      <c r="AK59" s="269"/>
      <c r="AL59" s="269"/>
      <c r="AM59" s="269"/>
      <c r="AN59" s="269"/>
      <c r="AO59" s="252"/>
      <c r="AP59" s="252"/>
      <c r="AQ59" s="252"/>
      <c r="AR59" s="252"/>
      <c r="AS59" s="252"/>
      <c r="AT59" s="252"/>
      <c r="AU59" s="252"/>
      <c r="AV59" s="252"/>
      <c r="AW59" s="252"/>
      <c r="AX59" s="252"/>
    </row>
    <row r="60" spans="1:50" s="4" customFormat="1">
      <c r="A60" s="252"/>
      <c r="B60" s="252"/>
      <c r="C60" s="252"/>
      <c r="D60" s="252"/>
      <c r="E60" s="252"/>
      <c r="F60" s="252"/>
      <c r="G60" s="252"/>
      <c r="H60" s="252"/>
      <c r="I60" s="252"/>
      <c r="J60" s="269"/>
      <c r="K60" s="269"/>
      <c r="L60" s="269"/>
      <c r="M60" s="269"/>
      <c r="N60" s="269"/>
      <c r="O60" s="269"/>
      <c r="P60" s="269"/>
      <c r="Q60" s="269"/>
      <c r="R60" s="269"/>
      <c r="S60" s="252"/>
      <c r="T60" s="252"/>
      <c r="U60" s="252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  <c r="AJ60" s="252"/>
      <c r="AK60" s="269"/>
      <c r="AL60" s="269"/>
      <c r="AM60" s="269"/>
      <c r="AN60" s="269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</row>
    <row r="61" spans="1:50" s="4" customFormat="1">
      <c r="A61" s="252"/>
      <c r="B61" s="252"/>
      <c r="C61" s="252"/>
      <c r="D61" s="252"/>
      <c r="E61" s="252"/>
      <c r="F61" s="252"/>
      <c r="G61" s="252"/>
      <c r="H61" s="252"/>
      <c r="I61" s="252"/>
      <c r="J61" s="269"/>
      <c r="K61" s="269"/>
      <c r="L61" s="269"/>
      <c r="M61" s="269"/>
      <c r="N61" s="269"/>
      <c r="O61" s="269"/>
      <c r="P61" s="269"/>
      <c r="Q61" s="269"/>
      <c r="R61" s="269"/>
      <c r="S61" s="252"/>
      <c r="T61" s="252"/>
      <c r="U61" s="252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  <c r="AG61" s="269"/>
      <c r="AH61" s="269"/>
      <c r="AI61" s="269"/>
      <c r="AJ61" s="252"/>
      <c r="AK61" s="269"/>
      <c r="AL61" s="269"/>
      <c r="AM61" s="269"/>
      <c r="AN61" s="269"/>
      <c r="AO61" s="252"/>
      <c r="AP61" s="252"/>
      <c r="AQ61" s="252"/>
      <c r="AR61" s="252"/>
      <c r="AS61" s="252"/>
      <c r="AT61" s="252"/>
      <c r="AU61" s="252"/>
      <c r="AV61" s="252"/>
      <c r="AW61" s="252"/>
      <c r="AX61" s="252"/>
    </row>
    <row r="62" spans="1:50" s="4" customFormat="1">
      <c r="A62" s="252"/>
      <c r="B62" s="252"/>
      <c r="C62" s="252"/>
      <c r="D62" s="252"/>
      <c r="E62" s="252"/>
      <c r="F62" s="252"/>
      <c r="G62" s="252"/>
      <c r="H62" s="252"/>
      <c r="I62" s="252"/>
      <c r="J62" s="269"/>
      <c r="K62" s="269"/>
      <c r="L62" s="269"/>
      <c r="M62" s="269"/>
      <c r="N62" s="269"/>
      <c r="O62" s="269"/>
      <c r="P62" s="269"/>
      <c r="Q62" s="269"/>
      <c r="R62" s="269"/>
      <c r="S62" s="252"/>
      <c r="T62" s="252"/>
      <c r="U62" s="252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52"/>
      <c r="AK62" s="269"/>
      <c r="AL62" s="269"/>
      <c r="AM62" s="269"/>
      <c r="AN62" s="269"/>
      <c r="AO62" s="252"/>
      <c r="AP62" s="252"/>
      <c r="AQ62" s="252"/>
      <c r="AR62" s="252"/>
      <c r="AS62" s="252"/>
      <c r="AT62" s="252"/>
      <c r="AU62" s="252"/>
      <c r="AV62" s="252"/>
      <c r="AW62" s="252"/>
      <c r="AX62" s="252"/>
    </row>
    <row r="63" spans="1:50" s="4" customFormat="1">
      <c r="A63" s="252"/>
      <c r="B63" s="252"/>
      <c r="C63" s="252"/>
      <c r="D63" s="252"/>
      <c r="E63" s="252"/>
      <c r="F63" s="252"/>
      <c r="G63" s="252"/>
      <c r="H63" s="252"/>
      <c r="I63" s="252"/>
      <c r="J63" s="269"/>
      <c r="K63" s="269"/>
      <c r="L63" s="269"/>
      <c r="M63" s="269"/>
      <c r="N63" s="269"/>
      <c r="O63" s="269"/>
      <c r="P63" s="269"/>
      <c r="Q63" s="269"/>
      <c r="R63" s="269"/>
      <c r="S63" s="252"/>
      <c r="T63" s="252"/>
      <c r="U63" s="252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52"/>
      <c r="AK63" s="269"/>
      <c r="AL63" s="269"/>
      <c r="AM63" s="269"/>
      <c r="AN63" s="269"/>
      <c r="AO63" s="252"/>
      <c r="AP63" s="252"/>
      <c r="AQ63" s="252"/>
      <c r="AR63" s="252"/>
      <c r="AS63" s="252"/>
      <c r="AT63" s="252"/>
      <c r="AU63" s="252"/>
      <c r="AV63" s="252"/>
      <c r="AW63" s="252"/>
      <c r="AX63" s="252"/>
    </row>
    <row r="64" spans="1:50" s="4" customFormat="1">
      <c r="A64" s="252"/>
      <c r="B64" s="252"/>
      <c r="C64" s="252"/>
      <c r="D64" s="252"/>
      <c r="E64" s="252"/>
      <c r="F64" s="252"/>
      <c r="G64" s="252"/>
      <c r="H64" s="252"/>
      <c r="I64" s="252"/>
      <c r="J64" s="269"/>
      <c r="K64" s="269"/>
      <c r="L64" s="269"/>
      <c r="M64" s="269"/>
      <c r="N64" s="269"/>
      <c r="O64" s="269"/>
      <c r="P64" s="269"/>
      <c r="Q64" s="269"/>
      <c r="R64" s="269"/>
      <c r="S64" s="252"/>
      <c r="T64" s="252"/>
      <c r="U64" s="252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52"/>
      <c r="AK64" s="269"/>
      <c r="AL64" s="269"/>
      <c r="AM64" s="269"/>
      <c r="AN64" s="269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</row>
    <row r="65" spans="1:50" s="4" customFormat="1">
      <c r="A65" s="252"/>
      <c r="B65" s="252"/>
      <c r="C65" s="252"/>
      <c r="D65" s="252"/>
      <c r="E65" s="252"/>
      <c r="F65" s="252"/>
      <c r="G65" s="252"/>
      <c r="H65" s="252"/>
      <c r="I65" s="252"/>
      <c r="J65" s="269"/>
      <c r="K65" s="269"/>
      <c r="L65" s="269"/>
      <c r="M65" s="269"/>
      <c r="N65" s="269"/>
      <c r="O65" s="269"/>
      <c r="P65" s="269"/>
      <c r="Q65" s="269"/>
      <c r="R65" s="269"/>
      <c r="S65" s="252"/>
      <c r="T65" s="252"/>
      <c r="U65" s="252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52"/>
      <c r="AK65" s="269"/>
      <c r="AL65" s="269"/>
      <c r="AM65" s="269"/>
      <c r="AN65" s="269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</row>
    <row r="66" spans="1:50" s="4" customFormat="1">
      <c r="A66" s="252"/>
      <c r="B66" s="252"/>
      <c r="C66" s="252"/>
      <c r="D66" s="252"/>
      <c r="E66" s="252"/>
      <c r="F66" s="252"/>
      <c r="G66" s="252"/>
      <c r="H66" s="252"/>
      <c r="I66" s="252"/>
      <c r="J66" s="269"/>
      <c r="K66" s="269"/>
      <c r="L66" s="269"/>
      <c r="M66" s="269"/>
      <c r="N66" s="269"/>
      <c r="O66" s="269"/>
      <c r="P66" s="269"/>
      <c r="Q66" s="269"/>
      <c r="R66" s="269"/>
      <c r="S66" s="252"/>
      <c r="T66" s="252"/>
      <c r="U66" s="252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52"/>
      <c r="AK66" s="269"/>
      <c r="AL66" s="269"/>
      <c r="AM66" s="269"/>
      <c r="AN66" s="269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</row>
    <row r="67" spans="1:50" s="4" customFormat="1">
      <c r="A67" s="252"/>
      <c r="B67" s="252"/>
      <c r="C67" s="252"/>
      <c r="D67" s="252"/>
      <c r="E67" s="252"/>
      <c r="F67" s="252"/>
      <c r="G67" s="252"/>
      <c r="H67" s="252"/>
      <c r="I67" s="252"/>
      <c r="J67" s="269"/>
      <c r="K67" s="269"/>
      <c r="L67" s="269"/>
      <c r="M67" s="269"/>
      <c r="N67" s="269"/>
      <c r="O67" s="269"/>
      <c r="P67" s="269"/>
      <c r="Q67" s="269"/>
      <c r="R67" s="269"/>
      <c r="S67" s="252"/>
      <c r="T67" s="252"/>
      <c r="U67" s="252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52"/>
      <c r="AK67" s="269"/>
      <c r="AL67" s="269"/>
      <c r="AM67" s="269"/>
      <c r="AN67" s="269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</row>
    <row r="68" spans="1:50" s="4" customFormat="1">
      <c r="A68" s="252"/>
      <c r="B68" s="252"/>
      <c r="C68" s="252"/>
      <c r="D68" s="252"/>
      <c r="E68" s="252"/>
      <c r="F68" s="252"/>
      <c r="G68" s="252"/>
      <c r="H68" s="252"/>
      <c r="I68" s="252"/>
      <c r="J68" s="269"/>
      <c r="K68" s="269"/>
      <c r="L68" s="269"/>
      <c r="M68" s="269"/>
      <c r="N68" s="269"/>
      <c r="O68" s="269"/>
      <c r="P68" s="269"/>
      <c r="Q68" s="269"/>
      <c r="R68" s="269"/>
      <c r="S68" s="252"/>
      <c r="T68" s="252"/>
      <c r="U68" s="252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52"/>
      <c r="AK68" s="269"/>
      <c r="AL68" s="269"/>
      <c r="AM68" s="269"/>
      <c r="AN68" s="269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</row>
    <row r="69" spans="1:50" s="4" customFormat="1">
      <c r="A69" s="252"/>
      <c r="B69" s="252"/>
      <c r="C69" s="252"/>
      <c r="D69" s="252"/>
      <c r="E69" s="252"/>
      <c r="F69" s="252"/>
      <c r="G69" s="252"/>
      <c r="H69" s="252"/>
      <c r="I69" s="252"/>
      <c r="J69" s="269"/>
      <c r="K69" s="269"/>
      <c r="L69" s="269"/>
      <c r="M69" s="269"/>
      <c r="N69" s="269"/>
      <c r="O69" s="269"/>
      <c r="P69" s="269"/>
      <c r="Q69" s="269"/>
      <c r="R69" s="269"/>
      <c r="S69" s="252"/>
      <c r="T69" s="252"/>
      <c r="U69" s="252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52"/>
      <c r="AK69" s="269"/>
      <c r="AL69" s="269"/>
      <c r="AM69" s="269"/>
      <c r="AN69" s="269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</row>
    <row r="70" spans="1:50" s="4" customFormat="1">
      <c r="A70" s="252"/>
      <c r="B70" s="252"/>
      <c r="C70" s="252"/>
      <c r="D70" s="252"/>
      <c r="E70" s="252"/>
      <c r="F70" s="252"/>
      <c r="G70" s="252"/>
      <c r="H70" s="252"/>
      <c r="I70" s="252"/>
      <c r="J70" s="269"/>
      <c r="K70" s="269"/>
      <c r="L70" s="269"/>
      <c r="M70" s="269"/>
      <c r="N70" s="269"/>
      <c r="O70" s="269"/>
      <c r="P70" s="269"/>
      <c r="Q70" s="269"/>
      <c r="R70" s="269"/>
      <c r="S70" s="252"/>
      <c r="T70" s="252"/>
      <c r="U70" s="252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52"/>
      <c r="AK70" s="269"/>
      <c r="AL70" s="269"/>
      <c r="AM70" s="269"/>
      <c r="AN70" s="269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</row>
    <row r="71" spans="1:50" s="4" customFormat="1">
      <c r="A71" s="252"/>
      <c r="B71" s="252"/>
      <c r="C71" s="252"/>
      <c r="D71" s="252"/>
      <c r="E71" s="252"/>
      <c r="F71" s="252"/>
      <c r="G71" s="252"/>
      <c r="H71" s="252"/>
      <c r="I71" s="252"/>
      <c r="J71" s="269"/>
      <c r="K71" s="269"/>
      <c r="L71" s="269"/>
      <c r="M71" s="269"/>
      <c r="N71" s="269"/>
      <c r="O71" s="269"/>
      <c r="P71" s="269"/>
      <c r="Q71" s="269"/>
      <c r="R71" s="269"/>
      <c r="S71" s="252"/>
      <c r="T71" s="252"/>
      <c r="U71" s="252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52"/>
      <c r="AK71" s="269"/>
      <c r="AL71" s="269"/>
      <c r="AM71" s="269"/>
      <c r="AN71" s="269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</row>
    <row r="72" spans="1:50" s="4" customFormat="1">
      <c r="A72" s="252"/>
      <c r="B72" s="252"/>
      <c r="C72" s="252"/>
      <c r="D72" s="252"/>
      <c r="E72" s="252"/>
      <c r="F72" s="252"/>
      <c r="G72" s="252"/>
      <c r="H72" s="252"/>
      <c r="I72" s="252"/>
      <c r="J72" s="269"/>
      <c r="K72" s="269"/>
      <c r="L72" s="269"/>
      <c r="M72" s="269"/>
      <c r="N72" s="269"/>
      <c r="O72" s="269"/>
      <c r="P72" s="269"/>
      <c r="Q72" s="269"/>
      <c r="R72" s="269"/>
      <c r="S72" s="252"/>
      <c r="T72" s="252"/>
      <c r="U72" s="252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52"/>
      <c r="AK72" s="269"/>
      <c r="AL72" s="269"/>
      <c r="AM72" s="269"/>
      <c r="AN72" s="269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</row>
    <row r="73" spans="1:50" s="4" customFormat="1">
      <c r="A73" s="252"/>
      <c r="B73" s="252"/>
      <c r="C73" s="252"/>
      <c r="D73" s="252"/>
      <c r="E73" s="252"/>
      <c r="F73" s="252"/>
      <c r="G73" s="252"/>
      <c r="H73" s="252"/>
      <c r="I73" s="252"/>
      <c r="J73" s="269"/>
      <c r="K73" s="269"/>
      <c r="L73" s="269"/>
      <c r="M73" s="269"/>
      <c r="N73" s="269"/>
      <c r="O73" s="269"/>
      <c r="P73" s="269"/>
      <c r="Q73" s="269"/>
      <c r="R73" s="269"/>
      <c r="S73" s="252"/>
      <c r="T73" s="252"/>
      <c r="U73" s="252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52"/>
      <c r="AK73" s="269"/>
      <c r="AL73" s="269"/>
      <c r="AM73" s="269"/>
      <c r="AN73" s="269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</row>
    <row r="74" spans="1:50" s="4" customFormat="1">
      <c r="A74" s="252"/>
      <c r="B74" s="252"/>
      <c r="C74" s="252"/>
      <c r="D74" s="252"/>
      <c r="E74" s="252"/>
      <c r="F74" s="252"/>
      <c r="G74" s="252"/>
      <c r="H74" s="252"/>
      <c r="I74" s="252"/>
      <c r="J74" s="269"/>
      <c r="K74" s="269"/>
      <c r="L74" s="269"/>
      <c r="M74" s="269"/>
      <c r="N74" s="269"/>
      <c r="O74" s="269"/>
      <c r="P74" s="269"/>
      <c r="Q74" s="269"/>
      <c r="R74" s="269"/>
      <c r="S74" s="252"/>
      <c r="T74" s="252"/>
      <c r="U74" s="252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52"/>
      <c r="AK74" s="269"/>
      <c r="AL74" s="269"/>
      <c r="AM74" s="269"/>
      <c r="AN74" s="269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</row>
    <row r="75" spans="1:50" s="4" customFormat="1">
      <c r="A75" s="252"/>
      <c r="B75" s="252"/>
      <c r="C75" s="252"/>
      <c r="D75" s="252"/>
      <c r="E75" s="252"/>
      <c r="F75" s="252"/>
      <c r="G75" s="252"/>
      <c r="H75" s="252"/>
      <c r="I75" s="252"/>
      <c r="J75" s="269"/>
      <c r="K75" s="269"/>
      <c r="L75" s="269"/>
      <c r="M75" s="269"/>
      <c r="N75" s="269"/>
      <c r="O75" s="269"/>
      <c r="P75" s="269"/>
      <c r="Q75" s="269"/>
      <c r="R75" s="269"/>
      <c r="S75" s="252"/>
      <c r="T75" s="252"/>
      <c r="U75" s="252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52"/>
      <c r="AK75" s="269"/>
      <c r="AL75" s="269"/>
      <c r="AM75" s="269"/>
      <c r="AN75" s="269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</row>
    <row r="76" spans="1:50" s="4" customFormat="1">
      <c r="A76" s="252"/>
      <c r="B76" s="252"/>
      <c r="C76" s="252"/>
      <c r="D76" s="252"/>
      <c r="E76" s="252"/>
      <c r="F76" s="252"/>
      <c r="G76" s="252"/>
      <c r="H76" s="252"/>
      <c r="I76" s="252"/>
      <c r="J76" s="269"/>
      <c r="K76" s="269"/>
      <c r="L76" s="269"/>
      <c r="M76" s="269"/>
      <c r="N76" s="269"/>
      <c r="O76" s="269"/>
      <c r="P76" s="269"/>
      <c r="Q76" s="269"/>
      <c r="R76" s="269"/>
      <c r="S76" s="252"/>
      <c r="T76" s="252"/>
      <c r="U76" s="252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52"/>
      <c r="AK76" s="269"/>
      <c r="AL76" s="269"/>
      <c r="AM76" s="269"/>
      <c r="AN76" s="269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</row>
    <row r="77" spans="1:50" s="4" customFormat="1">
      <c r="A77" s="252"/>
      <c r="B77" s="252"/>
      <c r="C77" s="252"/>
      <c r="D77" s="252"/>
      <c r="E77" s="252"/>
      <c r="F77" s="252"/>
      <c r="G77" s="252"/>
      <c r="H77" s="252"/>
      <c r="I77" s="252"/>
      <c r="J77" s="269"/>
      <c r="K77" s="269"/>
      <c r="L77" s="269"/>
      <c r="M77" s="269"/>
      <c r="N77" s="269"/>
      <c r="O77" s="269"/>
      <c r="P77" s="269"/>
      <c r="Q77" s="269"/>
      <c r="R77" s="269"/>
      <c r="S77" s="252"/>
      <c r="T77" s="252"/>
      <c r="U77" s="252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52"/>
      <c r="AK77" s="269"/>
      <c r="AL77" s="269"/>
      <c r="AM77" s="269"/>
      <c r="AN77" s="269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</row>
    <row r="78" spans="1:50" s="4" customFormat="1">
      <c r="A78" s="252"/>
      <c r="B78" s="252"/>
      <c r="C78" s="252"/>
      <c r="D78" s="252"/>
      <c r="E78" s="252"/>
      <c r="F78" s="252"/>
      <c r="G78" s="252"/>
      <c r="H78" s="252"/>
      <c r="I78" s="252"/>
      <c r="J78" s="269"/>
      <c r="K78" s="269"/>
      <c r="L78" s="269"/>
      <c r="M78" s="269"/>
      <c r="N78" s="269"/>
      <c r="O78" s="269"/>
      <c r="P78" s="269"/>
      <c r="Q78" s="269"/>
      <c r="R78" s="269"/>
      <c r="S78" s="252"/>
      <c r="T78" s="252"/>
      <c r="U78" s="252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52"/>
      <c r="AK78" s="269"/>
      <c r="AL78" s="269"/>
      <c r="AM78" s="269"/>
      <c r="AN78" s="269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</row>
    <row r="79" spans="1:50" s="4" customFormat="1">
      <c r="A79" s="252"/>
      <c r="B79" s="252"/>
      <c r="C79" s="252"/>
      <c r="D79" s="252"/>
      <c r="E79" s="252"/>
      <c r="F79" s="252"/>
      <c r="G79" s="252"/>
      <c r="H79" s="252"/>
      <c r="I79" s="252"/>
      <c r="J79" s="269"/>
      <c r="K79" s="269"/>
      <c r="L79" s="269"/>
      <c r="M79" s="269"/>
      <c r="N79" s="269"/>
      <c r="O79" s="269"/>
      <c r="P79" s="269"/>
      <c r="Q79" s="269"/>
      <c r="R79" s="269"/>
      <c r="S79" s="252"/>
      <c r="T79" s="252"/>
      <c r="U79" s="252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52"/>
      <c r="AK79" s="269"/>
      <c r="AL79" s="269"/>
      <c r="AM79" s="269"/>
      <c r="AN79" s="269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</row>
    <row r="80" spans="1:50" s="4" customFormat="1">
      <c r="A80" s="252"/>
      <c r="B80" s="252"/>
      <c r="C80" s="252"/>
      <c r="D80" s="252"/>
      <c r="E80" s="252"/>
      <c r="F80" s="252"/>
      <c r="G80" s="252"/>
      <c r="H80" s="252"/>
      <c r="I80" s="252"/>
      <c r="J80" s="269"/>
      <c r="K80" s="269"/>
      <c r="L80" s="269"/>
      <c r="M80" s="269"/>
      <c r="N80" s="269"/>
      <c r="O80" s="269"/>
      <c r="P80" s="269"/>
      <c r="Q80" s="269"/>
      <c r="R80" s="269"/>
      <c r="S80" s="252"/>
      <c r="T80" s="252"/>
      <c r="U80" s="252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52"/>
      <c r="AK80" s="269"/>
      <c r="AL80" s="269"/>
      <c r="AM80" s="269"/>
      <c r="AN80" s="269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</row>
    <row r="81" spans="1:50" s="4" customFormat="1">
      <c r="A81" s="252"/>
      <c r="B81" s="252"/>
      <c r="C81" s="252"/>
      <c r="D81" s="252"/>
      <c r="E81" s="252"/>
      <c r="F81" s="252"/>
      <c r="G81" s="252"/>
      <c r="H81" s="252"/>
      <c r="I81" s="252"/>
      <c r="J81" s="269"/>
      <c r="K81" s="269"/>
      <c r="L81" s="269"/>
      <c r="M81" s="269"/>
      <c r="N81" s="269"/>
      <c r="O81" s="269"/>
      <c r="P81" s="269"/>
      <c r="Q81" s="269"/>
      <c r="R81" s="269"/>
      <c r="S81" s="252"/>
      <c r="T81" s="252"/>
      <c r="U81" s="252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52"/>
      <c r="AK81" s="269"/>
      <c r="AL81" s="269"/>
      <c r="AM81" s="269"/>
      <c r="AN81" s="269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</row>
    <row r="82" spans="1:50" s="4" customFormat="1">
      <c r="A82" s="252"/>
      <c r="B82" s="252"/>
      <c r="C82" s="252"/>
      <c r="D82" s="252"/>
      <c r="E82" s="252"/>
      <c r="F82" s="252"/>
      <c r="G82" s="252"/>
      <c r="H82" s="252"/>
      <c r="I82" s="252"/>
      <c r="J82" s="269"/>
      <c r="K82" s="269"/>
      <c r="L82" s="269"/>
      <c r="M82" s="269"/>
      <c r="N82" s="269"/>
      <c r="O82" s="269"/>
      <c r="P82" s="269"/>
      <c r="Q82" s="269"/>
      <c r="R82" s="269"/>
      <c r="S82" s="252"/>
      <c r="T82" s="252"/>
      <c r="U82" s="252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52"/>
      <c r="AK82" s="269"/>
      <c r="AL82" s="269"/>
      <c r="AM82" s="269"/>
      <c r="AN82" s="269"/>
      <c r="AO82" s="252"/>
      <c r="AP82" s="252"/>
      <c r="AQ82" s="252"/>
      <c r="AR82" s="252"/>
      <c r="AS82" s="252"/>
      <c r="AT82" s="252"/>
      <c r="AU82" s="252"/>
      <c r="AV82" s="252"/>
      <c r="AW82" s="252"/>
      <c r="AX82" s="252"/>
    </row>
    <row r="83" spans="1:50" s="4" customFormat="1">
      <c r="A83" s="252"/>
      <c r="B83" s="252"/>
      <c r="C83" s="252"/>
      <c r="D83" s="252"/>
      <c r="E83" s="252"/>
      <c r="F83" s="252"/>
      <c r="G83" s="252"/>
      <c r="H83" s="252"/>
      <c r="I83" s="252"/>
      <c r="J83" s="269"/>
      <c r="K83" s="269"/>
      <c r="L83" s="269"/>
      <c r="M83" s="269"/>
      <c r="N83" s="269"/>
      <c r="O83" s="269"/>
      <c r="P83" s="269"/>
      <c r="Q83" s="269"/>
      <c r="R83" s="269"/>
      <c r="S83" s="252"/>
      <c r="T83" s="252"/>
      <c r="U83" s="252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52"/>
      <c r="AK83" s="269"/>
      <c r="AL83" s="269"/>
      <c r="AM83" s="269"/>
      <c r="AN83" s="269"/>
      <c r="AO83" s="252"/>
      <c r="AP83" s="252"/>
      <c r="AQ83" s="252"/>
      <c r="AR83" s="252"/>
      <c r="AS83" s="252"/>
      <c r="AT83" s="252"/>
      <c r="AU83" s="252"/>
      <c r="AV83" s="252"/>
      <c r="AW83" s="252"/>
      <c r="AX83" s="252"/>
    </row>
    <row r="84" spans="1:50" s="4" customFormat="1">
      <c r="A84" s="252"/>
      <c r="B84" s="252"/>
      <c r="C84" s="252"/>
      <c r="D84" s="252"/>
      <c r="E84" s="252"/>
      <c r="F84" s="252"/>
      <c r="G84" s="252"/>
      <c r="H84" s="252"/>
      <c r="I84" s="252"/>
      <c r="J84" s="269"/>
      <c r="K84" s="269"/>
      <c r="L84" s="269"/>
      <c r="M84" s="269"/>
      <c r="N84" s="269"/>
      <c r="O84" s="269"/>
      <c r="P84" s="269"/>
      <c r="Q84" s="269"/>
      <c r="R84" s="269"/>
      <c r="S84" s="252"/>
      <c r="T84" s="252"/>
      <c r="U84" s="252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52"/>
      <c r="AK84" s="269"/>
      <c r="AL84" s="269"/>
      <c r="AM84" s="269"/>
      <c r="AN84" s="269"/>
      <c r="AO84" s="252"/>
      <c r="AP84" s="252"/>
      <c r="AQ84" s="252"/>
      <c r="AR84" s="252"/>
      <c r="AS84" s="252"/>
      <c r="AT84" s="252"/>
      <c r="AU84" s="252"/>
      <c r="AV84" s="252"/>
      <c r="AW84" s="252"/>
      <c r="AX84" s="252"/>
    </row>
    <row r="85" spans="1:50" s="4" customFormat="1">
      <c r="A85" s="252"/>
      <c r="B85" s="252"/>
      <c r="C85" s="252"/>
      <c r="D85" s="252"/>
      <c r="E85" s="252"/>
      <c r="F85" s="252"/>
      <c r="G85" s="252"/>
      <c r="H85" s="252"/>
      <c r="I85" s="252"/>
      <c r="J85" s="269"/>
      <c r="K85" s="269"/>
      <c r="L85" s="269"/>
      <c r="M85" s="269"/>
      <c r="N85" s="269"/>
      <c r="O85" s="269"/>
      <c r="P85" s="269"/>
      <c r="Q85" s="269"/>
      <c r="R85" s="269"/>
      <c r="S85" s="252"/>
      <c r="T85" s="252"/>
      <c r="U85" s="252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52"/>
      <c r="AK85" s="269"/>
      <c r="AL85" s="269"/>
      <c r="AM85" s="269"/>
      <c r="AN85" s="269"/>
      <c r="AO85" s="252"/>
      <c r="AP85" s="252"/>
      <c r="AQ85" s="252"/>
      <c r="AR85" s="252"/>
      <c r="AS85" s="252"/>
      <c r="AT85" s="252"/>
      <c r="AU85" s="252"/>
      <c r="AV85" s="252"/>
      <c r="AW85" s="252"/>
      <c r="AX85" s="252"/>
    </row>
    <row r="86" spans="1:50" s="4" customFormat="1">
      <c r="A86" s="252"/>
      <c r="B86" s="252"/>
      <c r="C86" s="252"/>
      <c r="D86" s="252"/>
      <c r="E86" s="252"/>
      <c r="F86" s="252"/>
      <c r="G86" s="252"/>
      <c r="H86" s="252"/>
      <c r="I86" s="252"/>
      <c r="J86" s="269"/>
      <c r="K86" s="269"/>
      <c r="L86" s="269"/>
      <c r="M86" s="269"/>
      <c r="N86" s="269"/>
      <c r="O86" s="269"/>
      <c r="P86" s="269"/>
      <c r="Q86" s="269"/>
      <c r="R86" s="269"/>
      <c r="S86" s="252"/>
      <c r="T86" s="252"/>
      <c r="U86" s="252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52"/>
      <c r="AK86" s="269"/>
      <c r="AL86" s="269"/>
      <c r="AM86" s="269"/>
      <c r="AN86" s="269"/>
      <c r="AO86" s="252"/>
      <c r="AP86" s="252"/>
      <c r="AQ86" s="252"/>
      <c r="AR86" s="252"/>
      <c r="AS86" s="252"/>
      <c r="AT86" s="252"/>
      <c r="AU86" s="252"/>
      <c r="AV86" s="252"/>
      <c r="AW86" s="252"/>
      <c r="AX86" s="252"/>
    </row>
    <row r="87" spans="1:50" s="4" customFormat="1">
      <c r="A87" s="252"/>
      <c r="B87" s="252"/>
      <c r="C87" s="252"/>
      <c r="D87" s="252"/>
      <c r="E87" s="252"/>
      <c r="F87" s="252"/>
      <c r="G87" s="252"/>
      <c r="H87" s="252"/>
      <c r="I87" s="252"/>
      <c r="J87" s="269"/>
      <c r="K87" s="269"/>
      <c r="L87" s="269"/>
      <c r="M87" s="269"/>
      <c r="N87" s="269"/>
      <c r="O87" s="269"/>
      <c r="P87" s="269"/>
      <c r="Q87" s="269"/>
      <c r="R87" s="269"/>
      <c r="S87" s="252"/>
      <c r="T87" s="252"/>
      <c r="U87" s="252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52"/>
      <c r="AK87" s="269"/>
      <c r="AL87" s="269"/>
      <c r="AM87" s="269"/>
      <c r="AN87" s="269"/>
      <c r="AO87" s="252"/>
      <c r="AP87" s="252"/>
      <c r="AQ87" s="252"/>
      <c r="AR87" s="252"/>
      <c r="AS87" s="252"/>
      <c r="AT87" s="252"/>
      <c r="AU87" s="252"/>
      <c r="AV87" s="252"/>
      <c r="AW87" s="252"/>
      <c r="AX87" s="252"/>
    </row>
    <row r="88" spans="1:50" s="4" customFormat="1">
      <c r="A88" s="252"/>
      <c r="B88" s="252"/>
      <c r="C88" s="252"/>
      <c r="D88" s="252"/>
      <c r="E88" s="252"/>
      <c r="F88" s="252"/>
      <c r="G88" s="252"/>
      <c r="H88" s="252"/>
      <c r="I88" s="252"/>
      <c r="J88" s="269"/>
      <c r="K88" s="269"/>
      <c r="L88" s="269"/>
      <c r="M88" s="269"/>
      <c r="N88" s="269"/>
      <c r="O88" s="269"/>
      <c r="P88" s="269"/>
      <c r="Q88" s="269"/>
      <c r="R88" s="269"/>
      <c r="S88" s="252"/>
      <c r="T88" s="252"/>
      <c r="U88" s="252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52"/>
      <c r="AK88" s="269"/>
      <c r="AL88" s="269"/>
      <c r="AM88" s="269"/>
      <c r="AN88" s="269"/>
      <c r="AO88" s="252"/>
      <c r="AP88" s="252"/>
      <c r="AQ88" s="252"/>
      <c r="AR88" s="252"/>
      <c r="AS88" s="252"/>
      <c r="AT88" s="252"/>
      <c r="AU88" s="252"/>
      <c r="AV88" s="252"/>
      <c r="AW88" s="252"/>
      <c r="AX88" s="252"/>
    </row>
    <row r="89" spans="1:50" s="4" customFormat="1">
      <c r="A89" s="252"/>
      <c r="B89" s="252"/>
      <c r="C89" s="252"/>
      <c r="D89" s="252"/>
      <c r="E89" s="252"/>
      <c r="F89" s="252"/>
      <c r="G89" s="252"/>
      <c r="H89" s="252"/>
      <c r="I89" s="252"/>
      <c r="J89" s="269"/>
      <c r="K89" s="269"/>
      <c r="L89" s="269"/>
      <c r="M89" s="269"/>
      <c r="N89" s="269"/>
      <c r="O89" s="269"/>
      <c r="P89" s="269"/>
      <c r="Q89" s="269"/>
      <c r="R89" s="269"/>
      <c r="S89" s="252"/>
      <c r="T89" s="252"/>
      <c r="U89" s="252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52"/>
      <c r="AK89" s="269"/>
      <c r="AL89" s="269"/>
      <c r="AM89" s="269"/>
      <c r="AN89" s="269"/>
      <c r="AO89" s="252"/>
      <c r="AP89" s="252"/>
      <c r="AQ89" s="252"/>
      <c r="AR89" s="252"/>
      <c r="AS89" s="252"/>
      <c r="AT89" s="252"/>
      <c r="AU89" s="252"/>
      <c r="AV89" s="252"/>
      <c r="AW89" s="252"/>
      <c r="AX89" s="252"/>
    </row>
    <row r="90" spans="1:50" s="4" customFormat="1">
      <c r="A90" s="252"/>
      <c r="B90" s="252"/>
      <c r="C90" s="252"/>
      <c r="D90" s="252"/>
      <c r="E90" s="252"/>
      <c r="F90" s="252"/>
      <c r="G90" s="252"/>
      <c r="H90" s="252"/>
      <c r="I90" s="252"/>
      <c r="J90" s="269"/>
      <c r="K90" s="269"/>
      <c r="L90" s="269"/>
      <c r="M90" s="269"/>
      <c r="N90" s="269"/>
      <c r="O90" s="269"/>
      <c r="P90" s="269"/>
      <c r="Q90" s="269"/>
      <c r="R90" s="269"/>
      <c r="S90" s="252"/>
      <c r="T90" s="252"/>
      <c r="U90" s="252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52"/>
      <c r="AK90" s="269"/>
      <c r="AL90" s="269"/>
      <c r="AM90" s="269"/>
      <c r="AN90" s="269"/>
      <c r="AO90" s="252"/>
      <c r="AP90" s="252"/>
      <c r="AQ90" s="252"/>
      <c r="AR90" s="252"/>
      <c r="AS90" s="252"/>
      <c r="AT90" s="252"/>
      <c r="AU90" s="252"/>
      <c r="AV90" s="252"/>
      <c r="AW90" s="252"/>
      <c r="AX90" s="252"/>
    </row>
    <row r="91" spans="1:50" s="4" customFormat="1">
      <c r="A91" s="252"/>
      <c r="B91" s="252"/>
      <c r="C91" s="252"/>
      <c r="D91" s="252"/>
      <c r="E91" s="252"/>
      <c r="F91" s="252"/>
      <c r="G91" s="252"/>
      <c r="H91" s="252"/>
      <c r="I91" s="252"/>
      <c r="J91" s="269"/>
      <c r="K91" s="269"/>
      <c r="L91" s="269"/>
      <c r="M91" s="269"/>
      <c r="N91" s="269"/>
      <c r="O91" s="269"/>
      <c r="P91" s="269"/>
      <c r="Q91" s="269"/>
      <c r="R91" s="269"/>
      <c r="S91" s="252"/>
      <c r="T91" s="252"/>
      <c r="U91" s="252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52"/>
      <c r="AK91" s="269"/>
      <c r="AL91" s="269"/>
      <c r="AM91" s="269"/>
      <c r="AN91" s="269"/>
      <c r="AO91" s="252"/>
      <c r="AP91" s="252"/>
      <c r="AQ91" s="252"/>
      <c r="AR91" s="252"/>
      <c r="AS91" s="252"/>
      <c r="AT91" s="252"/>
      <c r="AU91" s="252"/>
      <c r="AV91" s="252"/>
      <c r="AW91" s="252"/>
      <c r="AX91" s="252"/>
    </row>
    <row r="92" spans="1:50" s="4" customFormat="1">
      <c r="A92" s="252"/>
      <c r="B92" s="252"/>
      <c r="C92" s="252"/>
      <c r="D92" s="252"/>
      <c r="E92" s="252"/>
      <c r="F92" s="252"/>
      <c r="G92" s="252"/>
      <c r="H92" s="252"/>
      <c r="I92" s="252"/>
      <c r="J92" s="269"/>
      <c r="K92" s="269"/>
      <c r="L92" s="269"/>
      <c r="M92" s="269"/>
      <c r="N92" s="269"/>
      <c r="O92" s="269"/>
      <c r="P92" s="269"/>
      <c r="Q92" s="269"/>
      <c r="R92" s="269"/>
      <c r="S92" s="252"/>
      <c r="T92" s="252"/>
      <c r="U92" s="252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52"/>
      <c r="AK92" s="269"/>
      <c r="AL92" s="269"/>
      <c r="AM92" s="269"/>
      <c r="AN92" s="269"/>
      <c r="AO92" s="252"/>
      <c r="AP92" s="252"/>
      <c r="AQ92" s="252"/>
      <c r="AR92" s="252"/>
      <c r="AS92" s="252"/>
      <c r="AT92" s="252"/>
      <c r="AU92" s="252"/>
      <c r="AV92" s="252"/>
      <c r="AW92" s="252"/>
      <c r="AX92" s="252"/>
    </row>
    <row r="93" spans="1:50" s="4" customFormat="1">
      <c r="A93" s="252"/>
      <c r="B93" s="252"/>
      <c r="C93" s="252"/>
      <c r="D93" s="252"/>
      <c r="E93" s="252"/>
      <c r="F93" s="252"/>
      <c r="G93" s="252"/>
      <c r="H93" s="252"/>
      <c r="I93" s="252"/>
      <c r="J93" s="269"/>
      <c r="K93" s="269"/>
      <c r="L93" s="269"/>
      <c r="M93" s="269"/>
      <c r="N93" s="269"/>
      <c r="O93" s="269"/>
      <c r="P93" s="269"/>
      <c r="Q93" s="269"/>
      <c r="R93" s="269"/>
      <c r="S93" s="252"/>
      <c r="T93" s="252"/>
      <c r="U93" s="252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69"/>
      <c r="AG93" s="269"/>
      <c r="AH93" s="269"/>
      <c r="AI93" s="269"/>
      <c r="AJ93" s="252"/>
      <c r="AK93" s="269"/>
      <c r="AL93" s="269"/>
      <c r="AM93" s="269"/>
      <c r="AN93" s="269"/>
      <c r="AO93" s="252"/>
      <c r="AP93" s="252"/>
      <c r="AQ93" s="252"/>
      <c r="AR93" s="252"/>
      <c r="AS93" s="252"/>
      <c r="AT93" s="252"/>
      <c r="AU93" s="252"/>
      <c r="AV93" s="252"/>
      <c r="AW93" s="252"/>
      <c r="AX93" s="252"/>
    </row>
    <row r="94" spans="1:50" s="4" customFormat="1">
      <c r="A94" s="252"/>
      <c r="B94" s="252"/>
      <c r="C94" s="252"/>
      <c r="D94" s="252"/>
      <c r="E94" s="252"/>
      <c r="F94" s="252"/>
      <c r="G94" s="252"/>
      <c r="H94" s="252"/>
      <c r="I94" s="252"/>
      <c r="J94" s="269"/>
      <c r="K94" s="269"/>
      <c r="L94" s="269"/>
      <c r="M94" s="269"/>
      <c r="N94" s="269"/>
      <c r="O94" s="269"/>
      <c r="P94" s="269"/>
      <c r="Q94" s="269"/>
      <c r="R94" s="269"/>
      <c r="S94" s="252"/>
      <c r="T94" s="252"/>
      <c r="U94" s="252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52"/>
      <c r="AK94" s="269"/>
      <c r="AL94" s="269"/>
      <c r="AM94" s="269"/>
      <c r="AN94" s="269"/>
      <c r="AO94" s="252"/>
      <c r="AP94" s="252"/>
      <c r="AQ94" s="252"/>
      <c r="AR94" s="252"/>
      <c r="AS94" s="252"/>
      <c r="AT94" s="252"/>
      <c r="AU94" s="252"/>
      <c r="AV94" s="252"/>
      <c r="AW94" s="252"/>
      <c r="AX94" s="252"/>
    </row>
    <row r="95" spans="1:50" s="4" customFormat="1">
      <c r="A95" s="252"/>
      <c r="B95" s="252"/>
      <c r="C95" s="252"/>
      <c r="D95" s="252"/>
      <c r="E95" s="252"/>
      <c r="F95" s="252"/>
      <c r="G95" s="252"/>
      <c r="H95" s="252"/>
      <c r="I95" s="252"/>
      <c r="J95" s="269"/>
      <c r="K95" s="269"/>
      <c r="L95" s="269"/>
      <c r="M95" s="269"/>
      <c r="N95" s="269"/>
      <c r="O95" s="269"/>
      <c r="P95" s="269"/>
      <c r="Q95" s="269"/>
      <c r="R95" s="269"/>
      <c r="S95" s="252"/>
      <c r="T95" s="252"/>
      <c r="U95" s="252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52"/>
      <c r="AK95" s="269"/>
      <c r="AL95" s="269"/>
      <c r="AM95" s="269"/>
      <c r="AN95" s="269"/>
      <c r="AO95" s="252"/>
      <c r="AP95" s="252"/>
      <c r="AQ95" s="252"/>
      <c r="AR95" s="252"/>
      <c r="AS95" s="252"/>
      <c r="AT95" s="252"/>
      <c r="AU95" s="252"/>
      <c r="AV95" s="252"/>
      <c r="AW95" s="252"/>
      <c r="AX95" s="252"/>
    </row>
    <row r="96" spans="1:50" s="4" customFormat="1">
      <c r="A96" s="252"/>
      <c r="B96" s="252"/>
      <c r="C96" s="252"/>
      <c r="D96" s="252"/>
      <c r="E96" s="252"/>
      <c r="F96" s="252"/>
      <c r="G96" s="252"/>
      <c r="H96" s="252"/>
      <c r="I96" s="252"/>
      <c r="J96" s="269"/>
      <c r="K96" s="269"/>
      <c r="L96" s="269"/>
      <c r="M96" s="269"/>
      <c r="N96" s="269"/>
      <c r="O96" s="269"/>
      <c r="P96" s="269"/>
      <c r="Q96" s="269"/>
      <c r="R96" s="269"/>
      <c r="S96" s="252"/>
      <c r="T96" s="252"/>
      <c r="U96" s="252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52"/>
      <c r="AK96" s="269"/>
      <c r="AL96" s="269"/>
      <c r="AM96" s="269"/>
      <c r="AN96" s="269"/>
      <c r="AO96" s="252"/>
      <c r="AP96" s="252"/>
      <c r="AQ96" s="252"/>
      <c r="AR96" s="252"/>
      <c r="AS96" s="252"/>
      <c r="AT96" s="252"/>
      <c r="AU96" s="252"/>
      <c r="AV96" s="252"/>
      <c r="AW96" s="252"/>
      <c r="AX96" s="252"/>
    </row>
    <row r="97" spans="1:50" s="4" customFormat="1">
      <c r="A97" s="252"/>
      <c r="B97" s="252"/>
      <c r="C97" s="252"/>
      <c r="D97" s="252"/>
      <c r="E97" s="252"/>
      <c r="F97" s="252"/>
      <c r="G97" s="252"/>
      <c r="H97" s="252"/>
      <c r="I97" s="252"/>
      <c r="J97" s="269"/>
      <c r="K97" s="269"/>
      <c r="L97" s="269"/>
      <c r="M97" s="269"/>
      <c r="N97" s="269"/>
      <c r="O97" s="269"/>
      <c r="P97" s="269"/>
      <c r="Q97" s="269"/>
      <c r="R97" s="269"/>
      <c r="S97" s="252"/>
      <c r="T97" s="252"/>
      <c r="U97" s="252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52"/>
      <c r="AK97" s="269"/>
      <c r="AL97" s="269"/>
      <c r="AM97" s="269"/>
      <c r="AN97" s="269"/>
      <c r="AO97" s="252"/>
      <c r="AP97" s="252"/>
      <c r="AQ97" s="252"/>
      <c r="AR97" s="252"/>
      <c r="AS97" s="252"/>
      <c r="AT97" s="252"/>
      <c r="AU97" s="252"/>
      <c r="AV97" s="252"/>
      <c r="AW97" s="252"/>
      <c r="AX97" s="252"/>
    </row>
    <row r="98" spans="1:50" s="4" customFormat="1">
      <c r="A98" s="252"/>
      <c r="B98" s="252"/>
      <c r="C98" s="252"/>
      <c r="D98" s="252"/>
      <c r="E98" s="252"/>
      <c r="F98" s="252"/>
      <c r="G98" s="252"/>
      <c r="H98" s="252"/>
      <c r="I98" s="252"/>
      <c r="J98" s="269"/>
      <c r="K98" s="269"/>
      <c r="L98" s="269"/>
      <c r="M98" s="269"/>
      <c r="N98" s="269"/>
      <c r="O98" s="269"/>
      <c r="P98" s="269"/>
      <c r="Q98" s="269"/>
      <c r="R98" s="269"/>
      <c r="S98" s="252"/>
      <c r="T98" s="252"/>
      <c r="U98" s="252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52"/>
      <c r="AK98" s="269"/>
      <c r="AL98" s="269"/>
      <c r="AM98" s="269"/>
      <c r="AN98" s="269"/>
      <c r="AO98" s="252"/>
      <c r="AP98" s="252"/>
      <c r="AQ98" s="252"/>
      <c r="AR98" s="252"/>
      <c r="AS98" s="252"/>
      <c r="AT98" s="252"/>
      <c r="AU98" s="252"/>
      <c r="AV98" s="252"/>
      <c r="AW98" s="252"/>
      <c r="AX98" s="252"/>
    </row>
    <row r="99" spans="1:50" s="4" customFormat="1">
      <c r="A99" s="252"/>
      <c r="B99" s="252"/>
      <c r="C99" s="252"/>
      <c r="D99" s="252"/>
      <c r="E99" s="252"/>
      <c r="F99" s="252"/>
      <c r="G99" s="252"/>
      <c r="H99" s="252"/>
      <c r="I99" s="252"/>
      <c r="J99" s="269"/>
      <c r="K99" s="269"/>
      <c r="L99" s="269"/>
      <c r="M99" s="269"/>
      <c r="N99" s="269"/>
      <c r="O99" s="269"/>
      <c r="P99" s="269"/>
      <c r="Q99" s="269"/>
      <c r="R99" s="269"/>
      <c r="S99" s="252"/>
      <c r="T99" s="252"/>
      <c r="U99" s="252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52"/>
      <c r="AK99" s="269"/>
      <c r="AL99" s="269"/>
      <c r="AM99" s="269"/>
      <c r="AN99" s="269"/>
      <c r="AO99" s="252"/>
      <c r="AP99" s="252"/>
      <c r="AQ99" s="252"/>
      <c r="AR99" s="252"/>
      <c r="AS99" s="252"/>
      <c r="AT99" s="252"/>
      <c r="AU99" s="252"/>
      <c r="AV99" s="252"/>
      <c r="AW99" s="252"/>
      <c r="AX99" s="252"/>
    </row>
    <row r="100" spans="1:50" s="4" customFormat="1">
      <c r="A100" s="252"/>
      <c r="B100" s="252"/>
      <c r="C100" s="252"/>
      <c r="D100" s="252"/>
      <c r="E100" s="252"/>
      <c r="F100" s="252"/>
      <c r="G100" s="252"/>
      <c r="H100" s="252"/>
      <c r="I100" s="252"/>
      <c r="J100" s="269"/>
      <c r="K100" s="269"/>
      <c r="L100" s="269"/>
      <c r="M100" s="269"/>
      <c r="N100" s="269"/>
      <c r="O100" s="269"/>
      <c r="P100" s="269"/>
      <c r="Q100" s="269"/>
      <c r="R100" s="269"/>
      <c r="S100" s="252"/>
      <c r="T100" s="252"/>
      <c r="U100" s="252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269"/>
      <c r="AJ100" s="252"/>
      <c r="AK100" s="269"/>
      <c r="AL100" s="269"/>
      <c r="AM100" s="269"/>
      <c r="AN100" s="269"/>
      <c r="AO100" s="252"/>
      <c r="AP100" s="252"/>
      <c r="AQ100" s="252"/>
      <c r="AR100" s="252"/>
      <c r="AS100" s="252"/>
      <c r="AT100" s="252"/>
      <c r="AU100" s="252"/>
      <c r="AV100" s="252"/>
      <c r="AW100" s="252"/>
      <c r="AX100" s="252"/>
    </row>
    <row r="101" spans="1:50" s="4" customFormat="1">
      <c r="A101" s="252"/>
      <c r="B101" s="252"/>
      <c r="C101" s="252"/>
      <c r="D101" s="252"/>
      <c r="E101" s="252"/>
      <c r="F101" s="252"/>
      <c r="G101" s="252"/>
      <c r="H101" s="252"/>
      <c r="I101" s="252"/>
      <c r="J101" s="269"/>
      <c r="K101" s="269"/>
      <c r="L101" s="269"/>
      <c r="M101" s="269"/>
      <c r="N101" s="269"/>
      <c r="O101" s="269"/>
      <c r="P101" s="269"/>
      <c r="Q101" s="269"/>
      <c r="R101" s="269"/>
      <c r="S101" s="252"/>
      <c r="T101" s="252"/>
      <c r="U101" s="252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52"/>
      <c r="AK101" s="269"/>
      <c r="AL101" s="269"/>
      <c r="AM101" s="269"/>
      <c r="AN101" s="269"/>
      <c r="AO101" s="252"/>
      <c r="AP101" s="252"/>
      <c r="AQ101" s="252"/>
      <c r="AR101" s="252"/>
      <c r="AS101" s="252"/>
      <c r="AT101" s="252"/>
      <c r="AU101" s="252"/>
      <c r="AV101" s="252"/>
      <c r="AW101" s="252"/>
      <c r="AX101" s="252"/>
    </row>
    <row r="102" spans="1:50" s="4" customFormat="1">
      <c r="A102" s="252"/>
      <c r="B102" s="252"/>
      <c r="C102" s="252"/>
      <c r="D102" s="252"/>
      <c r="E102" s="252"/>
      <c r="F102" s="252"/>
      <c r="G102" s="252"/>
      <c r="H102" s="252"/>
      <c r="I102" s="252"/>
      <c r="J102" s="269"/>
      <c r="K102" s="269"/>
      <c r="L102" s="269"/>
      <c r="M102" s="269"/>
      <c r="N102" s="269"/>
      <c r="O102" s="269"/>
      <c r="P102" s="269"/>
      <c r="Q102" s="269"/>
      <c r="R102" s="269"/>
      <c r="S102" s="252"/>
      <c r="T102" s="252"/>
      <c r="U102" s="252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  <c r="AJ102" s="252"/>
      <c r="AK102" s="269"/>
      <c r="AL102" s="269"/>
      <c r="AM102" s="269"/>
      <c r="AN102" s="269"/>
      <c r="AO102" s="252"/>
      <c r="AP102" s="252"/>
      <c r="AQ102" s="252"/>
      <c r="AR102" s="252"/>
      <c r="AS102" s="252"/>
      <c r="AT102" s="252"/>
      <c r="AU102" s="252"/>
      <c r="AV102" s="252"/>
      <c r="AW102" s="252"/>
      <c r="AX102" s="252"/>
    </row>
    <row r="103" spans="1:50" s="4" customFormat="1">
      <c r="A103" s="252"/>
      <c r="B103" s="252"/>
      <c r="C103" s="252"/>
      <c r="D103" s="252"/>
      <c r="E103" s="252"/>
      <c r="F103" s="252"/>
      <c r="G103" s="252"/>
      <c r="H103" s="252"/>
      <c r="I103" s="252"/>
      <c r="J103" s="269"/>
      <c r="K103" s="269"/>
      <c r="L103" s="269"/>
      <c r="M103" s="269"/>
      <c r="N103" s="269"/>
      <c r="O103" s="269"/>
      <c r="P103" s="269"/>
      <c r="Q103" s="269"/>
      <c r="R103" s="269"/>
      <c r="S103" s="252"/>
      <c r="T103" s="252"/>
      <c r="U103" s="252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69"/>
      <c r="AH103" s="269"/>
      <c r="AI103" s="269"/>
      <c r="AJ103" s="252"/>
      <c r="AK103" s="269"/>
      <c r="AL103" s="269"/>
      <c r="AM103" s="269"/>
      <c r="AN103" s="269"/>
      <c r="AO103" s="252"/>
      <c r="AP103" s="252"/>
      <c r="AQ103" s="252"/>
      <c r="AR103" s="252"/>
      <c r="AS103" s="252"/>
      <c r="AT103" s="252"/>
      <c r="AU103" s="252"/>
      <c r="AV103" s="252"/>
      <c r="AW103" s="252"/>
      <c r="AX103" s="252"/>
    </row>
    <row r="104" spans="1:50" s="4" customFormat="1">
      <c r="A104" s="252"/>
      <c r="B104" s="252"/>
      <c r="C104" s="252"/>
      <c r="D104" s="252"/>
      <c r="E104" s="252"/>
      <c r="F104" s="252"/>
      <c r="G104" s="252"/>
      <c r="H104" s="252"/>
      <c r="I104" s="252"/>
      <c r="J104" s="269"/>
      <c r="K104" s="269"/>
      <c r="L104" s="269"/>
      <c r="M104" s="269"/>
      <c r="N104" s="269"/>
      <c r="O104" s="269"/>
      <c r="P104" s="269"/>
      <c r="Q104" s="269"/>
      <c r="R104" s="269"/>
      <c r="S104" s="252"/>
      <c r="T104" s="252"/>
      <c r="U104" s="252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52"/>
      <c r="AK104" s="269"/>
      <c r="AL104" s="269"/>
      <c r="AM104" s="269"/>
      <c r="AN104" s="269"/>
      <c r="AO104" s="252"/>
      <c r="AP104" s="252"/>
      <c r="AQ104" s="252"/>
      <c r="AR104" s="252"/>
      <c r="AS104" s="252"/>
      <c r="AT104" s="252"/>
      <c r="AU104" s="252"/>
      <c r="AV104" s="252"/>
      <c r="AW104" s="252"/>
      <c r="AX104" s="252"/>
    </row>
    <row r="105" spans="1:50" s="4" customFormat="1">
      <c r="A105" s="252"/>
      <c r="B105" s="252"/>
      <c r="C105" s="252"/>
      <c r="D105" s="252"/>
      <c r="E105" s="252"/>
      <c r="F105" s="252"/>
      <c r="G105" s="252"/>
      <c r="H105" s="252"/>
      <c r="I105" s="252"/>
      <c r="J105" s="269"/>
      <c r="K105" s="269"/>
      <c r="L105" s="269"/>
      <c r="M105" s="269"/>
      <c r="N105" s="269"/>
      <c r="O105" s="269"/>
      <c r="P105" s="269"/>
      <c r="Q105" s="269"/>
      <c r="R105" s="269"/>
      <c r="S105" s="252"/>
      <c r="T105" s="252"/>
      <c r="U105" s="252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52"/>
      <c r="AK105" s="269"/>
      <c r="AL105" s="269"/>
      <c r="AM105" s="269"/>
      <c r="AN105" s="269"/>
      <c r="AO105" s="252"/>
      <c r="AP105" s="252"/>
      <c r="AQ105" s="252"/>
      <c r="AR105" s="252"/>
      <c r="AS105" s="252"/>
      <c r="AT105" s="252"/>
      <c r="AU105" s="252"/>
      <c r="AV105" s="252"/>
      <c r="AW105" s="252"/>
      <c r="AX105" s="252"/>
    </row>
    <row r="106" spans="1:50" s="4" customFormat="1">
      <c r="A106" s="252"/>
      <c r="B106" s="252"/>
      <c r="C106" s="252"/>
      <c r="D106" s="252"/>
      <c r="E106" s="252"/>
      <c r="F106" s="252"/>
      <c r="G106" s="252"/>
      <c r="H106" s="252"/>
      <c r="I106" s="252"/>
      <c r="J106" s="269"/>
      <c r="K106" s="269"/>
      <c r="L106" s="269"/>
      <c r="M106" s="269"/>
      <c r="N106" s="269"/>
      <c r="O106" s="269"/>
      <c r="P106" s="269"/>
      <c r="Q106" s="269"/>
      <c r="R106" s="269"/>
      <c r="S106" s="252"/>
      <c r="T106" s="252"/>
      <c r="U106" s="252"/>
      <c r="V106" s="269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69"/>
      <c r="AG106" s="269"/>
      <c r="AH106" s="269"/>
      <c r="AI106" s="269"/>
      <c r="AJ106" s="252"/>
      <c r="AK106" s="269"/>
      <c r="AL106" s="269"/>
      <c r="AM106" s="269"/>
      <c r="AN106" s="269"/>
      <c r="AO106" s="252"/>
      <c r="AP106" s="252"/>
      <c r="AQ106" s="252"/>
      <c r="AR106" s="252"/>
      <c r="AS106" s="252"/>
      <c r="AT106" s="252"/>
      <c r="AU106" s="252"/>
      <c r="AV106" s="252"/>
      <c r="AW106" s="252"/>
      <c r="AX106" s="252"/>
    </row>
    <row r="107" spans="1:50" s="4" customFormat="1">
      <c r="A107" s="252"/>
      <c r="B107" s="252"/>
      <c r="C107" s="252"/>
      <c r="D107" s="252"/>
      <c r="E107" s="252"/>
      <c r="F107" s="252"/>
      <c r="G107" s="252"/>
      <c r="H107" s="252"/>
      <c r="I107" s="252"/>
      <c r="J107" s="269"/>
      <c r="K107" s="269"/>
      <c r="L107" s="269"/>
      <c r="M107" s="269"/>
      <c r="N107" s="269"/>
      <c r="O107" s="269"/>
      <c r="P107" s="269"/>
      <c r="Q107" s="269"/>
      <c r="R107" s="269"/>
      <c r="S107" s="252"/>
      <c r="T107" s="252"/>
      <c r="U107" s="252"/>
      <c r="V107" s="269"/>
      <c r="W107" s="269"/>
      <c r="X107" s="269"/>
      <c r="Y107" s="269"/>
      <c r="Z107" s="269"/>
      <c r="AA107" s="269"/>
      <c r="AB107" s="269"/>
      <c r="AC107" s="269"/>
      <c r="AD107" s="269"/>
      <c r="AE107" s="269"/>
      <c r="AF107" s="269"/>
      <c r="AG107" s="269"/>
      <c r="AH107" s="269"/>
      <c r="AI107" s="269"/>
      <c r="AJ107" s="252"/>
      <c r="AK107" s="269"/>
      <c r="AL107" s="269"/>
      <c r="AM107" s="269"/>
      <c r="AN107" s="269"/>
      <c r="AO107" s="252"/>
      <c r="AP107" s="252"/>
      <c r="AQ107" s="252"/>
      <c r="AR107" s="252"/>
      <c r="AS107" s="252"/>
      <c r="AT107" s="252"/>
      <c r="AU107" s="252"/>
      <c r="AV107" s="252"/>
      <c r="AW107" s="252"/>
      <c r="AX107" s="252"/>
    </row>
    <row r="108" spans="1:50" s="4" customFormat="1">
      <c r="A108" s="252"/>
      <c r="B108" s="252"/>
      <c r="C108" s="252"/>
      <c r="D108" s="252"/>
      <c r="E108" s="252"/>
      <c r="F108" s="252"/>
      <c r="G108" s="252"/>
      <c r="H108" s="252"/>
      <c r="I108" s="252"/>
      <c r="J108" s="269"/>
      <c r="K108" s="269"/>
      <c r="L108" s="269"/>
      <c r="M108" s="269"/>
      <c r="N108" s="269"/>
      <c r="O108" s="269"/>
      <c r="P108" s="269"/>
      <c r="Q108" s="269"/>
      <c r="R108" s="269"/>
      <c r="S108" s="252"/>
      <c r="T108" s="252"/>
      <c r="U108" s="252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269"/>
      <c r="AH108" s="269"/>
      <c r="AI108" s="269"/>
      <c r="AJ108" s="252"/>
      <c r="AK108" s="269"/>
      <c r="AL108" s="269"/>
      <c r="AM108" s="269"/>
      <c r="AN108" s="269"/>
      <c r="AO108" s="252"/>
      <c r="AP108" s="252"/>
      <c r="AQ108" s="252"/>
      <c r="AR108" s="252"/>
      <c r="AS108" s="252"/>
      <c r="AT108" s="252"/>
      <c r="AU108" s="252"/>
      <c r="AV108" s="252"/>
      <c r="AW108" s="252"/>
      <c r="AX108" s="252"/>
    </row>
    <row r="109" spans="1:50" s="4" customFormat="1">
      <c r="A109" s="252"/>
      <c r="B109" s="252"/>
      <c r="C109" s="252"/>
      <c r="D109" s="252"/>
      <c r="E109" s="252"/>
      <c r="F109" s="252"/>
      <c r="G109" s="252"/>
      <c r="H109" s="252"/>
      <c r="I109" s="252"/>
      <c r="J109" s="269"/>
      <c r="K109" s="269"/>
      <c r="L109" s="269"/>
      <c r="M109" s="269"/>
      <c r="N109" s="269"/>
      <c r="O109" s="269"/>
      <c r="P109" s="269"/>
      <c r="Q109" s="269"/>
      <c r="R109" s="269"/>
      <c r="S109" s="252"/>
      <c r="T109" s="252"/>
      <c r="U109" s="252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269"/>
      <c r="AH109" s="269"/>
      <c r="AI109" s="269"/>
      <c r="AJ109" s="252"/>
      <c r="AK109" s="269"/>
      <c r="AL109" s="269"/>
      <c r="AM109" s="269"/>
      <c r="AN109" s="269"/>
      <c r="AO109" s="252"/>
      <c r="AP109" s="252"/>
      <c r="AQ109" s="252"/>
      <c r="AR109" s="252"/>
      <c r="AS109" s="252"/>
      <c r="AT109" s="252"/>
      <c r="AU109" s="252"/>
      <c r="AV109" s="252"/>
      <c r="AW109" s="252"/>
      <c r="AX109" s="252"/>
    </row>
    <row r="110" spans="1:50" s="4" customFormat="1">
      <c r="A110" s="252"/>
      <c r="B110" s="252"/>
      <c r="C110" s="252"/>
      <c r="D110" s="252"/>
      <c r="E110" s="252"/>
      <c r="F110" s="252"/>
      <c r="G110" s="252"/>
      <c r="H110" s="252"/>
      <c r="I110" s="252"/>
      <c r="J110" s="269"/>
      <c r="K110" s="269"/>
      <c r="L110" s="269"/>
      <c r="M110" s="269"/>
      <c r="N110" s="269"/>
      <c r="O110" s="269"/>
      <c r="P110" s="269"/>
      <c r="Q110" s="269"/>
      <c r="R110" s="269"/>
      <c r="S110" s="252"/>
      <c r="T110" s="252"/>
      <c r="U110" s="252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269"/>
      <c r="AH110" s="269"/>
      <c r="AI110" s="269"/>
      <c r="AJ110" s="252"/>
      <c r="AK110" s="269"/>
      <c r="AL110" s="269"/>
      <c r="AM110" s="269"/>
      <c r="AN110" s="269"/>
      <c r="AO110" s="252"/>
      <c r="AP110" s="252"/>
      <c r="AQ110" s="252"/>
      <c r="AR110" s="252"/>
      <c r="AS110" s="252"/>
      <c r="AT110" s="252"/>
      <c r="AU110" s="252"/>
      <c r="AV110" s="252"/>
      <c r="AW110" s="252"/>
      <c r="AX110" s="252"/>
    </row>
    <row r="111" spans="1:50" s="4" customFormat="1">
      <c r="A111" s="252"/>
      <c r="B111" s="252"/>
      <c r="C111" s="252"/>
      <c r="D111" s="252"/>
      <c r="E111" s="252"/>
      <c r="F111" s="252"/>
      <c r="G111" s="252"/>
      <c r="H111" s="252"/>
      <c r="I111" s="252"/>
      <c r="J111" s="269"/>
      <c r="K111" s="269"/>
      <c r="L111" s="269"/>
      <c r="M111" s="269"/>
      <c r="N111" s="269"/>
      <c r="O111" s="269"/>
      <c r="P111" s="269"/>
      <c r="Q111" s="269"/>
      <c r="R111" s="269"/>
      <c r="S111" s="252"/>
      <c r="T111" s="252"/>
      <c r="U111" s="252"/>
      <c r="V111" s="269"/>
      <c r="W111" s="269"/>
      <c r="X111" s="269"/>
      <c r="Y111" s="269"/>
      <c r="Z111" s="269"/>
      <c r="AA111" s="269"/>
      <c r="AB111" s="269"/>
      <c r="AC111" s="269"/>
      <c r="AD111" s="269"/>
      <c r="AE111" s="269"/>
      <c r="AF111" s="269"/>
      <c r="AG111" s="269"/>
      <c r="AH111" s="269"/>
      <c r="AI111" s="269"/>
      <c r="AJ111" s="252"/>
      <c r="AK111" s="269"/>
      <c r="AL111" s="269"/>
      <c r="AM111" s="269"/>
      <c r="AN111" s="269"/>
      <c r="AO111" s="252"/>
      <c r="AP111" s="252"/>
      <c r="AQ111" s="252"/>
      <c r="AR111" s="252"/>
      <c r="AS111" s="252"/>
      <c r="AT111" s="252"/>
      <c r="AU111" s="252"/>
      <c r="AV111" s="252"/>
      <c r="AW111" s="252"/>
      <c r="AX111" s="252"/>
    </row>
    <row r="112" spans="1:50" s="4" customFormat="1">
      <c r="A112" s="252"/>
      <c r="B112" s="252"/>
      <c r="C112" s="252"/>
      <c r="D112" s="252"/>
      <c r="E112" s="252"/>
      <c r="F112" s="252"/>
      <c r="G112" s="252"/>
      <c r="H112" s="252"/>
      <c r="I112" s="252"/>
      <c r="J112" s="269"/>
      <c r="K112" s="269"/>
      <c r="L112" s="269"/>
      <c r="M112" s="269"/>
      <c r="N112" s="269"/>
      <c r="O112" s="269"/>
      <c r="P112" s="269"/>
      <c r="Q112" s="269"/>
      <c r="R112" s="269"/>
      <c r="S112" s="252"/>
      <c r="T112" s="252"/>
      <c r="U112" s="252"/>
      <c r="V112" s="269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269"/>
      <c r="AI112" s="269"/>
      <c r="AJ112" s="252"/>
      <c r="AK112" s="269"/>
      <c r="AL112" s="269"/>
      <c r="AM112" s="269"/>
      <c r="AN112" s="269"/>
      <c r="AO112" s="252"/>
      <c r="AP112" s="252"/>
      <c r="AQ112" s="252"/>
      <c r="AR112" s="252"/>
      <c r="AS112" s="252"/>
      <c r="AT112" s="252"/>
      <c r="AU112" s="252"/>
      <c r="AV112" s="252"/>
      <c r="AW112" s="252"/>
      <c r="AX112" s="252"/>
    </row>
    <row r="113" spans="1:50" s="4" customFormat="1">
      <c r="A113" s="252"/>
      <c r="B113" s="252"/>
      <c r="C113" s="252"/>
      <c r="D113" s="252"/>
      <c r="E113" s="252"/>
      <c r="F113" s="252"/>
      <c r="G113" s="252"/>
      <c r="H113" s="252"/>
      <c r="I113" s="252"/>
      <c r="J113" s="269"/>
      <c r="K113" s="269"/>
      <c r="L113" s="269"/>
      <c r="M113" s="269"/>
      <c r="N113" s="269"/>
      <c r="O113" s="269"/>
      <c r="P113" s="269"/>
      <c r="Q113" s="269"/>
      <c r="R113" s="269"/>
      <c r="S113" s="252"/>
      <c r="T113" s="252"/>
      <c r="U113" s="252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269"/>
      <c r="AJ113" s="252"/>
      <c r="AK113" s="269"/>
      <c r="AL113" s="269"/>
      <c r="AM113" s="269"/>
      <c r="AN113" s="269"/>
      <c r="AO113" s="252"/>
      <c r="AP113" s="252"/>
      <c r="AQ113" s="252"/>
      <c r="AR113" s="252"/>
      <c r="AS113" s="252"/>
      <c r="AT113" s="252"/>
      <c r="AU113" s="252"/>
      <c r="AV113" s="252"/>
      <c r="AW113" s="252"/>
      <c r="AX113" s="252"/>
    </row>
    <row r="114" spans="1:50" s="4" customFormat="1">
      <c r="A114" s="252"/>
      <c r="B114" s="252"/>
      <c r="C114" s="252"/>
      <c r="D114" s="252"/>
      <c r="E114" s="252"/>
      <c r="F114" s="252"/>
      <c r="G114" s="252"/>
      <c r="H114" s="252"/>
      <c r="I114" s="252"/>
      <c r="J114" s="269"/>
      <c r="K114" s="269"/>
      <c r="L114" s="269"/>
      <c r="M114" s="269"/>
      <c r="N114" s="269"/>
      <c r="O114" s="269"/>
      <c r="P114" s="269"/>
      <c r="Q114" s="269"/>
      <c r="R114" s="269"/>
      <c r="S114" s="252"/>
      <c r="T114" s="252"/>
      <c r="U114" s="252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269"/>
      <c r="AJ114" s="252"/>
      <c r="AK114" s="269"/>
      <c r="AL114" s="269"/>
      <c r="AM114" s="269"/>
      <c r="AN114" s="269"/>
      <c r="AO114" s="252"/>
      <c r="AP114" s="252"/>
      <c r="AQ114" s="252"/>
      <c r="AR114" s="252"/>
      <c r="AS114" s="252"/>
      <c r="AT114" s="252"/>
      <c r="AU114" s="252"/>
      <c r="AV114" s="252"/>
      <c r="AW114" s="252"/>
      <c r="AX114" s="252"/>
    </row>
    <row r="115" spans="1:50" s="4" customFormat="1">
      <c r="A115" s="252"/>
      <c r="B115" s="252"/>
      <c r="C115" s="252"/>
      <c r="D115" s="252"/>
      <c r="E115" s="252"/>
      <c r="F115" s="252"/>
      <c r="G115" s="252"/>
      <c r="H115" s="252"/>
      <c r="I115" s="252"/>
      <c r="J115" s="269"/>
      <c r="K115" s="269"/>
      <c r="L115" s="269"/>
      <c r="M115" s="269"/>
      <c r="N115" s="269"/>
      <c r="O115" s="269"/>
      <c r="P115" s="269"/>
      <c r="Q115" s="269"/>
      <c r="R115" s="269"/>
      <c r="S115" s="252"/>
      <c r="T115" s="252"/>
      <c r="U115" s="252"/>
      <c r="V115" s="269"/>
      <c r="W115" s="269"/>
      <c r="X115" s="269"/>
      <c r="Y115" s="269"/>
      <c r="Z115" s="269"/>
      <c r="AA115" s="269"/>
      <c r="AB115" s="269"/>
      <c r="AC115" s="269"/>
      <c r="AD115" s="269"/>
      <c r="AE115" s="269"/>
      <c r="AF115" s="269"/>
      <c r="AG115" s="269"/>
      <c r="AH115" s="269"/>
      <c r="AI115" s="269"/>
      <c r="AJ115" s="252"/>
      <c r="AK115" s="269"/>
      <c r="AL115" s="269"/>
      <c r="AM115" s="269"/>
      <c r="AN115" s="269"/>
      <c r="AO115" s="252"/>
      <c r="AP115" s="252"/>
      <c r="AQ115" s="252"/>
      <c r="AR115" s="252"/>
      <c r="AS115" s="252"/>
      <c r="AT115" s="252"/>
      <c r="AU115" s="252"/>
      <c r="AV115" s="252"/>
      <c r="AW115" s="252"/>
      <c r="AX115" s="252"/>
    </row>
    <row r="116" spans="1:50" s="4" customFormat="1">
      <c r="A116" s="252"/>
      <c r="B116" s="252"/>
      <c r="C116" s="252"/>
      <c r="D116" s="252"/>
      <c r="E116" s="252"/>
      <c r="F116" s="252"/>
      <c r="G116" s="252"/>
      <c r="H116" s="252"/>
      <c r="I116" s="252"/>
      <c r="J116" s="269"/>
      <c r="K116" s="269"/>
      <c r="L116" s="269"/>
      <c r="M116" s="269"/>
      <c r="N116" s="269"/>
      <c r="O116" s="269"/>
      <c r="P116" s="269"/>
      <c r="Q116" s="269"/>
      <c r="R116" s="269"/>
      <c r="S116" s="252"/>
      <c r="T116" s="252"/>
      <c r="U116" s="252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52"/>
      <c r="AK116" s="269"/>
      <c r="AL116" s="269"/>
      <c r="AM116" s="269"/>
      <c r="AN116" s="269"/>
      <c r="AO116" s="252"/>
      <c r="AP116" s="252"/>
      <c r="AQ116" s="252"/>
      <c r="AR116" s="252"/>
      <c r="AS116" s="252"/>
      <c r="AT116" s="252"/>
      <c r="AU116" s="252"/>
      <c r="AV116" s="252"/>
      <c r="AW116" s="252"/>
      <c r="AX116" s="252"/>
    </row>
    <row r="117" spans="1:50" s="4" customFormat="1">
      <c r="A117" s="252"/>
      <c r="B117" s="252"/>
      <c r="C117" s="252"/>
      <c r="D117" s="252"/>
      <c r="E117" s="252"/>
      <c r="F117" s="252"/>
      <c r="G117" s="252"/>
      <c r="H117" s="252"/>
      <c r="I117" s="252"/>
      <c r="J117" s="269"/>
      <c r="K117" s="269"/>
      <c r="L117" s="269"/>
      <c r="M117" s="269"/>
      <c r="N117" s="269"/>
      <c r="O117" s="269"/>
      <c r="P117" s="269"/>
      <c r="Q117" s="269"/>
      <c r="R117" s="269"/>
      <c r="S117" s="252"/>
      <c r="T117" s="252"/>
      <c r="U117" s="252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69"/>
      <c r="AH117" s="269"/>
      <c r="AI117" s="269"/>
      <c r="AJ117" s="252"/>
      <c r="AK117" s="269"/>
      <c r="AL117" s="269"/>
      <c r="AM117" s="269"/>
      <c r="AN117" s="269"/>
      <c r="AO117" s="252"/>
      <c r="AP117" s="252"/>
      <c r="AQ117" s="252"/>
      <c r="AR117" s="252"/>
      <c r="AS117" s="252"/>
      <c r="AT117" s="252"/>
      <c r="AU117" s="252"/>
      <c r="AV117" s="252"/>
      <c r="AW117" s="252"/>
      <c r="AX117" s="252"/>
    </row>
    <row r="118" spans="1:50" s="4" customFormat="1">
      <c r="A118" s="252"/>
      <c r="B118" s="252"/>
      <c r="C118" s="252"/>
      <c r="D118" s="252"/>
      <c r="E118" s="252"/>
      <c r="F118" s="252"/>
      <c r="G118" s="252"/>
      <c r="H118" s="252"/>
      <c r="I118" s="252"/>
      <c r="J118" s="269"/>
      <c r="K118" s="269"/>
      <c r="L118" s="269"/>
      <c r="M118" s="269"/>
      <c r="N118" s="269"/>
      <c r="O118" s="269"/>
      <c r="P118" s="269"/>
      <c r="Q118" s="269"/>
      <c r="R118" s="269"/>
      <c r="S118" s="252"/>
      <c r="T118" s="252"/>
      <c r="U118" s="252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69"/>
      <c r="AH118" s="269"/>
      <c r="AI118" s="269"/>
      <c r="AJ118" s="252"/>
      <c r="AK118" s="269"/>
      <c r="AL118" s="269"/>
      <c r="AM118" s="269"/>
      <c r="AN118" s="269"/>
      <c r="AO118" s="252"/>
      <c r="AP118" s="252"/>
      <c r="AQ118" s="252"/>
      <c r="AR118" s="252"/>
      <c r="AS118" s="252"/>
      <c r="AT118" s="252"/>
      <c r="AU118" s="252"/>
      <c r="AV118" s="252"/>
      <c r="AW118" s="252"/>
      <c r="AX118" s="252"/>
    </row>
    <row r="119" spans="1:50" s="4" customFormat="1">
      <c r="A119" s="252"/>
      <c r="B119" s="252"/>
      <c r="C119" s="252"/>
      <c r="D119" s="252"/>
      <c r="E119" s="252"/>
      <c r="F119" s="252"/>
      <c r="G119" s="252"/>
      <c r="H119" s="252"/>
      <c r="I119" s="252"/>
      <c r="J119" s="269"/>
      <c r="K119" s="269"/>
      <c r="L119" s="269"/>
      <c r="M119" s="269"/>
      <c r="N119" s="269"/>
      <c r="O119" s="269"/>
      <c r="P119" s="269"/>
      <c r="Q119" s="269"/>
      <c r="R119" s="269"/>
      <c r="S119" s="252"/>
      <c r="T119" s="252"/>
      <c r="U119" s="252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69"/>
      <c r="AH119" s="269"/>
      <c r="AI119" s="269"/>
      <c r="AJ119" s="252"/>
      <c r="AK119" s="269"/>
      <c r="AL119" s="269"/>
      <c r="AM119" s="269"/>
      <c r="AN119" s="269"/>
      <c r="AO119" s="252"/>
      <c r="AP119" s="252"/>
      <c r="AQ119" s="252"/>
      <c r="AR119" s="252"/>
      <c r="AS119" s="252"/>
      <c r="AT119" s="252"/>
      <c r="AU119" s="252"/>
      <c r="AV119" s="252"/>
      <c r="AW119" s="252"/>
      <c r="AX119" s="252"/>
    </row>
    <row r="120" spans="1:50" s="4" customFormat="1">
      <c r="A120" s="252"/>
      <c r="B120" s="252"/>
      <c r="C120" s="252"/>
      <c r="D120" s="252"/>
      <c r="E120" s="252"/>
      <c r="F120" s="252"/>
      <c r="G120" s="252"/>
      <c r="H120" s="252"/>
      <c r="I120" s="252"/>
      <c r="J120" s="269"/>
      <c r="K120" s="269"/>
      <c r="L120" s="269"/>
      <c r="M120" s="269"/>
      <c r="N120" s="269"/>
      <c r="O120" s="269"/>
      <c r="P120" s="269"/>
      <c r="Q120" s="269"/>
      <c r="R120" s="269"/>
      <c r="S120" s="252"/>
      <c r="T120" s="252"/>
      <c r="U120" s="252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52"/>
      <c r="AK120" s="269"/>
      <c r="AL120" s="269"/>
      <c r="AM120" s="269"/>
      <c r="AN120" s="269"/>
      <c r="AO120" s="252"/>
      <c r="AP120" s="252"/>
      <c r="AQ120" s="252"/>
      <c r="AR120" s="252"/>
      <c r="AS120" s="252"/>
      <c r="AT120" s="252"/>
      <c r="AU120" s="252"/>
      <c r="AV120" s="252"/>
      <c r="AW120" s="252"/>
      <c r="AX120" s="252"/>
    </row>
    <row r="121" spans="1:50" s="4" customFormat="1">
      <c r="A121" s="252"/>
      <c r="B121" s="252"/>
      <c r="C121" s="252"/>
      <c r="D121" s="252"/>
      <c r="E121" s="252"/>
      <c r="F121" s="252"/>
      <c r="G121" s="252"/>
      <c r="H121" s="252"/>
      <c r="I121" s="252"/>
      <c r="J121" s="269"/>
      <c r="K121" s="269"/>
      <c r="L121" s="269"/>
      <c r="M121" s="269"/>
      <c r="N121" s="269"/>
      <c r="O121" s="269"/>
      <c r="P121" s="269"/>
      <c r="Q121" s="269"/>
      <c r="R121" s="269"/>
      <c r="S121" s="252"/>
      <c r="T121" s="252"/>
      <c r="U121" s="252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69"/>
      <c r="AH121" s="269"/>
      <c r="AI121" s="269"/>
      <c r="AJ121" s="252"/>
      <c r="AK121" s="269"/>
      <c r="AL121" s="269"/>
      <c r="AM121" s="269"/>
      <c r="AN121" s="269"/>
      <c r="AO121" s="252"/>
      <c r="AP121" s="252"/>
      <c r="AQ121" s="252"/>
      <c r="AR121" s="252"/>
      <c r="AS121" s="252"/>
      <c r="AT121" s="252"/>
      <c r="AU121" s="252"/>
      <c r="AV121" s="252"/>
      <c r="AW121" s="252"/>
      <c r="AX121" s="252"/>
    </row>
    <row r="122" spans="1:50" s="4" customFormat="1">
      <c r="A122" s="252"/>
      <c r="B122" s="252"/>
      <c r="C122" s="252"/>
      <c r="D122" s="252"/>
      <c r="E122" s="252"/>
      <c r="F122" s="252"/>
      <c r="G122" s="252"/>
      <c r="H122" s="252"/>
      <c r="I122" s="252"/>
      <c r="J122" s="269"/>
      <c r="K122" s="269"/>
      <c r="L122" s="269"/>
      <c r="M122" s="269"/>
      <c r="N122" s="269"/>
      <c r="O122" s="269"/>
      <c r="P122" s="269"/>
      <c r="Q122" s="269"/>
      <c r="R122" s="269"/>
      <c r="S122" s="252"/>
      <c r="T122" s="252"/>
      <c r="U122" s="252"/>
      <c r="V122" s="269"/>
      <c r="W122" s="269"/>
      <c r="X122" s="269"/>
      <c r="Y122" s="269"/>
      <c r="Z122" s="269"/>
      <c r="AA122" s="269"/>
      <c r="AB122" s="269"/>
      <c r="AC122" s="269"/>
      <c r="AD122" s="269"/>
      <c r="AE122" s="269"/>
      <c r="AF122" s="269"/>
      <c r="AG122" s="269"/>
      <c r="AH122" s="269"/>
      <c r="AI122" s="269"/>
      <c r="AJ122" s="252"/>
      <c r="AK122" s="269"/>
      <c r="AL122" s="269"/>
      <c r="AM122" s="269"/>
      <c r="AN122" s="269"/>
      <c r="AO122" s="252"/>
      <c r="AP122" s="252"/>
      <c r="AQ122" s="252"/>
      <c r="AR122" s="252"/>
      <c r="AS122" s="252"/>
      <c r="AT122" s="252"/>
      <c r="AU122" s="252"/>
      <c r="AV122" s="252"/>
      <c r="AW122" s="252"/>
      <c r="AX122" s="252"/>
    </row>
    <row r="123" spans="1:50" s="4" customFormat="1">
      <c r="A123" s="252"/>
      <c r="B123" s="252"/>
      <c r="C123" s="252"/>
      <c r="D123" s="252"/>
      <c r="E123" s="252"/>
      <c r="F123" s="252"/>
      <c r="G123" s="252"/>
      <c r="H123" s="252"/>
      <c r="I123" s="252"/>
      <c r="J123" s="269"/>
      <c r="K123" s="269"/>
      <c r="L123" s="269"/>
      <c r="M123" s="269"/>
      <c r="N123" s="269"/>
      <c r="O123" s="269"/>
      <c r="P123" s="269"/>
      <c r="Q123" s="269"/>
      <c r="R123" s="269"/>
      <c r="S123" s="252"/>
      <c r="T123" s="252"/>
      <c r="U123" s="252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52"/>
      <c r="AK123" s="269"/>
      <c r="AL123" s="269"/>
      <c r="AM123" s="269"/>
      <c r="AN123" s="269"/>
      <c r="AO123" s="252"/>
      <c r="AP123" s="252"/>
      <c r="AQ123" s="252"/>
      <c r="AR123" s="252"/>
      <c r="AS123" s="252"/>
      <c r="AT123" s="252"/>
      <c r="AU123" s="252"/>
      <c r="AV123" s="252"/>
      <c r="AW123" s="252"/>
      <c r="AX123" s="252"/>
    </row>
    <row r="124" spans="1:50" s="4" customFormat="1">
      <c r="A124" s="252"/>
      <c r="B124" s="252"/>
      <c r="C124" s="252"/>
      <c r="D124" s="252"/>
      <c r="E124" s="252"/>
      <c r="F124" s="252"/>
      <c r="G124" s="252"/>
      <c r="H124" s="252"/>
      <c r="I124" s="252"/>
      <c r="J124" s="269"/>
      <c r="K124" s="269"/>
      <c r="L124" s="269"/>
      <c r="M124" s="269"/>
      <c r="N124" s="269"/>
      <c r="O124" s="269"/>
      <c r="P124" s="269"/>
      <c r="Q124" s="269"/>
      <c r="R124" s="269"/>
      <c r="S124" s="252"/>
      <c r="T124" s="252"/>
      <c r="U124" s="252"/>
      <c r="V124" s="269"/>
      <c r="W124" s="269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52"/>
      <c r="AK124" s="269"/>
      <c r="AL124" s="269"/>
      <c r="AM124" s="269"/>
      <c r="AN124" s="269"/>
      <c r="AO124" s="252"/>
      <c r="AP124" s="252"/>
      <c r="AQ124" s="252"/>
      <c r="AR124" s="252"/>
      <c r="AS124" s="252"/>
      <c r="AT124" s="252"/>
      <c r="AU124" s="252"/>
      <c r="AV124" s="252"/>
      <c r="AW124" s="252"/>
      <c r="AX124" s="252"/>
    </row>
    <row r="125" spans="1:50" s="4" customFormat="1">
      <c r="A125" s="252"/>
      <c r="B125" s="252"/>
      <c r="C125" s="252"/>
      <c r="D125" s="252"/>
      <c r="E125" s="252"/>
      <c r="F125" s="252"/>
      <c r="G125" s="252"/>
      <c r="H125" s="252"/>
      <c r="I125" s="252"/>
      <c r="J125" s="269"/>
      <c r="K125" s="269"/>
      <c r="L125" s="269"/>
      <c r="M125" s="269"/>
      <c r="N125" s="269"/>
      <c r="O125" s="269"/>
      <c r="P125" s="269"/>
      <c r="Q125" s="269"/>
      <c r="R125" s="269"/>
      <c r="S125" s="252"/>
      <c r="T125" s="252"/>
      <c r="U125" s="252"/>
      <c r="V125" s="269"/>
      <c r="W125" s="269"/>
      <c r="X125" s="269"/>
      <c r="Y125" s="269"/>
      <c r="Z125" s="269"/>
      <c r="AA125" s="269"/>
      <c r="AB125" s="269"/>
      <c r="AC125" s="269"/>
      <c r="AD125" s="269"/>
      <c r="AE125" s="269"/>
      <c r="AF125" s="269"/>
      <c r="AG125" s="269"/>
      <c r="AH125" s="269"/>
      <c r="AI125" s="269"/>
      <c r="AJ125" s="252"/>
      <c r="AK125" s="269"/>
      <c r="AL125" s="269"/>
      <c r="AM125" s="269"/>
      <c r="AN125" s="269"/>
      <c r="AO125" s="252"/>
      <c r="AP125" s="252"/>
      <c r="AQ125" s="252"/>
      <c r="AR125" s="252"/>
      <c r="AS125" s="252"/>
      <c r="AT125" s="252"/>
      <c r="AU125" s="252"/>
      <c r="AV125" s="252"/>
      <c r="AW125" s="252"/>
      <c r="AX125" s="252"/>
    </row>
    <row r="126" spans="1:50" s="4" customFormat="1">
      <c r="A126" s="252"/>
      <c r="B126" s="252"/>
      <c r="C126" s="252"/>
      <c r="D126" s="252"/>
      <c r="E126" s="252"/>
      <c r="F126" s="252"/>
      <c r="G126" s="252"/>
      <c r="H126" s="252"/>
      <c r="I126" s="252"/>
      <c r="J126" s="269"/>
      <c r="K126" s="269"/>
      <c r="L126" s="269"/>
      <c r="M126" s="269"/>
      <c r="N126" s="269"/>
      <c r="O126" s="269"/>
      <c r="P126" s="269"/>
      <c r="Q126" s="269"/>
      <c r="R126" s="269"/>
      <c r="S126" s="252"/>
      <c r="T126" s="252"/>
      <c r="U126" s="252"/>
      <c r="V126" s="269"/>
      <c r="W126" s="269"/>
      <c r="X126" s="269"/>
      <c r="Y126" s="269"/>
      <c r="Z126" s="269"/>
      <c r="AA126" s="269"/>
      <c r="AB126" s="269"/>
      <c r="AC126" s="269"/>
      <c r="AD126" s="269"/>
      <c r="AE126" s="269"/>
      <c r="AF126" s="269"/>
      <c r="AG126" s="269"/>
      <c r="AH126" s="269"/>
      <c r="AI126" s="269"/>
      <c r="AJ126" s="252"/>
      <c r="AK126" s="269"/>
      <c r="AL126" s="269"/>
      <c r="AM126" s="269"/>
      <c r="AN126" s="269"/>
      <c r="AO126" s="252"/>
      <c r="AP126" s="252"/>
      <c r="AQ126" s="252"/>
      <c r="AR126" s="252"/>
      <c r="AS126" s="252"/>
      <c r="AT126" s="252"/>
      <c r="AU126" s="252"/>
      <c r="AV126" s="252"/>
      <c r="AW126" s="252"/>
      <c r="AX126" s="252"/>
    </row>
    <row r="127" spans="1:50" s="4" customFormat="1">
      <c r="A127" s="252"/>
      <c r="B127" s="252"/>
      <c r="C127" s="252"/>
      <c r="D127" s="252"/>
      <c r="E127" s="252"/>
      <c r="F127" s="252"/>
      <c r="G127" s="252"/>
      <c r="H127" s="252"/>
      <c r="I127" s="252"/>
      <c r="J127" s="269"/>
      <c r="K127" s="269"/>
      <c r="L127" s="269"/>
      <c r="M127" s="269"/>
      <c r="N127" s="269"/>
      <c r="O127" s="269"/>
      <c r="P127" s="269"/>
      <c r="Q127" s="269"/>
      <c r="R127" s="269"/>
      <c r="S127" s="252"/>
      <c r="T127" s="252"/>
      <c r="U127" s="252"/>
      <c r="V127" s="269"/>
      <c r="W127" s="269"/>
      <c r="X127" s="269"/>
      <c r="Y127" s="269"/>
      <c r="Z127" s="269"/>
      <c r="AA127" s="269"/>
      <c r="AB127" s="269"/>
      <c r="AC127" s="269"/>
      <c r="AD127" s="269"/>
      <c r="AE127" s="269"/>
      <c r="AF127" s="269"/>
      <c r="AG127" s="269"/>
      <c r="AH127" s="269"/>
      <c r="AI127" s="269"/>
      <c r="AJ127" s="252"/>
      <c r="AK127" s="269"/>
      <c r="AL127" s="269"/>
      <c r="AM127" s="269"/>
      <c r="AN127" s="269"/>
      <c r="AO127" s="252"/>
      <c r="AP127" s="252"/>
      <c r="AQ127" s="252"/>
      <c r="AR127" s="252"/>
      <c r="AS127" s="252"/>
      <c r="AT127" s="252"/>
      <c r="AU127" s="252"/>
      <c r="AV127" s="252"/>
      <c r="AW127" s="252"/>
      <c r="AX127" s="252"/>
    </row>
    <row r="128" spans="1:50" s="4" customFormat="1">
      <c r="A128" s="252"/>
      <c r="B128" s="252"/>
      <c r="C128" s="252"/>
      <c r="D128" s="252"/>
      <c r="E128" s="252"/>
      <c r="F128" s="252"/>
      <c r="G128" s="252"/>
      <c r="H128" s="252"/>
      <c r="I128" s="252"/>
      <c r="J128" s="269"/>
      <c r="K128" s="269"/>
      <c r="L128" s="269"/>
      <c r="M128" s="269"/>
      <c r="N128" s="269"/>
      <c r="O128" s="269"/>
      <c r="P128" s="269"/>
      <c r="Q128" s="269"/>
      <c r="R128" s="269"/>
      <c r="S128" s="252"/>
      <c r="T128" s="252"/>
      <c r="U128" s="252"/>
      <c r="V128" s="269"/>
      <c r="W128" s="269"/>
      <c r="X128" s="269"/>
      <c r="Y128" s="269"/>
      <c r="Z128" s="269"/>
      <c r="AA128" s="269"/>
      <c r="AB128" s="269"/>
      <c r="AC128" s="269"/>
      <c r="AD128" s="269"/>
      <c r="AE128" s="269"/>
      <c r="AF128" s="269"/>
      <c r="AG128" s="269"/>
      <c r="AH128" s="269"/>
      <c r="AI128" s="269"/>
      <c r="AJ128" s="252"/>
      <c r="AK128" s="269"/>
      <c r="AL128" s="269"/>
      <c r="AM128" s="269"/>
      <c r="AN128" s="269"/>
      <c r="AO128" s="252"/>
      <c r="AP128" s="252"/>
      <c r="AQ128" s="252"/>
      <c r="AR128" s="252"/>
      <c r="AS128" s="252"/>
      <c r="AT128" s="252"/>
      <c r="AU128" s="252"/>
      <c r="AV128" s="252"/>
      <c r="AW128" s="252"/>
      <c r="AX128" s="252"/>
    </row>
    <row r="129" spans="1:50" s="4" customFormat="1">
      <c r="A129" s="252"/>
      <c r="B129" s="252"/>
      <c r="C129" s="252"/>
      <c r="D129" s="252"/>
      <c r="E129" s="252"/>
      <c r="F129" s="252"/>
      <c r="G129" s="252"/>
      <c r="H129" s="252"/>
      <c r="I129" s="252"/>
      <c r="J129" s="269"/>
      <c r="K129" s="269"/>
      <c r="L129" s="269"/>
      <c r="M129" s="269"/>
      <c r="N129" s="269"/>
      <c r="O129" s="269"/>
      <c r="P129" s="269"/>
      <c r="Q129" s="269"/>
      <c r="R129" s="269"/>
      <c r="S129" s="252"/>
      <c r="T129" s="252"/>
      <c r="U129" s="252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52"/>
      <c r="AK129" s="269"/>
      <c r="AL129" s="269"/>
      <c r="AM129" s="269"/>
      <c r="AN129" s="269"/>
      <c r="AO129" s="252"/>
      <c r="AP129" s="252"/>
      <c r="AQ129" s="252"/>
      <c r="AR129" s="252"/>
      <c r="AS129" s="252"/>
      <c r="AT129" s="252"/>
      <c r="AU129" s="252"/>
      <c r="AV129" s="252"/>
      <c r="AW129" s="252"/>
      <c r="AX129" s="252"/>
    </row>
    <row r="130" spans="1:50" s="4" customFormat="1">
      <c r="A130" s="252"/>
      <c r="B130" s="252"/>
      <c r="C130" s="252"/>
      <c r="D130" s="252"/>
      <c r="E130" s="252"/>
      <c r="F130" s="252"/>
      <c r="G130" s="252"/>
      <c r="H130" s="252"/>
      <c r="I130" s="252"/>
      <c r="J130" s="269"/>
      <c r="K130" s="269"/>
      <c r="L130" s="269"/>
      <c r="M130" s="269"/>
      <c r="N130" s="269"/>
      <c r="O130" s="269"/>
      <c r="P130" s="269"/>
      <c r="Q130" s="269"/>
      <c r="R130" s="269"/>
      <c r="S130" s="252"/>
      <c r="T130" s="252"/>
      <c r="U130" s="252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52"/>
      <c r="AK130" s="269"/>
      <c r="AL130" s="269"/>
      <c r="AM130" s="269"/>
      <c r="AN130" s="269"/>
      <c r="AO130" s="252"/>
      <c r="AP130" s="252"/>
      <c r="AQ130" s="252"/>
      <c r="AR130" s="252"/>
      <c r="AS130" s="252"/>
      <c r="AT130" s="252"/>
      <c r="AU130" s="252"/>
      <c r="AV130" s="252"/>
      <c r="AW130" s="252"/>
      <c r="AX130" s="252"/>
    </row>
    <row r="131" spans="1:50" s="4" customFormat="1">
      <c r="A131" s="252"/>
      <c r="B131" s="252"/>
      <c r="C131" s="252"/>
      <c r="D131" s="252"/>
      <c r="E131" s="252"/>
      <c r="F131" s="252"/>
      <c r="G131" s="252"/>
      <c r="H131" s="252"/>
      <c r="I131" s="252"/>
      <c r="J131" s="269"/>
      <c r="K131" s="269"/>
      <c r="L131" s="269"/>
      <c r="M131" s="269"/>
      <c r="N131" s="269"/>
      <c r="O131" s="269"/>
      <c r="P131" s="269"/>
      <c r="Q131" s="269"/>
      <c r="R131" s="269"/>
      <c r="S131" s="252"/>
      <c r="T131" s="252"/>
      <c r="U131" s="252"/>
      <c r="V131" s="269"/>
      <c r="W131" s="269"/>
      <c r="X131" s="269"/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52"/>
      <c r="AK131" s="269"/>
      <c r="AL131" s="269"/>
      <c r="AM131" s="269"/>
      <c r="AN131" s="269"/>
      <c r="AO131" s="252"/>
      <c r="AP131" s="252"/>
      <c r="AQ131" s="252"/>
      <c r="AR131" s="252"/>
      <c r="AS131" s="252"/>
      <c r="AT131" s="252"/>
      <c r="AU131" s="252"/>
      <c r="AV131" s="252"/>
      <c r="AW131" s="252"/>
      <c r="AX131" s="252"/>
    </row>
    <row r="132" spans="1:50" s="4" customFormat="1">
      <c r="A132" s="252"/>
      <c r="B132" s="252"/>
      <c r="C132" s="252"/>
      <c r="D132" s="252"/>
      <c r="E132" s="252"/>
      <c r="F132" s="252"/>
      <c r="G132" s="252"/>
      <c r="H132" s="252"/>
      <c r="I132" s="252"/>
      <c r="J132" s="269"/>
      <c r="K132" s="269"/>
      <c r="L132" s="269"/>
      <c r="M132" s="269"/>
      <c r="N132" s="269"/>
      <c r="O132" s="269"/>
      <c r="P132" s="269"/>
      <c r="Q132" s="269"/>
      <c r="R132" s="269"/>
      <c r="S132" s="252"/>
      <c r="T132" s="252"/>
      <c r="U132" s="252"/>
      <c r="V132" s="269"/>
      <c r="W132" s="269"/>
      <c r="X132" s="269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52"/>
      <c r="AK132" s="269"/>
      <c r="AL132" s="269"/>
      <c r="AM132" s="269"/>
      <c r="AN132" s="269"/>
      <c r="AO132" s="252"/>
      <c r="AP132" s="252"/>
      <c r="AQ132" s="252"/>
      <c r="AR132" s="252"/>
      <c r="AS132" s="252"/>
      <c r="AT132" s="252"/>
      <c r="AU132" s="252"/>
      <c r="AV132" s="252"/>
      <c r="AW132" s="252"/>
      <c r="AX132" s="252"/>
    </row>
    <row r="133" spans="1:50" s="4" customFormat="1">
      <c r="A133" s="252"/>
      <c r="B133" s="252"/>
      <c r="C133" s="252"/>
      <c r="D133" s="252"/>
      <c r="E133" s="252"/>
      <c r="F133" s="252"/>
      <c r="G133" s="252"/>
      <c r="H133" s="252"/>
      <c r="I133" s="252"/>
      <c r="J133" s="269"/>
      <c r="K133" s="269"/>
      <c r="L133" s="269"/>
      <c r="M133" s="269"/>
      <c r="N133" s="269"/>
      <c r="O133" s="269"/>
      <c r="P133" s="269"/>
      <c r="Q133" s="269"/>
      <c r="R133" s="269"/>
      <c r="S133" s="252"/>
      <c r="T133" s="252"/>
      <c r="U133" s="252"/>
      <c r="V133" s="269"/>
      <c r="W133" s="269"/>
      <c r="X133" s="269"/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52"/>
      <c r="AK133" s="269"/>
      <c r="AL133" s="269"/>
      <c r="AM133" s="269"/>
      <c r="AN133" s="269"/>
      <c r="AO133" s="252"/>
      <c r="AP133" s="252"/>
      <c r="AQ133" s="252"/>
      <c r="AR133" s="252"/>
      <c r="AS133" s="252"/>
      <c r="AT133" s="252"/>
      <c r="AU133" s="252"/>
      <c r="AV133" s="252"/>
      <c r="AW133" s="252"/>
      <c r="AX133" s="252"/>
    </row>
    <row r="134" spans="1:50" s="4" customFormat="1">
      <c r="A134" s="252"/>
      <c r="B134" s="252"/>
      <c r="C134" s="252"/>
      <c r="D134" s="252"/>
      <c r="E134" s="252"/>
      <c r="F134" s="252"/>
      <c r="G134" s="252"/>
      <c r="H134" s="252"/>
      <c r="I134" s="252"/>
      <c r="J134" s="269"/>
      <c r="K134" s="269"/>
      <c r="L134" s="269"/>
      <c r="M134" s="269"/>
      <c r="N134" s="269"/>
      <c r="O134" s="269"/>
      <c r="P134" s="269"/>
      <c r="Q134" s="269"/>
      <c r="R134" s="269"/>
      <c r="S134" s="252"/>
      <c r="T134" s="252"/>
      <c r="U134" s="252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52"/>
      <c r="AK134" s="269"/>
      <c r="AL134" s="269"/>
      <c r="AM134" s="269"/>
      <c r="AN134" s="269"/>
      <c r="AO134" s="252"/>
      <c r="AP134" s="252"/>
      <c r="AQ134" s="252"/>
      <c r="AR134" s="252"/>
      <c r="AS134" s="252"/>
      <c r="AT134" s="252"/>
      <c r="AU134" s="252"/>
      <c r="AV134" s="252"/>
      <c r="AW134" s="252"/>
      <c r="AX134" s="252"/>
    </row>
    <row r="135" spans="1:50" s="4" customFormat="1">
      <c r="A135" s="252"/>
      <c r="B135" s="252"/>
      <c r="C135" s="252"/>
      <c r="D135" s="252"/>
      <c r="E135" s="252"/>
      <c r="F135" s="252"/>
      <c r="G135" s="252"/>
      <c r="H135" s="252"/>
      <c r="I135" s="252"/>
      <c r="J135" s="269"/>
      <c r="K135" s="269"/>
      <c r="L135" s="269"/>
      <c r="M135" s="269"/>
      <c r="N135" s="269"/>
      <c r="O135" s="269"/>
      <c r="P135" s="269"/>
      <c r="Q135" s="269"/>
      <c r="R135" s="269"/>
      <c r="S135" s="252"/>
      <c r="T135" s="252"/>
      <c r="U135" s="252"/>
      <c r="V135" s="269"/>
      <c r="W135" s="269"/>
      <c r="X135" s="269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52"/>
      <c r="AK135" s="269"/>
      <c r="AL135" s="269"/>
      <c r="AM135" s="269"/>
      <c r="AN135" s="269"/>
      <c r="AO135" s="252"/>
      <c r="AP135" s="252"/>
      <c r="AQ135" s="252"/>
      <c r="AR135" s="252"/>
      <c r="AS135" s="252"/>
      <c r="AT135" s="252"/>
      <c r="AU135" s="252"/>
      <c r="AV135" s="252"/>
      <c r="AW135" s="252"/>
      <c r="AX135" s="252"/>
    </row>
    <row r="136" spans="1:50" s="4" customFormat="1">
      <c r="A136" s="252"/>
      <c r="B136" s="252"/>
      <c r="C136" s="252"/>
      <c r="D136" s="252"/>
      <c r="E136" s="252"/>
      <c r="F136" s="252"/>
      <c r="G136" s="252"/>
      <c r="H136" s="252"/>
      <c r="I136" s="252"/>
      <c r="J136" s="269"/>
      <c r="K136" s="269"/>
      <c r="L136" s="269"/>
      <c r="M136" s="269"/>
      <c r="N136" s="269"/>
      <c r="O136" s="269"/>
      <c r="P136" s="269"/>
      <c r="Q136" s="269"/>
      <c r="R136" s="269"/>
      <c r="S136" s="252"/>
      <c r="T136" s="252"/>
      <c r="U136" s="252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52"/>
      <c r="AK136" s="269"/>
      <c r="AL136" s="269"/>
      <c r="AM136" s="269"/>
      <c r="AN136" s="269"/>
      <c r="AO136" s="252"/>
      <c r="AP136" s="252"/>
      <c r="AQ136" s="252"/>
      <c r="AR136" s="252"/>
      <c r="AS136" s="252"/>
      <c r="AT136" s="252"/>
      <c r="AU136" s="252"/>
      <c r="AV136" s="252"/>
      <c r="AW136" s="252"/>
      <c r="AX136" s="252"/>
    </row>
    <row r="137" spans="1:50" s="4" customFormat="1">
      <c r="A137" s="252"/>
      <c r="B137" s="252"/>
      <c r="C137" s="252"/>
      <c r="D137" s="252"/>
      <c r="E137" s="252"/>
      <c r="F137" s="252"/>
      <c r="G137" s="252"/>
      <c r="H137" s="252"/>
      <c r="I137" s="252"/>
      <c r="J137" s="269"/>
      <c r="K137" s="269"/>
      <c r="L137" s="269"/>
      <c r="M137" s="269"/>
      <c r="N137" s="269"/>
      <c r="O137" s="269"/>
      <c r="P137" s="269"/>
      <c r="Q137" s="269"/>
      <c r="R137" s="269"/>
      <c r="S137" s="252"/>
      <c r="T137" s="252"/>
      <c r="U137" s="252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52"/>
      <c r="AK137" s="269"/>
      <c r="AL137" s="269"/>
      <c r="AM137" s="269"/>
      <c r="AN137" s="269"/>
      <c r="AO137" s="252"/>
      <c r="AP137" s="252"/>
      <c r="AQ137" s="252"/>
      <c r="AR137" s="252"/>
      <c r="AS137" s="252"/>
      <c r="AT137" s="252"/>
      <c r="AU137" s="252"/>
      <c r="AV137" s="252"/>
      <c r="AW137" s="252"/>
      <c r="AX137" s="252"/>
    </row>
    <row r="138" spans="1:50" s="4" customFormat="1">
      <c r="A138" s="252"/>
      <c r="B138" s="252"/>
      <c r="C138" s="252"/>
      <c r="D138" s="252"/>
      <c r="E138" s="252"/>
      <c r="F138" s="252"/>
      <c r="G138" s="252"/>
      <c r="H138" s="252"/>
      <c r="I138" s="252"/>
      <c r="J138" s="269"/>
      <c r="K138" s="269"/>
      <c r="L138" s="269"/>
      <c r="M138" s="269"/>
      <c r="N138" s="269"/>
      <c r="O138" s="269"/>
      <c r="P138" s="269"/>
      <c r="Q138" s="269"/>
      <c r="R138" s="269"/>
      <c r="S138" s="252"/>
      <c r="T138" s="252"/>
      <c r="U138" s="252"/>
      <c r="V138" s="269"/>
      <c r="W138" s="269"/>
      <c r="X138" s="269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52"/>
      <c r="AK138" s="269"/>
      <c r="AL138" s="269"/>
      <c r="AM138" s="269"/>
      <c r="AN138" s="269"/>
      <c r="AO138" s="252"/>
      <c r="AP138" s="252"/>
      <c r="AQ138" s="252"/>
      <c r="AR138" s="252"/>
      <c r="AS138" s="252"/>
      <c r="AT138" s="252"/>
      <c r="AU138" s="252"/>
      <c r="AV138" s="252"/>
      <c r="AW138" s="252"/>
      <c r="AX138" s="252"/>
    </row>
    <row r="139" spans="1:50" s="4" customFormat="1">
      <c r="A139" s="252"/>
      <c r="B139" s="252"/>
      <c r="C139" s="252"/>
      <c r="D139" s="252"/>
      <c r="E139" s="252"/>
      <c r="F139" s="252"/>
      <c r="G139" s="252"/>
      <c r="H139" s="252"/>
      <c r="I139" s="252"/>
      <c r="J139" s="269"/>
      <c r="K139" s="269"/>
      <c r="L139" s="269"/>
      <c r="M139" s="269"/>
      <c r="N139" s="269"/>
      <c r="O139" s="269"/>
      <c r="P139" s="269"/>
      <c r="Q139" s="269"/>
      <c r="R139" s="269"/>
      <c r="S139" s="252"/>
      <c r="T139" s="252"/>
      <c r="U139" s="252"/>
      <c r="V139" s="269"/>
      <c r="W139" s="269"/>
      <c r="X139" s="269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52"/>
      <c r="AK139" s="269"/>
      <c r="AL139" s="269"/>
      <c r="AM139" s="269"/>
      <c r="AN139" s="269"/>
      <c r="AO139" s="252"/>
      <c r="AP139" s="252"/>
      <c r="AQ139" s="252"/>
      <c r="AR139" s="252"/>
      <c r="AS139" s="252"/>
      <c r="AT139" s="252"/>
      <c r="AU139" s="252"/>
      <c r="AV139" s="252"/>
      <c r="AW139" s="252"/>
      <c r="AX139" s="252"/>
    </row>
    <row r="140" spans="1:50" s="4" customFormat="1">
      <c r="A140" s="252"/>
      <c r="B140" s="252"/>
      <c r="C140" s="252"/>
      <c r="D140" s="252"/>
      <c r="E140" s="252"/>
      <c r="F140" s="252"/>
      <c r="G140" s="252"/>
      <c r="H140" s="252"/>
      <c r="I140" s="252"/>
      <c r="J140" s="269"/>
      <c r="K140" s="269"/>
      <c r="L140" s="269"/>
      <c r="M140" s="269"/>
      <c r="N140" s="269"/>
      <c r="O140" s="269"/>
      <c r="P140" s="269"/>
      <c r="Q140" s="269"/>
      <c r="R140" s="269"/>
      <c r="S140" s="252"/>
      <c r="T140" s="252"/>
      <c r="U140" s="252"/>
      <c r="V140" s="269"/>
      <c r="W140" s="269"/>
      <c r="X140" s="269"/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269"/>
      <c r="AJ140" s="252"/>
      <c r="AK140" s="269"/>
      <c r="AL140" s="269"/>
      <c r="AM140" s="269"/>
      <c r="AN140" s="269"/>
      <c r="AO140" s="252"/>
      <c r="AP140" s="252"/>
      <c r="AQ140" s="252"/>
      <c r="AR140" s="252"/>
      <c r="AS140" s="252"/>
      <c r="AT140" s="252"/>
      <c r="AU140" s="252"/>
      <c r="AV140" s="252"/>
      <c r="AW140" s="252"/>
      <c r="AX140" s="252"/>
    </row>
    <row r="141" spans="1:50" s="4" customFormat="1">
      <c r="A141" s="252"/>
      <c r="B141" s="252"/>
      <c r="C141" s="252"/>
      <c r="D141" s="252"/>
      <c r="E141" s="252"/>
      <c r="F141" s="252"/>
      <c r="G141" s="252"/>
      <c r="H141" s="252"/>
      <c r="I141" s="252"/>
      <c r="J141" s="269"/>
      <c r="K141" s="269"/>
      <c r="L141" s="269"/>
      <c r="M141" s="269"/>
      <c r="N141" s="269"/>
      <c r="O141" s="269"/>
      <c r="P141" s="269"/>
      <c r="Q141" s="269"/>
      <c r="R141" s="269"/>
      <c r="S141" s="252"/>
      <c r="T141" s="252"/>
      <c r="U141" s="252"/>
      <c r="V141" s="269"/>
      <c r="W141" s="269"/>
      <c r="X141" s="269"/>
      <c r="Y141" s="269"/>
      <c r="Z141" s="269"/>
      <c r="AA141" s="269"/>
      <c r="AB141" s="269"/>
      <c r="AC141" s="269"/>
      <c r="AD141" s="269"/>
      <c r="AE141" s="269"/>
      <c r="AF141" s="269"/>
      <c r="AG141" s="269"/>
      <c r="AH141" s="269"/>
      <c r="AI141" s="269"/>
      <c r="AJ141" s="252"/>
      <c r="AK141" s="269"/>
      <c r="AL141" s="269"/>
      <c r="AM141" s="269"/>
      <c r="AN141" s="269"/>
      <c r="AO141" s="252"/>
      <c r="AP141" s="252"/>
      <c r="AQ141" s="252"/>
      <c r="AR141" s="252"/>
      <c r="AS141" s="252"/>
      <c r="AT141" s="252"/>
      <c r="AU141" s="252"/>
      <c r="AV141" s="252"/>
      <c r="AW141" s="252"/>
      <c r="AX141" s="252"/>
    </row>
    <row r="142" spans="1:50" s="4" customFormat="1">
      <c r="A142" s="252"/>
      <c r="B142" s="252"/>
      <c r="C142" s="252"/>
      <c r="D142" s="252"/>
      <c r="E142" s="252"/>
      <c r="F142" s="252"/>
      <c r="G142" s="252"/>
      <c r="H142" s="252"/>
      <c r="I142" s="252"/>
      <c r="J142" s="269"/>
      <c r="K142" s="269"/>
      <c r="L142" s="269"/>
      <c r="M142" s="269"/>
      <c r="N142" s="269"/>
      <c r="O142" s="269"/>
      <c r="P142" s="269"/>
      <c r="Q142" s="269"/>
      <c r="R142" s="269"/>
      <c r="S142" s="252"/>
      <c r="T142" s="252"/>
      <c r="U142" s="252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269"/>
      <c r="AJ142" s="252"/>
      <c r="AK142" s="269"/>
      <c r="AL142" s="269"/>
      <c r="AM142" s="269"/>
      <c r="AN142" s="269"/>
      <c r="AO142" s="252"/>
      <c r="AP142" s="252"/>
      <c r="AQ142" s="252"/>
      <c r="AR142" s="252"/>
      <c r="AS142" s="252"/>
      <c r="AT142" s="252"/>
      <c r="AU142" s="252"/>
      <c r="AV142" s="252"/>
      <c r="AW142" s="252"/>
      <c r="AX142" s="252"/>
    </row>
    <row r="143" spans="1:50" s="4" customFormat="1">
      <c r="A143" s="252"/>
      <c r="B143" s="252"/>
      <c r="C143" s="252"/>
      <c r="D143" s="252"/>
      <c r="E143" s="252"/>
      <c r="F143" s="252"/>
      <c r="G143" s="252"/>
      <c r="H143" s="252"/>
      <c r="I143" s="252"/>
      <c r="J143" s="269"/>
      <c r="K143" s="269"/>
      <c r="L143" s="269"/>
      <c r="M143" s="269"/>
      <c r="N143" s="269"/>
      <c r="O143" s="269"/>
      <c r="P143" s="269"/>
      <c r="Q143" s="269"/>
      <c r="R143" s="269"/>
      <c r="S143" s="252"/>
      <c r="T143" s="252"/>
      <c r="U143" s="252"/>
      <c r="V143" s="269"/>
      <c r="W143" s="269"/>
      <c r="X143" s="269"/>
      <c r="Y143" s="269"/>
      <c r="Z143" s="269"/>
      <c r="AA143" s="269"/>
      <c r="AB143" s="269"/>
      <c r="AC143" s="269"/>
      <c r="AD143" s="269"/>
      <c r="AE143" s="269"/>
      <c r="AF143" s="269"/>
      <c r="AG143" s="269"/>
      <c r="AH143" s="269"/>
      <c r="AI143" s="269"/>
      <c r="AJ143" s="252"/>
      <c r="AK143" s="269"/>
      <c r="AL143" s="269"/>
      <c r="AM143" s="269"/>
      <c r="AN143" s="269"/>
      <c r="AO143" s="252"/>
      <c r="AP143" s="252"/>
      <c r="AQ143" s="252"/>
      <c r="AR143" s="252"/>
      <c r="AS143" s="252"/>
      <c r="AT143" s="252"/>
      <c r="AU143" s="252"/>
      <c r="AV143" s="252"/>
      <c r="AW143" s="252"/>
      <c r="AX143" s="252"/>
    </row>
    <row r="144" spans="1:50" s="4" customFormat="1">
      <c r="A144" s="252"/>
      <c r="B144" s="252"/>
      <c r="C144" s="252"/>
      <c r="D144" s="252"/>
      <c r="E144" s="252"/>
      <c r="F144" s="252"/>
      <c r="G144" s="252"/>
      <c r="H144" s="252"/>
      <c r="I144" s="252"/>
      <c r="J144" s="269"/>
      <c r="K144" s="269"/>
      <c r="L144" s="269"/>
      <c r="M144" s="269"/>
      <c r="N144" s="269"/>
      <c r="O144" s="269"/>
      <c r="P144" s="269"/>
      <c r="Q144" s="269"/>
      <c r="R144" s="269"/>
      <c r="S144" s="252"/>
      <c r="T144" s="252"/>
      <c r="U144" s="252"/>
      <c r="V144" s="269"/>
      <c r="W144" s="269"/>
      <c r="X144" s="269"/>
      <c r="Y144" s="269"/>
      <c r="Z144" s="269"/>
      <c r="AA144" s="269"/>
      <c r="AB144" s="269"/>
      <c r="AC144" s="269"/>
      <c r="AD144" s="269"/>
      <c r="AE144" s="269"/>
      <c r="AF144" s="269"/>
      <c r="AG144" s="269"/>
      <c r="AH144" s="269"/>
      <c r="AI144" s="269"/>
      <c r="AJ144" s="252"/>
      <c r="AK144" s="269"/>
      <c r="AL144" s="269"/>
      <c r="AM144" s="269"/>
      <c r="AN144" s="269"/>
      <c r="AO144" s="252"/>
      <c r="AP144" s="252"/>
      <c r="AQ144" s="252"/>
      <c r="AR144" s="252"/>
      <c r="AS144" s="252"/>
      <c r="AT144" s="252"/>
      <c r="AU144" s="252"/>
      <c r="AV144" s="252"/>
      <c r="AW144" s="252"/>
      <c r="AX144" s="252"/>
    </row>
    <row r="145" spans="1:50" s="4" customFormat="1">
      <c r="A145" s="252"/>
      <c r="B145" s="252"/>
      <c r="C145" s="252"/>
      <c r="D145" s="252"/>
      <c r="E145" s="252"/>
      <c r="F145" s="252"/>
      <c r="G145" s="252"/>
      <c r="H145" s="252"/>
      <c r="I145" s="252"/>
      <c r="J145" s="269"/>
      <c r="K145" s="269"/>
      <c r="L145" s="269"/>
      <c r="M145" s="269"/>
      <c r="N145" s="269"/>
      <c r="O145" s="269"/>
      <c r="P145" s="269"/>
      <c r="Q145" s="269"/>
      <c r="R145" s="269"/>
      <c r="S145" s="252"/>
      <c r="T145" s="252"/>
      <c r="U145" s="252"/>
      <c r="V145" s="269"/>
      <c r="W145" s="269"/>
      <c r="X145" s="269"/>
      <c r="Y145" s="269"/>
      <c r="Z145" s="269"/>
      <c r="AA145" s="269"/>
      <c r="AB145" s="269"/>
      <c r="AC145" s="269"/>
      <c r="AD145" s="269"/>
      <c r="AE145" s="269"/>
      <c r="AF145" s="269"/>
      <c r="AG145" s="269"/>
      <c r="AH145" s="269"/>
      <c r="AI145" s="269"/>
      <c r="AJ145" s="252"/>
      <c r="AK145" s="269"/>
      <c r="AL145" s="269"/>
      <c r="AM145" s="269"/>
      <c r="AN145" s="269"/>
      <c r="AO145" s="252"/>
      <c r="AP145" s="252"/>
      <c r="AQ145" s="252"/>
      <c r="AR145" s="252"/>
      <c r="AS145" s="252"/>
      <c r="AT145" s="252"/>
      <c r="AU145" s="252"/>
      <c r="AV145" s="252"/>
      <c r="AW145" s="252"/>
      <c r="AX145" s="252"/>
    </row>
    <row r="146" spans="1:50" s="4" customFormat="1">
      <c r="A146" s="252"/>
      <c r="B146" s="252"/>
      <c r="C146" s="252"/>
      <c r="D146" s="252"/>
      <c r="E146" s="252"/>
      <c r="F146" s="252"/>
      <c r="G146" s="252"/>
      <c r="H146" s="252"/>
      <c r="I146" s="252"/>
      <c r="J146" s="269"/>
      <c r="K146" s="269"/>
      <c r="L146" s="269"/>
      <c r="M146" s="269"/>
      <c r="N146" s="269"/>
      <c r="O146" s="269"/>
      <c r="P146" s="269"/>
      <c r="Q146" s="269"/>
      <c r="R146" s="269"/>
      <c r="S146" s="252"/>
      <c r="T146" s="252"/>
      <c r="U146" s="252"/>
      <c r="V146" s="269"/>
      <c r="W146" s="269"/>
      <c r="X146" s="269"/>
      <c r="Y146" s="269"/>
      <c r="Z146" s="269"/>
      <c r="AA146" s="269"/>
      <c r="AB146" s="269"/>
      <c r="AC146" s="269"/>
      <c r="AD146" s="269"/>
      <c r="AE146" s="269"/>
      <c r="AF146" s="269"/>
      <c r="AG146" s="269"/>
      <c r="AH146" s="269"/>
      <c r="AI146" s="269"/>
      <c r="AJ146" s="252"/>
      <c r="AK146" s="269"/>
      <c r="AL146" s="269"/>
      <c r="AM146" s="269"/>
      <c r="AN146" s="269"/>
      <c r="AO146" s="252"/>
      <c r="AP146" s="252"/>
      <c r="AQ146" s="252"/>
      <c r="AR146" s="252"/>
      <c r="AS146" s="252"/>
      <c r="AT146" s="252"/>
      <c r="AU146" s="252"/>
      <c r="AV146" s="252"/>
      <c r="AW146" s="252"/>
      <c r="AX146" s="252"/>
    </row>
    <row r="147" spans="1:50" s="4" customFormat="1">
      <c r="A147" s="252"/>
      <c r="B147" s="252"/>
      <c r="C147" s="252"/>
      <c r="D147" s="252"/>
      <c r="E147" s="252"/>
      <c r="F147" s="252"/>
      <c r="G147" s="252"/>
      <c r="H147" s="252"/>
      <c r="I147" s="252"/>
      <c r="J147" s="269"/>
      <c r="K147" s="269"/>
      <c r="L147" s="269"/>
      <c r="M147" s="269"/>
      <c r="N147" s="269"/>
      <c r="O147" s="269"/>
      <c r="P147" s="269"/>
      <c r="Q147" s="269"/>
      <c r="R147" s="269"/>
      <c r="S147" s="252"/>
      <c r="T147" s="252"/>
      <c r="U147" s="252"/>
      <c r="V147" s="269"/>
      <c r="W147" s="269"/>
      <c r="X147" s="269"/>
      <c r="Y147" s="269"/>
      <c r="Z147" s="269"/>
      <c r="AA147" s="269"/>
      <c r="AB147" s="269"/>
      <c r="AC147" s="269"/>
      <c r="AD147" s="269"/>
      <c r="AE147" s="269"/>
      <c r="AF147" s="269"/>
      <c r="AG147" s="269"/>
      <c r="AH147" s="269"/>
      <c r="AI147" s="269"/>
      <c r="AJ147" s="252"/>
      <c r="AK147" s="269"/>
      <c r="AL147" s="269"/>
      <c r="AM147" s="269"/>
      <c r="AN147" s="269"/>
      <c r="AO147" s="252"/>
      <c r="AP147" s="252"/>
      <c r="AQ147" s="252"/>
      <c r="AR147" s="252"/>
      <c r="AS147" s="252"/>
      <c r="AT147" s="252"/>
      <c r="AU147" s="252"/>
      <c r="AV147" s="252"/>
      <c r="AW147" s="252"/>
      <c r="AX147" s="252"/>
    </row>
    <row r="148" spans="1:50" s="4" customFormat="1">
      <c r="A148" s="252"/>
      <c r="B148" s="252"/>
      <c r="C148" s="252"/>
      <c r="D148" s="252"/>
      <c r="E148" s="252"/>
      <c r="F148" s="252"/>
      <c r="G148" s="252"/>
      <c r="H148" s="252"/>
      <c r="I148" s="252"/>
      <c r="J148" s="269"/>
      <c r="K148" s="269"/>
      <c r="L148" s="269"/>
      <c r="M148" s="269"/>
      <c r="N148" s="269"/>
      <c r="O148" s="269"/>
      <c r="P148" s="269"/>
      <c r="Q148" s="269"/>
      <c r="R148" s="269"/>
      <c r="S148" s="252"/>
      <c r="T148" s="252"/>
      <c r="U148" s="252"/>
      <c r="V148" s="269"/>
      <c r="W148" s="269"/>
      <c r="X148" s="269"/>
      <c r="Y148" s="269"/>
      <c r="Z148" s="269"/>
      <c r="AA148" s="269"/>
      <c r="AB148" s="269"/>
      <c r="AC148" s="269"/>
      <c r="AD148" s="269"/>
      <c r="AE148" s="269"/>
      <c r="AF148" s="269"/>
      <c r="AG148" s="269"/>
      <c r="AH148" s="269"/>
      <c r="AI148" s="269"/>
      <c r="AJ148" s="252"/>
      <c r="AK148" s="269"/>
      <c r="AL148" s="269"/>
      <c r="AM148" s="269"/>
      <c r="AN148" s="269"/>
      <c r="AO148" s="252"/>
      <c r="AP148" s="252"/>
      <c r="AQ148" s="252"/>
      <c r="AR148" s="252"/>
      <c r="AS148" s="252"/>
      <c r="AT148" s="252"/>
      <c r="AU148" s="252"/>
      <c r="AV148" s="252"/>
      <c r="AW148" s="252"/>
      <c r="AX148" s="252"/>
    </row>
    <row r="149" spans="1:50" s="4" customFormat="1">
      <c r="A149" s="252"/>
      <c r="B149" s="252"/>
      <c r="C149" s="252"/>
      <c r="D149" s="252"/>
      <c r="E149" s="252"/>
      <c r="F149" s="252"/>
      <c r="G149" s="252"/>
      <c r="H149" s="252"/>
      <c r="I149" s="252"/>
      <c r="J149" s="269"/>
      <c r="K149" s="269"/>
      <c r="L149" s="269"/>
      <c r="M149" s="269"/>
      <c r="N149" s="269"/>
      <c r="O149" s="269"/>
      <c r="P149" s="269"/>
      <c r="Q149" s="269"/>
      <c r="R149" s="269"/>
      <c r="S149" s="252"/>
      <c r="T149" s="252"/>
      <c r="U149" s="252"/>
      <c r="V149" s="269"/>
      <c r="W149" s="269"/>
      <c r="X149" s="269"/>
      <c r="Y149" s="269"/>
      <c r="Z149" s="269"/>
      <c r="AA149" s="269"/>
      <c r="AB149" s="269"/>
      <c r="AC149" s="269"/>
      <c r="AD149" s="269"/>
      <c r="AE149" s="269"/>
      <c r="AF149" s="269"/>
      <c r="AG149" s="269"/>
      <c r="AH149" s="269"/>
      <c r="AI149" s="269"/>
      <c r="AJ149" s="252"/>
      <c r="AK149" s="269"/>
      <c r="AL149" s="269"/>
      <c r="AM149" s="269"/>
      <c r="AN149" s="269"/>
      <c r="AO149" s="252"/>
      <c r="AP149" s="252"/>
      <c r="AQ149" s="252"/>
      <c r="AR149" s="252"/>
      <c r="AS149" s="252"/>
      <c r="AT149" s="252"/>
      <c r="AU149" s="252"/>
      <c r="AV149" s="252"/>
      <c r="AW149" s="252"/>
      <c r="AX149" s="252"/>
    </row>
    <row r="150" spans="1:50" s="4" customFormat="1">
      <c r="A150" s="252"/>
      <c r="B150" s="252"/>
      <c r="C150" s="252"/>
      <c r="D150" s="252"/>
      <c r="E150" s="252"/>
      <c r="F150" s="252"/>
      <c r="G150" s="252"/>
      <c r="H150" s="252"/>
      <c r="I150" s="252"/>
      <c r="J150" s="269"/>
      <c r="K150" s="269"/>
      <c r="L150" s="269"/>
      <c r="M150" s="269"/>
      <c r="N150" s="269"/>
      <c r="O150" s="269"/>
      <c r="P150" s="269"/>
      <c r="Q150" s="269"/>
      <c r="R150" s="269"/>
      <c r="S150" s="252"/>
      <c r="T150" s="252"/>
      <c r="U150" s="252"/>
      <c r="V150" s="269"/>
      <c r="W150" s="269"/>
      <c r="X150" s="269"/>
      <c r="Y150" s="269"/>
      <c r="Z150" s="269"/>
      <c r="AA150" s="269"/>
      <c r="AB150" s="269"/>
      <c r="AC150" s="269"/>
      <c r="AD150" s="269"/>
      <c r="AE150" s="269"/>
      <c r="AF150" s="269"/>
      <c r="AG150" s="269"/>
      <c r="AH150" s="269"/>
      <c r="AI150" s="269"/>
      <c r="AJ150" s="252"/>
      <c r="AK150" s="269"/>
      <c r="AL150" s="269"/>
      <c r="AM150" s="269"/>
      <c r="AN150" s="269"/>
      <c r="AO150" s="252"/>
      <c r="AP150" s="252"/>
      <c r="AQ150" s="252"/>
      <c r="AR150" s="252"/>
      <c r="AS150" s="252"/>
      <c r="AT150" s="252"/>
      <c r="AU150" s="252"/>
      <c r="AV150" s="252"/>
      <c r="AW150" s="252"/>
      <c r="AX150" s="252"/>
    </row>
    <row r="151" spans="1:50" s="4" customFormat="1">
      <c r="A151" s="252"/>
      <c r="B151" s="252"/>
      <c r="C151" s="252"/>
      <c r="D151" s="252"/>
      <c r="E151" s="252"/>
      <c r="F151" s="252"/>
      <c r="G151" s="252"/>
      <c r="H151" s="252"/>
      <c r="I151" s="252"/>
      <c r="J151" s="269"/>
      <c r="K151" s="269"/>
      <c r="L151" s="269"/>
      <c r="M151" s="269"/>
      <c r="N151" s="269"/>
      <c r="O151" s="269"/>
      <c r="P151" s="269"/>
      <c r="Q151" s="269"/>
      <c r="R151" s="269"/>
      <c r="S151" s="252"/>
      <c r="T151" s="252"/>
      <c r="U151" s="252"/>
      <c r="V151" s="269"/>
      <c r="W151" s="269"/>
      <c r="X151" s="269"/>
      <c r="Y151" s="269"/>
      <c r="Z151" s="269"/>
      <c r="AA151" s="269"/>
      <c r="AB151" s="269"/>
      <c r="AC151" s="269"/>
      <c r="AD151" s="269"/>
      <c r="AE151" s="269"/>
      <c r="AF151" s="269"/>
      <c r="AG151" s="269"/>
      <c r="AH151" s="269"/>
      <c r="AI151" s="269"/>
      <c r="AJ151" s="252"/>
      <c r="AK151" s="269"/>
      <c r="AL151" s="269"/>
      <c r="AM151" s="269"/>
      <c r="AN151" s="269"/>
      <c r="AO151" s="252"/>
      <c r="AP151" s="252"/>
      <c r="AQ151" s="252"/>
      <c r="AR151" s="252"/>
      <c r="AS151" s="252"/>
      <c r="AT151" s="252"/>
      <c r="AU151" s="252"/>
      <c r="AV151" s="252"/>
      <c r="AW151" s="252"/>
      <c r="AX151" s="252"/>
    </row>
    <row r="152" spans="1:50" s="4" customFormat="1">
      <c r="A152" s="252"/>
      <c r="B152" s="252"/>
      <c r="C152" s="252"/>
      <c r="D152" s="252"/>
      <c r="E152" s="252"/>
      <c r="F152" s="252"/>
      <c r="G152" s="252"/>
      <c r="H152" s="252"/>
      <c r="I152" s="252"/>
      <c r="J152" s="269"/>
      <c r="K152" s="269"/>
      <c r="L152" s="269"/>
      <c r="M152" s="269"/>
      <c r="N152" s="269"/>
      <c r="O152" s="269"/>
      <c r="P152" s="269"/>
      <c r="Q152" s="269"/>
      <c r="R152" s="269"/>
      <c r="S152" s="252"/>
      <c r="T152" s="252"/>
      <c r="U152" s="252"/>
      <c r="V152" s="269"/>
      <c r="W152" s="269"/>
      <c r="X152" s="269"/>
      <c r="Y152" s="269"/>
      <c r="Z152" s="269"/>
      <c r="AA152" s="269"/>
      <c r="AB152" s="269"/>
      <c r="AC152" s="269"/>
      <c r="AD152" s="269"/>
      <c r="AE152" s="269"/>
      <c r="AF152" s="269"/>
      <c r="AG152" s="269"/>
      <c r="AH152" s="269"/>
      <c r="AI152" s="269"/>
      <c r="AJ152" s="252"/>
      <c r="AK152" s="269"/>
      <c r="AL152" s="269"/>
      <c r="AM152" s="269"/>
      <c r="AN152" s="269"/>
      <c r="AO152" s="252"/>
      <c r="AP152" s="252"/>
      <c r="AQ152" s="252"/>
      <c r="AR152" s="252"/>
      <c r="AS152" s="252"/>
      <c r="AT152" s="252"/>
      <c r="AU152" s="252"/>
      <c r="AV152" s="252"/>
      <c r="AW152" s="252"/>
      <c r="AX152" s="252"/>
    </row>
    <row r="153" spans="1:50" s="4" customFormat="1">
      <c r="A153" s="252"/>
      <c r="B153" s="252"/>
      <c r="C153" s="252"/>
      <c r="D153" s="252"/>
      <c r="E153" s="252"/>
      <c r="F153" s="252"/>
      <c r="G153" s="252"/>
      <c r="H153" s="252"/>
      <c r="I153" s="252"/>
      <c r="J153" s="269"/>
      <c r="K153" s="269"/>
      <c r="L153" s="269"/>
      <c r="M153" s="269"/>
      <c r="N153" s="269"/>
      <c r="O153" s="269"/>
      <c r="P153" s="269"/>
      <c r="Q153" s="269"/>
      <c r="R153" s="269"/>
      <c r="S153" s="252"/>
      <c r="T153" s="252"/>
      <c r="U153" s="252"/>
      <c r="V153" s="269"/>
      <c r="W153" s="269"/>
      <c r="X153" s="269"/>
      <c r="Y153" s="269"/>
      <c r="Z153" s="269"/>
      <c r="AA153" s="269"/>
      <c r="AB153" s="269"/>
      <c r="AC153" s="269"/>
      <c r="AD153" s="269"/>
      <c r="AE153" s="269"/>
      <c r="AF153" s="269"/>
      <c r="AG153" s="269"/>
      <c r="AH153" s="269"/>
      <c r="AI153" s="269"/>
      <c r="AJ153" s="252"/>
      <c r="AK153" s="269"/>
      <c r="AL153" s="269"/>
      <c r="AM153" s="269"/>
      <c r="AN153" s="269"/>
      <c r="AO153" s="252"/>
      <c r="AP153" s="252"/>
      <c r="AQ153" s="252"/>
      <c r="AR153" s="252"/>
      <c r="AS153" s="252"/>
      <c r="AT153" s="252"/>
      <c r="AU153" s="252"/>
      <c r="AV153" s="252"/>
      <c r="AW153" s="252"/>
      <c r="AX153" s="252"/>
    </row>
    <row r="154" spans="1:50" s="4" customFormat="1">
      <c r="A154" s="252"/>
      <c r="B154" s="252"/>
      <c r="C154" s="252"/>
      <c r="D154" s="252"/>
      <c r="E154" s="252"/>
      <c r="F154" s="252"/>
      <c r="G154" s="252"/>
      <c r="H154" s="252"/>
      <c r="I154" s="252"/>
      <c r="J154" s="269"/>
      <c r="K154" s="269"/>
      <c r="L154" s="269"/>
      <c r="M154" s="269"/>
      <c r="N154" s="269"/>
      <c r="O154" s="269"/>
      <c r="P154" s="269"/>
      <c r="Q154" s="269"/>
      <c r="R154" s="269"/>
      <c r="S154" s="252"/>
      <c r="T154" s="252"/>
      <c r="U154" s="252"/>
      <c r="V154" s="269"/>
      <c r="W154" s="269"/>
      <c r="X154" s="269"/>
      <c r="Y154" s="269"/>
      <c r="Z154" s="269"/>
      <c r="AA154" s="269"/>
      <c r="AB154" s="269"/>
      <c r="AC154" s="269"/>
      <c r="AD154" s="269"/>
      <c r="AE154" s="269"/>
      <c r="AF154" s="269"/>
      <c r="AG154" s="269"/>
      <c r="AH154" s="269"/>
      <c r="AI154" s="269"/>
      <c r="AJ154" s="252"/>
      <c r="AK154" s="269"/>
      <c r="AL154" s="269"/>
      <c r="AM154" s="269"/>
      <c r="AN154" s="269"/>
      <c r="AO154" s="252"/>
      <c r="AP154" s="252"/>
      <c r="AQ154" s="252"/>
      <c r="AR154" s="252"/>
      <c r="AS154" s="252"/>
      <c r="AT154" s="252"/>
      <c r="AU154" s="252"/>
      <c r="AV154" s="252"/>
      <c r="AW154" s="252"/>
      <c r="AX154" s="252"/>
    </row>
    <row r="155" spans="1:50" s="4" customFormat="1">
      <c r="A155" s="252"/>
      <c r="B155" s="252"/>
      <c r="C155" s="252"/>
      <c r="D155" s="252"/>
      <c r="E155" s="252"/>
      <c r="F155" s="252"/>
      <c r="G155" s="252"/>
      <c r="H155" s="252"/>
      <c r="I155" s="252"/>
      <c r="J155" s="269"/>
      <c r="K155" s="269"/>
      <c r="L155" s="269"/>
      <c r="M155" s="269"/>
      <c r="N155" s="269"/>
      <c r="O155" s="269"/>
      <c r="P155" s="269"/>
      <c r="Q155" s="269"/>
      <c r="R155" s="269"/>
      <c r="S155" s="252"/>
      <c r="T155" s="252"/>
      <c r="U155" s="252"/>
      <c r="V155" s="269"/>
      <c r="W155" s="269"/>
      <c r="X155" s="269"/>
      <c r="Y155" s="269"/>
      <c r="Z155" s="269"/>
      <c r="AA155" s="269"/>
      <c r="AB155" s="269"/>
      <c r="AC155" s="269"/>
      <c r="AD155" s="269"/>
      <c r="AE155" s="269"/>
      <c r="AF155" s="269"/>
      <c r="AG155" s="269"/>
      <c r="AH155" s="269"/>
      <c r="AI155" s="269"/>
      <c r="AJ155" s="252"/>
      <c r="AK155" s="269"/>
      <c r="AL155" s="269"/>
      <c r="AM155" s="269"/>
      <c r="AN155" s="269"/>
      <c r="AO155" s="252"/>
      <c r="AP155" s="252"/>
      <c r="AQ155" s="252"/>
      <c r="AR155" s="252"/>
      <c r="AS155" s="252"/>
      <c r="AT155" s="252"/>
      <c r="AU155" s="252"/>
      <c r="AV155" s="252"/>
      <c r="AW155" s="252"/>
      <c r="AX155" s="252"/>
    </row>
    <row r="156" spans="1:50" s="4" customFormat="1">
      <c r="A156" s="252"/>
      <c r="B156" s="252"/>
      <c r="C156" s="252"/>
      <c r="D156" s="252"/>
      <c r="E156" s="252"/>
      <c r="F156" s="252"/>
      <c r="G156" s="252"/>
      <c r="H156" s="252"/>
      <c r="I156" s="252"/>
      <c r="J156" s="269"/>
      <c r="K156" s="269"/>
      <c r="L156" s="269"/>
      <c r="M156" s="269"/>
      <c r="N156" s="269"/>
      <c r="O156" s="269"/>
      <c r="P156" s="269"/>
      <c r="Q156" s="269"/>
      <c r="R156" s="269"/>
      <c r="S156" s="252"/>
      <c r="T156" s="252"/>
      <c r="U156" s="252"/>
      <c r="V156" s="269"/>
      <c r="W156" s="269"/>
      <c r="X156" s="269"/>
      <c r="Y156" s="269"/>
      <c r="Z156" s="269"/>
      <c r="AA156" s="269"/>
      <c r="AB156" s="269"/>
      <c r="AC156" s="269"/>
      <c r="AD156" s="269"/>
      <c r="AE156" s="269"/>
      <c r="AF156" s="269"/>
      <c r="AG156" s="269"/>
      <c r="AH156" s="269"/>
      <c r="AI156" s="269"/>
      <c r="AJ156" s="252"/>
      <c r="AK156" s="269"/>
      <c r="AL156" s="269"/>
      <c r="AM156" s="269"/>
      <c r="AN156" s="269"/>
      <c r="AO156" s="252"/>
      <c r="AP156" s="252"/>
      <c r="AQ156" s="252"/>
      <c r="AR156" s="252"/>
      <c r="AS156" s="252"/>
      <c r="AT156" s="252"/>
      <c r="AU156" s="252"/>
      <c r="AV156" s="252"/>
      <c r="AW156" s="252"/>
      <c r="AX156" s="252"/>
    </row>
    <row r="157" spans="1:50" s="4" customFormat="1">
      <c r="A157" s="252"/>
      <c r="B157" s="252"/>
      <c r="C157" s="252"/>
      <c r="D157" s="252"/>
      <c r="E157" s="252"/>
      <c r="F157" s="252"/>
      <c r="G157" s="252"/>
      <c r="H157" s="252"/>
      <c r="I157" s="252"/>
      <c r="J157" s="269"/>
      <c r="K157" s="269"/>
      <c r="L157" s="269"/>
      <c r="M157" s="269"/>
      <c r="N157" s="269"/>
      <c r="O157" s="269"/>
      <c r="P157" s="269"/>
      <c r="Q157" s="269"/>
      <c r="R157" s="269"/>
      <c r="S157" s="252"/>
      <c r="T157" s="252"/>
      <c r="U157" s="252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69"/>
      <c r="AI157" s="269"/>
      <c r="AJ157" s="252"/>
      <c r="AK157" s="269"/>
      <c r="AL157" s="269"/>
      <c r="AM157" s="269"/>
      <c r="AN157" s="269"/>
      <c r="AO157" s="252"/>
      <c r="AP157" s="252"/>
      <c r="AQ157" s="252"/>
      <c r="AR157" s="252"/>
      <c r="AS157" s="252"/>
      <c r="AT157" s="252"/>
      <c r="AU157" s="252"/>
      <c r="AV157" s="252"/>
      <c r="AW157" s="252"/>
      <c r="AX157" s="252"/>
    </row>
    <row r="158" spans="1:50" s="4" customFormat="1">
      <c r="A158" s="252"/>
      <c r="B158" s="252"/>
      <c r="C158" s="252"/>
      <c r="D158" s="252"/>
      <c r="E158" s="252"/>
      <c r="F158" s="252"/>
      <c r="G158" s="252"/>
      <c r="H158" s="252"/>
      <c r="I158" s="252"/>
      <c r="J158" s="269"/>
      <c r="K158" s="269"/>
      <c r="L158" s="269"/>
      <c r="M158" s="269"/>
      <c r="N158" s="269"/>
      <c r="O158" s="269"/>
      <c r="P158" s="269"/>
      <c r="Q158" s="269"/>
      <c r="R158" s="269"/>
      <c r="S158" s="252"/>
      <c r="T158" s="252"/>
      <c r="U158" s="252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69"/>
      <c r="AI158" s="269"/>
      <c r="AJ158" s="252"/>
      <c r="AK158" s="269"/>
      <c r="AL158" s="269"/>
      <c r="AM158" s="269"/>
      <c r="AN158" s="269"/>
      <c r="AO158" s="252"/>
      <c r="AP158" s="252"/>
      <c r="AQ158" s="252"/>
      <c r="AR158" s="252"/>
      <c r="AS158" s="252"/>
      <c r="AT158" s="252"/>
      <c r="AU158" s="252"/>
      <c r="AV158" s="252"/>
      <c r="AW158" s="252"/>
      <c r="AX158" s="252"/>
    </row>
    <row r="159" spans="1:50" s="4" customFormat="1">
      <c r="A159" s="252"/>
      <c r="B159" s="252"/>
      <c r="C159" s="252"/>
      <c r="D159" s="252"/>
      <c r="E159" s="252"/>
      <c r="F159" s="252"/>
      <c r="G159" s="252"/>
      <c r="H159" s="252"/>
      <c r="I159" s="252"/>
      <c r="J159" s="269"/>
      <c r="K159" s="269"/>
      <c r="L159" s="269"/>
      <c r="M159" s="269"/>
      <c r="N159" s="269"/>
      <c r="O159" s="269"/>
      <c r="P159" s="269"/>
      <c r="Q159" s="269"/>
      <c r="R159" s="269"/>
      <c r="S159" s="252"/>
      <c r="T159" s="252"/>
      <c r="U159" s="252"/>
      <c r="V159" s="269"/>
      <c r="W159" s="269"/>
      <c r="X159" s="269"/>
      <c r="Y159" s="269"/>
      <c r="Z159" s="269"/>
      <c r="AA159" s="269"/>
      <c r="AB159" s="269"/>
      <c r="AC159" s="269"/>
      <c r="AD159" s="269"/>
      <c r="AE159" s="269"/>
      <c r="AF159" s="269"/>
      <c r="AG159" s="269"/>
      <c r="AH159" s="269"/>
      <c r="AI159" s="269"/>
      <c r="AJ159" s="252"/>
      <c r="AK159" s="269"/>
      <c r="AL159" s="269"/>
      <c r="AM159" s="269"/>
      <c r="AN159" s="269"/>
      <c r="AO159" s="252"/>
      <c r="AP159" s="252"/>
      <c r="AQ159" s="252"/>
      <c r="AR159" s="252"/>
      <c r="AS159" s="252"/>
      <c r="AT159" s="252"/>
      <c r="AU159" s="252"/>
      <c r="AV159" s="252"/>
      <c r="AW159" s="252"/>
      <c r="AX159" s="252"/>
    </row>
    <row r="160" spans="1:50" s="4" customFormat="1">
      <c r="A160" s="252"/>
      <c r="B160" s="252"/>
      <c r="C160" s="252"/>
      <c r="D160" s="252"/>
      <c r="E160" s="252"/>
      <c r="F160" s="252"/>
      <c r="G160" s="252"/>
      <c r="H160" s="252"/>
      <c r="I160" s="252"/>
      <c r="J160" s="269"/>
      <c r="K160" s="269"/>
      <c r="L160" s="269"/>
      <c r="M160" s="269"/>
      <c r="N160" s="269"/>
      <c r="O160" s="269"/>
      <c r="P160" s="269"/>
      <c r="Q160" s="269"/>
      <c r="R160" s="269"/>
      <c r="S160" s="252"/>
      <c r="T160" s="252"/>
      <c r="U160" s="252"/>
      <c r="V160" s="269"/>
      <c r="W160" s="269"/>
      <c r="X160" s="269"/>
      <c r="Y160" s="269"/>
      <c r="Z160" s="269"/>
      <c r="AA160" s="269"/>
      <c r="AB160" s="269"/>
      <c r="AC160" s="269"/>
      <c r="AD160" s="269"/>
      <c r="AE160" s="269"/>
      <c r="AF160" s="269"/>
      <c r="AG160" s="269"/>
      <c r="AH160" s="269"/>
      <c r="AI160" s="269"/>
      <c r="AJ160" s="252"/>
      <c r="AK160" s="269"/>
      <c r="AL160" s="269"/>
      <c r="AM160" s="269"/>
      <c r="AN160" s="269"/>
      <c r="AO160" s="252"/>
      <c r="AP160" s="252"/>
      <c r="AQ160" s="252"/>
      <c r="AR160" s="252"/>
      <c r="AS160" s="252"/>
      <c r="AT160" s="252"/>
      <c r="AU160" s="252"/>
      <c r="AV160" s="252"/>
      <c r="AW160" s="252"/>
      <c r="AX160" s="252"/>
    </row>
    <row r="161" spans="1:50" s="4" customFormat="1">
      <c r="A161" s="252"/>
      <c r="B161" s="252"/>
      <c r="C161" s="252"/>
      <c r="D161" s="252"/>
      <c r="E161" s="252"/>
      <c r="F161" s="252"/>
      <c r="G161" s="252"/>
      <c r="H161" s="252"/>
      <c r="I161" s="252"/>
      <c r="J161" s="269"/>
      <c r="K161" s="269"/>
      <c r="L161" s="269"/>
      <c r="M161" s="269"/>
      <c r="N161" s="269"/>
      <c r="O161" s="269"/>
      <c r="P161" s="269"/>
      <c r="Q161" s="269"/>
      <c r="R161" s="269"/>
      <c r="S161" s="252"/>
      <c r="T161" s="252"/>
      <c r="U161" s="252"/>
      <c r="V161" s="269"/>
      <c r="W161" s="269"/>
      <c r="X161" s="269"/>
      <c r="Y161" s="269"/>
      <c r="Z161" s="269"/>
      <c r="AA161" s="269"/>
      <c r="AB161" s="269"/>
      <c r="AC161" s="269"/>
      <c r="AD161" s="269"/>
      <c r="AE161" s="269"/>
      <c r="AF161" s="269"/>
      <c r="AG161" s="269"/>
      <c r="AH161" s="269"/>
      <c r="AI161" s="269"/>
      <c r="AJ161" s="252"/>
      <c r="AK161" s="269"/>
      <c r="AL161" s="269"/>
      <c r="AM161" s="269"/>
      <c r="AN161" s="269"/>
      <c r="AO161" s="252"/>
      <c r="AP161" s="252"/>
      <c r="AQ161" s="252"/>
      <c r="AR161" s="252"/>
      <c r="AS161" s="252"/>
      <c r="AT161" s="252"/>
      <c r="AU161" s="252"/>
      <c r="AV161" s="252"/>
      <c r="AW161" s="252"/>
      <c r="AX161" s="252"/>
    </row>
    <row r="162" spans="1:50" s="4" customFormat="1">
      <c r="A162" s="252"/>
      <c r="B162" s="252"/>
      <c r="C162" s="252"/>
      <c r="D162" s="252"/>
      <c r="E162" s="252"/>
      <c r="F162" s="252"/>
      <c r="G162" s="252"/>
      <c r="H162" s="252"/>
      <c r="I162" s="252"/>
      <c r="J162" s="269"/>
      <c r="K162" s="269"/>
      <c r="L162" s="269"/>
      <c r="M162" s="269"/>
      <c r="N162" s="269"/>
      <c r="O162" s="269"/>
      <c r="P162" s="269"/>
      <c r="Q162" s="269"/>
      <c r="R162" s="269"/>
      <c r="S162" s="252"/>
      <c r="T162" s="252"/>
      <c r="U162" s="252"/>
      <c r="V162" s="269"/>
      <c r="W162" s="269"/>
      <c r="X162" s="269"/>
      <c r="Y162" s="269"/>
      <c r="Z162" s="269"/>
      <c r="AA162" s="269"/>
      <c r="AB162" s="269"/>
      <c r="AC162" s="269"/>
      <c r="AD162" s="269"/>
      <c r="AE162" s="269"/>
      <c r="AF162" s="269"/>
      <c r="AG162" s="269"/>
      <c r="AH162" s="269"/>
      <c r="AI162" s="269"/>
      <c r="AJ162" s="252"/>
      <c r="AK162" s="269"/>
      <c r="AL162" s="269"/>
      <c r="AM162" s="269"/>
      <c r="AN162" s="269"/>
      <c r="AO162" s="252"/>
      <c r="AP162" s="252"/>
      <c r="AQ162" s="252"/>
      <c r="AR162" s="252"/>
      <c r="AS162" s="252"/>
      <c r="AT162" s="252"/>
      <c r="AU162" s="252"/>
      <c r="AV162" s="252"/>
      <c r="AW162" s="252"/>
      <c r="AX162" s="252"/>
    </row>
    <row r="163" spans="1:50" s="4" customFormat="1">
      <c r="A163" s="252"/>
      <c r="B163" s="252"/>
      <c r="C163" s="252"/>
      <c r="D163" s="252"/>
      <c r="E163" s="252"/>
      <c r="F163" s="252"/>
      <c r="G163" s="252"/>
      <c r="H163" s="252"/>
      <c r="I163" s="252"/>
      <c r="J163" s="269"/>
      <c r="K163" s="269"/>
      <c r="L163" s="269"/>
      <c r="M163" s="269"/>
      <c r="N163" s="269"/>
      <c r="O163" s="269"/>
      <c r="P163" s="269"/>
      <c r="Q163" s="269"/>
      <c r="R163" s="269"/>
      <c r="S163" s="252"/>
      <c r="T163" s="252"/>
      <c r="U163" s="252"/>
      <c r="V163" s="269"/>
      <c r="W163" s="269"/>
      <c r="X163" s="269"/>
      <c r="Y163" s="269"/>
      <c r="Z163" s="269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52"/>
      <c r="AK163" s="269"/>
      <c r="AL163" s="269"/>
      <c r="AM163" s="269"/>
      <c r="AN163" s="269"/>
      <c r="AO163" s="252"/>
      <c r="AP163" s="252"/>
      <c r="AQ163" s="252"/>
      <c r="AR163" s="252"/>
      <c r="AS163" s="252"/>
      <c r="AT163" s="252"/>
      <c r="AU163" s="252"/>
      <c r="AV163" s="252"/>
      <c r="AW163" s="252"/>
      <c r="AX163" s="252"/>
    </row>
    <row r="164" spans="1:50" s="4" customFormat="1">
      <c r="A164" s="252"/>
      <c r="B164" s="252"/>
      <c r="C164" s="252"/>
      <c r="D164" s="252"/>
      <c r="E164" s="252"/>
      <c r="F164" s="252"/>
      <c r="G164" s="252"/>
      <c r="H164" s="252"/>
      <c r="I164" s="252"/>
      <c r="J164" s="269"/>
      <c r="K164" s="269"/>
      <c r="L164" s="269"/>
      <c r="M164" s="269"/>
      <c r="N164" s="269"/>
      <c r="O164" s="269"/>
      <c r="P164" s="269"/>
      <c r="Q164" s="269"/>
      <c r="R164" s="269"/>
      <c r="S164" s="252"/>
      <c r="T164" s="252"/>
      <c r="U164" s="252"/>
      <c r="V164" s="269"/>
      <c r="W164" s="269"/>
      <c r="X164" s="269"/>
      <c r="Y164" s="269"/>
      <c r="Z164" s="269"/>
      <c r="AA164" s="269"/>
      <c r="AB164" s="269"/>
      <c r="AC164" s="269"/>
      <c r="AD164" s="269"/>
      <c r="AE164" s="269"/>
      <c r="AF164" s="269"/>
      <c r="AG164" s="269"/>
      <c r="AH164" s="269"/>
      <c r="AI164" s="269"/>
      <c r="AJ164" s="252"/>
      <c r="AK164" s="269"/>
      <c r="AL164" s="269"/>
      <c r="AM164" s="269"/>
      <c r="AN164" s="269"/>
      <c r="AO164" s="252"/>
      <c r="AP164" s="252"/>
      <c r="AQ164" s="252"/>
      <c r="AR164" s="252"/>
      <c r="AS164" s="252"/>
      <c r="AT164" s="252"/>
      <c r="AU164" s="252"/>
      <c r="AV164" s="252"/>
      <c r="AW164" s="252"/>
      <c r="AX164" s="252"/>
    </row>
    <row r="165" spans="1:50" s="4" customFormat="1">
      <c r="A165" s="252"/>
      <c r="B165" s="252"/>
      <c r="C165" s="252"/>
      <c r="D165" s="252"/>
      <c r="E165" s="252"/>
      <c r="F165" s="252"/>
      <c r="G165" s="252"/>
      <c r="H165" s="252"/>
      <c r="I165" s="252"/>
      <c r="J165" s="269"/>
      <c r="K165" s="269"/>
      <c r="L165" s="269"/>
      <c r="M165" s="269"/>
      <c r="N165" s="269"/>
      <c r="O165" s="269"/>
      <c r="P165" s="269"/>
      <c r="Q165" s="269"/>
      <c r="R165" s="269"/>
      <c r="S165" s="252"/>
      <c r="T165" s="252"/>
      <c r="U165" s="252"/>
      <c r="V165" s="269"/>
      <c r="W165" s="269"/>
      <c r="X165" s="269"/>
      <c r="Y165" s="269"/>
      <c r="Z165" s="269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52"/>
      <c r="AK165" s="269"/>
      <c r="AL165" s="269"/>
      <c r="AM165" s="269"/>
      <c r="AN165" s="269"/>
      <c r="AO165" s="252"/>
      <c r="AP165" s="252"/>
      <c r="AQ165" s="252"/>
      <c r="AR165" s="252"/>
      <c r="AS165" s="252"/>
      <c r="AT165" s="252"/>
      <c r="AU165" s="252"/>
      <c r="AV165" s="252"/>
      <c r="AW165" s="252"/>
      <c r="AX165" s="252"/>
    </row>
    <row r="166" spans="1:50" s="4" customFormat="1">
      <c r="A166" s="252"/>
      <c r="B166" s="252"/>
      <c r="C166" s="252"/>
      <c r="D166" s="252"/>
      <c r="E166" s="252"/>
      <c r="F166" s="252"/>
      <c r="G166" s="252"/>
      <c r="H166" s="252"/>
      <c r="I166" s="252"/>
      <c r="J166" s="269"/>
      <c r="K166" s="269"/>
      <c r="L166" s="269"/>
      <c r="M166" s="269"/>
      <c r="N166" s="269"/>
      <c r="O166" s="269"/>
      <c r="P166" s="269"/>
      <c r="Q166" s="269"/>
      <c r="R166" s="269"/>
      <c r="S166" s="252"/>
      <c r="T166" s="252"/>
      <c r="U166" s="252"/>
      <c r="V166" s="269"/>
      <c r="W166" s="269"/>
      <c r="X166" s="269"/>
      <c r="Y166" s="269"/>
      <c r="Z166" s="269"/>
      <c r="AA166" s="269"/>
      <c r="AB166" s="269"/>
      <c r="AC166" s="269"/>
      <c r="AD166" s="269"/>
      <c r="AE166" s="269"/>
      <c r="AF166" s="269"/>
      <c r="AG166" s="269"/>
      <c r="AH166" s="269"/>
      <c r="AI166" s="269"/>
      <c r="AJ166" s="252"/>
      <c r="AK166" s="269"/>
      <c r="AL166" s="269"/>
      <c r="AM166" s="269"/>
      <c r="AN166" s="269"/>
      <c r="AO166" s="252"/>
      <c r="AP166" s="252"/>
      <c r="AQ166" s="252"/>
      <c r="AR166" s="252"/>
      <c r="AS166" s="252"/>
      <c r="AT166" s="252"/>
      <c r="AU166" s="252"/>
      <c r="AV166" s="252"/>
      <c r="AW166" s="252"/>
      <c r="AX166" s="252"/>
    </row>
    <row r="167" spans="1:50" s="4" customFormat="1">
      <c r="A167" s="252"/>
      <c r="B167" s="252"/>
      <c r="C167" s="252"/>
      <c r="D167" s="252"/>
      <c r="E167" s="252"/>
      <c r="F167" s="252"/>
      <c r="G167" s="252"/>
      <c r="H167" s="252"/>
      <c r="I167" s="252"/>
      <c r="J167" s="269"/>
      <c r="K167" s="269"/>
      <c r="L167" s="269"/>
      <c r="M167" s="269"/>
      <c r="N167" s="269"/>
      <c r="O167" s="269"/>
      <c r="P167" s="269"/>
      <c r="Q167" s="269"/>
      <c r="R167" s="269"/>
      <c r="S167" s="252"/>
      <c r="T167" s="252"/>
      <c r="U167" s="252"/>
      <c r="V167" s="269"/>
      <c r="W167" s="269"/>
      <c r="X167" s="269"/>
      <c r="Y167" s="269"/>
      <c r="Z167" s="269"/>
      <c r="AA167" s="269"/>
      <c r="AB167" s="269"/>
      <c r="AC167" s="269"/>
      <c r="AD167" s="269"/>
      <c r="AE167" s="269"/>
      <c r="AF167" s="269"/>
      <c r="AG167" s="269"/>
      <c r="AH167" s="269"/>
      <c r="AI167" s="269"/>
      <c r="AJ167" s="252"/>
      <c r="AK167" s="269"/>
      <c r="AL167" s="269"/>
      <c r="AM167" s="269"/>
      <c r="AN167" s="269"/>
      <c r="AO167" s="252"/>
      <c r="AP167" s="252"/>
      <c r="AQ167" s="252"/>
      <c r="AR167" s="252"/>
      <c r="AS167" s="252"/>
      <c r="AT167" s="252"/>
      <c r="AU167" s="252"/>
      <c r="AV167" s="252"/>
      <c r="AW167" s="252"/>
      <c r="AX167" s="252"/>
    </row>
    <row r="168" spans="1:50" s="4" customFormat="1">
      <c r="A168" s="252"/>
      <c r="B168" s="252"/>
      <c r="C168" s="252"/>
      <c r="D168" s="252"/>
      <c r="E168" s="252"/>
      <c r="F168" s="252"/>
      <c r="G168" s="252"/>
      <c r="H168" s="252"/>
      <c r="I168" s="252"/>
      <c r="J168" s="269"/>
      <c r="K168" s="269"/>
      <c r="L168" s="269"/>
      <c r="M168" s="269"/>
      <c r="N168" s="269"/>
      <c r="O168" s="269"/>
      <c r="P168" s="269"/>
      <c r="Q168" s="269"/>
      <c r="R168" s="269"/>
      <c r="S168" s="252"/>
      <c r="T168" s="252"/>
      <c r="U168" s="252"/>
      <c r="V168" s="269"/>
      <c r="W168" s="269"/>
      <c r="X168" s="269"/>
      <c r="Y168" s="269"/>
      <c r="Z168" s="269"/>
      <c r="AA168" s="269"/>
      <c r="AB168" s="269"/>
      <c r="AC168" s="269"/>
      <c r="AD168" s="269"/>
      <c r="AE168" s="269"/>
      <c r="AF168" s="269"/>
      <c r="AG168" s="269"/>
      <c r="AH168" s="269"/>
      <c r="AI168" s="269"/>
      <c r="AJ168" s="252"/>
      <c r="AK168" s="269"/>
      <c r="AL168" s="269"/>
      <c r="AM168" s="269"/>
      <c r="AN168" s="269"/>
      <c r="AO168" s="252"/>
      <c r="AP168" s="252"/>
      <c r="AQ168" s="252"/>
      <c r="AR168" s="252"/>
      <c r="AS168" s="252"/>
      <c r="AT168" s="252"/>
      <c r="AU168" s="252"/>
      <c r="AV168" s="252"/>
      <c r="AW168" s="252"/>
      <c r="AX168" s="252"/>
    </row>
    <row r="169" spans="1:50" s="4" customFormat="1">
      <c r="A169" s="252"/>
      <c r="B169" s="252"/>
      <c r="C169" s="252"/>
      <c r="D169" s="252"/>
      <c r="E169" s="252"/>
      <c r="F169" s="252"/>
      <c r="G169" s="252"/>
      <c r="H169" s="252"/>
      <c r="I169" s="252"/>
      <c r="J169" s="269"/>
      <c r="K169" s="269"/>
      <c r="L169" s="269"/>
      <c r="M169" s="269"/>
      <c r="N169" s="269"/>
      <c r="O169" s="269"/>
      <c r="P169" s="269"/>
      <c r="Q169" s="269"/>
      <c r="R169" s="269"/>
      <c r="S169" s="252"/>
      <c r="T169" s="252"/>
      <c r="U169" s="252"/>
      <c r="V169" s="269"/>
      <c r="W169" s="269"/>
      <c r="X169" s="269"/>
      <c r="Y169" s="269"/>
      <c r="Z169" s="269"/>
      <c r="AA169" s="269"/>
      <c r="AB169" s="269"/>
      <c r="AC169" s="269"/>
      <c r="AD169" s="269"/>
      <c r="AE169" s="269"/>
      <c r="AF169" s="269"/>
      <c r="AG169" s="269"/>
      <c r="AH169" s="269"/>
      <c r="AI169" s="269"/>
      <c r="AJ169" s="252"/>
      <c r="AK169" s="269"/>
      <c r="AL169" s="269"/>
      <c r="AM169" s="269"/>
      <c r="AN169" s="269"/>
      <c r="AO169" s="252"/>
      <c r="AP169" s="252"/>
      <c r="AQ169" s="252"/>
      <c r="AR169" s="252"/>
      <c r="AS169" s="252"/>
      <c r="AT169" s="252"/>
      <c r="AU169" s="252"/>
      <c r="AV169" s="252"/>
      <c r="AW169" s="252"/>
      <c r="AX169" s="252"/>
    </row>
    <row r="170" spans="1:50" s="4" customFormat="1">
      <c r="A170" s="252"/>
      <c r="B170" s="252"/>
      <c r="C170" s="252"/>
      <c r="D170" s="252"/>
      <c r="E170" s="252"/>
      <c r="F170" s="252"/>
      <c r="G170" s="252"/>
      <c r="H170" s="252"/>
      <c r="I170" s="252"/>
      <c r="J170" s="269"/>
      <c r="K170" s="269"/>
      <c r="L170" s="269"/>
      <c r="M170" s="269"/>
      <c r="N170" s="269"/>
      <c r="O170" s="269"/>
      <c r="P170" s="269"/>
      <c r="Q170" s="269"/>
      <c r="R170" s="269"/>
      <c r="S170" s="252"/>
      <c r="T170" s="252"/>
      <c r="U170" s="252"/>
      <c r="V170" s="269"/>
      <c r="W170" s="269"/>
      <c r="X170" s="269"/>
      <c r="Y170" s="269"/>
      <c r="Z170" s="269"/>
      <c r="AA170" s="269"/>
      <c r="AB170" s="269"/>
      <c r="AC170" s="269"/>
      <c r="AD170" s="269"/>
      <c r="AE170" s="269"/>
      <c r="AF170" s="269"/>
      <c r="AG170" s="269"/>
      <c r="AH170" s="269"/>
      <c r="AI170" s="269"/>
      <c r="AJ170" s="252"/>
      <c r="AK170" s="269"/>
      <c r="AL170" s="269"/>
      <c r="AM170" s="269"/>
      <c r="AN170" s="269"/>
      <c r="AO170" s="252"/>
      <c r="AP170" s="252"/>
      <c r="AQ170" s="252"/>
      <c r="AR170" s="252"/>
      <c r="AS170" s="252"/>
      <c r="AT170" s="252"/>
      <c r="AU170" s="252"/>
      <c r="AV170" s="252"/>
      <c r="AW170" s="252"/>
      <c r="AX170" s="252"/>
    </row>
    <row r="171" spans="1:50" s="4" customFormat="1">
      <c r="A171" s="252"/>
      <c r="B171" s="252"/>
      <c r="C171" s="252"/>
      <c r="D171" s="252"/>
      <c r="E171" s="252"/>
      <c r="F171" s="252"/>
      <c r="G171" s="252"/>
      <c r="H171" s="252"/>
      <c r="I171" s="252"/>
      <c r="J171" s="269"/>
      <c r="K171" s="269"/>
      <c r="L171" s="269"/>
      <c r="M171" s="269"/>
      <c r="N171" s="269"/>
      <c r="O171" s="269"/>
      <c r="P171" s="269"/>
      <c r="Q171" s="269"/>
      <c r="R171" s="269"/>
      <c r="S171" s="252"/>
      <c r="T171" s="252"/>
      <c r="U171" s="252"/>
      <c r="V171" s="269"/>
      <c r="W171" s="269"/>
      <c r="X171" s="269"/>
      <c r="Y171" s="269"/>
      <c r="Z171" s="269"/>
      <c r="AA171" s="269"/>
      <c r="AB171" s="269"/>
      <c r="AC171" s="269"/>
      <c r="AD171" s="269"/>
      <c r="AE171" s="269"/>
      <c r="AF171" s="269"/>
      <c r="AG171" s="269"/>
      <c r="AH171" s="269"/>
      <c r="AI171" s="269"/>
      <c r="AJ171" s="252"/>
      <c r="AK171" s="269"/>
      <c r="AL171" s="269"/>
      <c r="AM171" s="269"/>
      <c r="AN171" s="269"/>
      <c r="AO171" s="252"/>
      <c r="AP171" s="252"/>
      <c r="AQ171" s="252"/>
      <c r="AR171" s="252"/>
      <c r="AS171" s="252"/>
      <c r="AT171" s="252"/>
      <c r="AU171" s="252"/>
      <c r="AV171" s="252"/>
      <c r="AW171" s="252"/>
      <c r="AX171" s="252"/>
    </row>
    <row r="172" spans="1:50" s="4" customFormat="1">
      <c r="A172" s="252"/>
      <c r="B172" s="252"/>
      <c r="C172" s="252"/>
      <c r="D172" s="252"/>
      <c r="E172" s="252"/>
      <c r="F172" s="252"/>
      <c r="G172" s="252"/>
      <c r="H172" s="252"/>
      <c r="I172" s="252"/>
      <c r="J172" s="269"/>
      <c r="K172" s="269"/>
      <c r="L172" s="269"/>
      <c r="M172" s="269"/>
      <c r="N172" s="269"/>
      <c r="O172" s="269"/>
      <c r="P172" s="269"/>
      <c r="Q172" s="269"/>
      <c r="R172" s="269"/>
      <c r="S172" s="252"/>
      <c r="T172" s="252"/>
      <c r="U172" s="252"/>
      <c r="V172" s="269"/>
      <c r="W172" s="269"/>
      <c r="X172" s="269"/>
      <c r="Y172" s="269"/>
      <c r="Z172" s="269"/>
      <c r="AA172" s="269"/>
      <c r="AB172" s="269"/>
      <c r="AC172" s="269"/>
      <c r="AD172" s="269"/>
      <c r="AE172" s="269"/>
      <c r="AF172" s="269"/>
      <c r="AG172" s="269"/>
      <c r="AH172" s="269"/>
      <c r="AI172" s="269"/>
      <c r="AJ172" s="252"/>
      <c r="AK172" s="269"/>
      <c r="AL172" s="269"/>
      <c r="AM172" s="269"/>
      <c r="AN172" s="269"/>
      <c r="AO172" s="252"/>
      <c r="AP172" s="252"/>
      <c r="AQ172" s="252"/>
      <c r="AR172" s="252"/>
      <c r="AS172" s="252"/>
      <c r="AT172" s="252"/>
      <c r="AU172" s="252"/>
      <c r="AV172" s="252"/>
      <c r="AW172" s="252"/>
      <c r="AX172" s="252"/>
    </row>
    <row r="173" spans="1:50" s="4" customFormat="1">
      <c r="A173" s="252"/>
      <c r="B173" s="252"/>
      <c r="C173" s="252"/>
      <c r="D173" s="252"/>
      <c r="E173" s="252"/>
      <c r="F173" s="252"/>
      <c r="G173" s="252"/>
      <c r="H173" s="252"/>
      <c r="I173" s="252"/>
      <c r="J173" s="269"/>
      <c r="K173" s="269"/>
      <c r="L173" s="269"/>
      <c r="M173" s="269"/>
      <c r="N173" s="269"/>
      <c r="O173" s="269"/>
      <c r="P173" s="269"/>
      <c r="Q173" s="269"/>
      <c r="R173" s="269"/>
      <c r="S173" s="252"/>
      <c r="T173" s="252"/>
      <c r="U173" s="252"/>
      <c r="V173" s="269"/>
      <c r="W173" s="269"/>
      <c r="X173" s="269"/>
      <c r="Y173" s="269"/>
      <c r="Z173" s="269"/>
      <c r="AA173" s="269"/>
      <c r="AB173" s="269"/>
      <c r="AC173" s="269"/>
      <c r="AD173" s="269"/>
      <c r="AE173" s="269"/>
      <c r="AF173" s="269"/>
      <c r="AG173" s="269"/>
      <c r="AH173" s="269"/>
      <c r="AI173" s="269"/>
      <c r="AJ173" s="252"/>
      <c r="AK173" s="269"/>
      <c r="AL173" s="269"/>
      <c r="AM173" s="269"/>
      <c r="AN173" s="269"/>
      <c r="AO173" s="252"/>
      <c r="AP173" s="252"/>
      <c r="AQ173" s="252"/>
      <c r="AR173" s="252"/>
      <c r="AS173" s="252"/>
      <c r="AT173" s="252"/>
      <c r="AU173" s="252"/>
      <c r="AV173" s="252"/>
      <c r="AW173" s="252"/>
      <c r="AX173" s="252"/>
    </row>
    <row r="174" spans="1:50" s="4" customFormat="1">
      <c r="A174" s="252"/>
      <c r="B174" s="252"/>
      <c r="C174" s="252"/>
      <c r="D174" s="252"/>
      <c r="E174" s="252"/>
      <c r="F174" s="252"/>
      <c r="G174" s="252"/>
      <c r="H174" s="252"/>
      <c r="I174" s="252"/>
      <c r="J174" s="269"/>
      <c r="K174" s="269"/>
      <c r="L174" s="269"/>
      <c r="M174" s="269"/>
      <c r="N174" s="269"/>
      <c r="O174" s="269"/>
      <c r="P174" s="269"/>
      <c r="Q174" s="269"/>
      <c r="R174" s="269"/>
      <c r="S174" s="252"/>
      <c r="T174" s="252"/>
      <c r="U174" s="252"/>
      <c r="V174" s="269"/>
      <c r="W174" s="269"/>
      <c r="X174" s="269"/>
      <c r="Y174" s="269"/>
      <c r="Z174" s="269"/>
      <c r="AA174" s="269"/>
      <c r="AB174" s="269"/>
      <c r="AC174" s="269"/>
      <c r="AD174" s="269"/>
      <c r="AE174" s="269"/>
      <c r="AF174" s="269"/>
      <c r="AG174" s="269"/>
      <c r="AH174" s="269"/>
      <c r="AI174" s="269"/>
      <c r="AJ174" s="252"/>
      <c r="AK174" s="269"/>
      <c r="AL174" s="269"/>
      <c r="AM174" s="269"/>
      <c r="AN174" s="269"/>
      <c r="AO174" s="252"/>
      <c r="AP174" s="252"/>
      <c r="AQ174" s="252"/>
      <c r="AR174" s="252"/>
      <c r="AS174" s="252"/>
      <c r="AT174" s="252"/>
      <c r="AU174" s="252"/>
      <c r="AV174" s="252"/>
      <c r="AW174" s="252"/>
      <c r="AX174" s="252"/>
    </row>
    <row r="175" spans="1:50" s="4" customFormat="1">
      <c r="A175" s="252"/>
      <c r="B175" s="252"/>
      <c r="C175" s="252"/>
      <c r="D175" s="252"/>
      <c r="E175" s="252"/>
      <c r="F175" s="252"/>
      <c r="G175" s="252"/>
      <c r="H175" s="252"/>
      <c r="I175" s="252"/>
      <c r="J175" s="269"/>
      <c r="K175" s="269"/>
      <c r="L175" s="269"/>
      <c r="M175" s="269"/>
      <c r="N175" s="269"/>
      <c r="O175" s="269"/>
      <c r="P175" s="269"/>
      <c r="Q175" s="269"/>
      <c r="R175" s="269"/>
      <c r="S175" s="252"/>
      <c r="T175" s="252"/>
      <c r="U175" s="252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52"/>
      <c r="AK175" s="269"/>
      <c r="AL175" s="269"/>
      <c r="AM175" s="269"/>
      <c r="AN175" s="269"/>
      <c r="AO175" s="252"/>
      <c r="AP175" s="252"/>
      <c r="AQ175" s="252"/>
      <c r="AR175" s="252"/>
      <c r="AS175" s="252"/>
      <c r="AT175" s="252"/>
      <c r="AU175" s="252"/>
      <c r="AV175" s="252"/>
      <c r="AW175" s="252"/>
      <c r="AX175" s="252"/>
    </row>
    <row r="176" spans="1:50" s="4" customFormat="1">
      <c r="A176" s="252"/>
      <c r="B176" s="252"/>
      <c r="C176" s="252"/>
      <c r="D176" s="252"/>
      <c r="E176" s="252"/>
      <c r="F176" s="252"/>
      <c r="G176" s="252"/>
      <c r="H176" s="252"/>
      <c r="I176" s="252"/>
      <c r="J176" s="269"/>
      <c r="K176" s="269"/>
      <c r="L176" s="269"/>
      <c r="M176" s="269"/>
      <c r="N176" s="269"/>
      <c r="O176" s="269"/>
      <c r="P176" s="269"/>
      <c r="Q176" s="269"/>
      <c r="R176" s="269"/>
      <c r="S176" s="252"/>
      <c r="T176" s="252"/>
      <c r="U176" s="252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52"/>
      <c r="AK176" s="269"/>
      <c r="AL176" s="269"/>
      <c r="AM176" s="269"/>
      <c r="AN176" s="269"/>
      <c r="AO176" s="252"/>
      <c r="AP176" s="252"/>
      <c r="AQ176" s="252"/>
      <c r="AR176" s="252"/>
      <c r="AS176" s="252"/>
      <c r="AT176" s="252"/>
      <c r="AU176" s="252"/>
      <c r="AV176" s="252"/>
      <c r="AW176" s="252"/>
      <c r="AX176" s="252"/>
    </row>
    <row r="177" spans="1:50" s="4" customFormat="1">
      <c r="A177" s="252"/>
      <c r="B177" s="252"/>
      <c r="C177" s="252"/>
      <c r="D177" s="252"/>
      <c r="E177" s="252"/>
      <c r="F177" s="252"/>
      <c r="G177" s="252"/>
      <c r="H177" s="252"/>
      <c r="I177" s="252"/>
      <c r="J177" s="269"/>
      <c r="K177" s="269"/>
      <c r="L177" s="269"/>
      <c r="M177" s="269"/>
      <c r="N177" s="269"/>
      <c r="O177" s="269"/>
      <c r="P177" s="269"/>
      <c r="Q177" s="269"/>
      <c r="R177" s="269"/>
      <c r="S177" s="252"/>
      <c r="T177" s="252"/>
      <c r="U177" s="252"/>
      <c r="V177" s="269"/>
      <c r="W177" s="269"/>
      <c r="X177" s="269"/>
      <c r="Y177" s="269"/>
      <c r="Z177" s="269"/>
      <c r="AA177" s="269"/>
      <c r="AB177" s="269"/>
      <c r="AC177" s="269"/>
      <c r="AD177" s="269"/>
      <c r="AE177" s="269"/>
      <c r="AF177" s="269"/>
      <c r="AG177" s="269"/>
      <c r="AH177" s="269"/>
      <c r="AI177" s="269"/>
      <c r="AJ177" s="252"/>
      <c r="AK177" s="269"/>
      <c r="AL177" s="269"/>
      <c r="AM177" s="269"/>
      <c r="AN177" s="269"/>
      <c r="AO177" s="252"/>
      <c r="AP177" s="252"/>
      <c r="AQ177" s="252"/>
      <c r="AR177" s="252"/>
      <c r="AS177" s="252"/>
      <c r="AT177" s="252"/>
      <c r="AU177" s="252"/>
      <c r="AV177" s="252"/>
      <c r="AW177" s="252"/>
      <c r="AX177" s="252"/>
    </row>
    <row r="178" spans="1:50" s="4" customFormat="1">
      <c r="A178" s="252"/>
      <c r="B178" s="252"/>
      <c r="C178" s="252"/>
      <c r="D178" s="252"/>
      <c r="E178" s="252"/>
      <c r="F178" s="252"/>
      <c r="G178" s="252"/>
      <c r="H178" s="252"/>
      <c r="I178" s="252"/>
      <c r="J178" s="269"/>
      <c r="K178" s="269"/>
      <c r="L178" s="269"/>
      <c r="M178" s="269"/>
      <c r="N178" s="269"/>
      <c r="O178" s="269"/>
      <c r="P178" s="269"/>
      <c r="Q178" s="269"/>
      <c r="R178" s="269"/>
      <c r="S178" s="252"/>
      <c r="T178" s="252"/>
      <c r="U178" s="252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52"/>
      <c r="AK178" s="269"/>
      <c r="AL178" s="269"/>
      <c r="AM178" s="269"/>
      <c r="AN178" s="269"/>
      <c r="AO178" s="252"/>
      <c r="AP178" s="252"/>
      <c r="AQ178" s="252"/>
      <c r="AR178" s="252"/>
      <c r="AS178" s="252"/>
      <c r="AT178" s="252"/>
      <c r="AU178" s="252"/>
      <c r="AV178" s="252"/>
      <c r="AW178" s="252"/>
      <c r="AX178" s="252"/>
    </row>
    <row r="179" spans="1:50" s="4" customFormat="1">
      <c r="A179" s="252"/>
      <c r="B179" s="252"/>
      <c r="C179" s="252"/>
      <c r="D179" s="252"/>
      <c r="E179" s="252"/>
      <c r="F179" s="252"/>
      <c r="G179" s="252"/>
      <c r="H179" s="252"/>
      <c r="I179" s="252"/>
      <c r="J179" s="269"/>
      <c r="K179" s="269"/>
      <c r="L179" s="269"/>
      <c r="M179" s="269"/>
      <c r="N179" s="269"/>
      <c r="O179" s="269"/>
      <c r="P179" s="269"/>
      <c r="Q179" s="269"/>
      <c r="R179" s="269"/>
      <c r="S179" s="252"/>
      <c r="T179" s="252"/>
      <c r="U179" s="252"/>
      <c r="V179" s="269"/>
      <c r="W179" s="269"/>
      <c r="X179" s="269"/>
      <c r="Y179" s="269"/>
      <c r="Z179" s="269"/>
      <c r="AA179" s="269"/>
      <c r="AB179" s="269"/>
      <c r="AC179" s="269"/>
      <c r="AD179" s="269"/>
      <c r="AE179" s="269"/>
      <c r="AF179" s="269"/>
      <c r="AG179" s="269"/>
      <c r="AH179" s="269"/>
      <c r="AI179" s="269"/>
      <c r="AJ179" s="252"/>
      <c r="AK179" s="269"/>
      <c r="AL179" s="269"/>
      <c r="AM179" s="269"/>
      <c r="AN179" s="269"/>
      <c r="AO179" s="252"/>
      <c r="AP179" s="252"/>
      <c r="AQ179" s="252"/>
      <c r="AR179" s="252"/>
      <c r="AS179" s="252"/>
      <c r="AT179" s="252"/>
      <c r="AU179" s="252"/>
      <c r="AV179" s="252"/>
      <c r="AW179" s="252"/>
      <c r="AX179" s="252"/>
    </row>
    <row r="180" spans="1:50" s="4" customFormat="1">
      <c r="A180" s="252"/>
      <c r="B180" s="252"/>
      <c r="C180" s="252"/>
      <c r="D180" s="252"/>
      <c r="E180" s="252"/>
      <c r="F180" s="252"/>
      <c r="G180" s="252"/>
      <c r="H180" s="252"/>
      <c r="I180" s="252"/>
      <c r="J180" s="269"/>
      <c r="K180" s="269"/>
      <c r="L180" s="269"/>
      <c r="M180" s="269"/>
      <c r="N180" s="269"/>
      <c r="O180" s="269"/>
      <c r="P180" s="269"/>
      <c r="Q180" s="269"/>
      <c r="R180" s="269"/>
      <c r="S180" s="252"/>
      <c r="T180" s="252"/>
      <c r="U180" s="252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52"/>
      <c r="AK180" s="269"/>
      <c r="AL180" s="269"/>
      <c r="AM180" s="269"/>
      <c r="AN180" s="269"/>
      <c r="AO180" s="252"/>
      <c r="AP180" s="252"/>
      <c r="AQ180" s="252"/>
      <c r="AR180" s="252"/>
      <c r="AS180" s="252"/>
      <c r="AT180" s="252"/>
      <c r="AU180" s="252"/>
      <c r="AV180" s="252"/>
      <c r="AW180" s="252"/>
      <c r="AX180" s="252"/>
    </row>
    <row r="181" spans="1:50" s="4" customFormat="1">
      <c r="A181" s="252"/>
      <c r="B181" s="252"/>
      <c r="C181" s="252"/>
      <c r="D181" s="252"/>
      <c r="E181" s="252"/>
      <c r="F181" s="252"/>
      <c r="G181" s="252"/>
      <c r="H181" s="252"/>
      <c r="I181" s="252"/>
      <c r="J181" s="269"/>
      <c r="K181" s="269"/>
      <c r="L181" s="269"/>
      <c r="M181" s="269"/>
      <c r="N181" s="269"/>
      <c r="O181" s="269"/>
      <c r="P181" s="269"/>
      <c r="Q181" s="269"/>
      <c r="R181" s="269"/>
      <c r="S181" s="252"/>
      <c r="T181" s="252"/>
      <c r="U181" s="252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52"/>
      <c r="AK181" s="269"/>
      <c r="AL181" s="269"/>
      <c r="AM181" s="269"/>
      <c r="AN181" s="269"/>
      <c r="AO181" s="252"/>
      <c r="AP181" s="252"/>
      <c r="AQ181" s="252"/>
      <c r="AR181" s="252"/>
      <c r="AS181" s="252"/>
      <c r="AT181" s="252"/>
      <c r="AU181" s="252"/>
      <c r="AV181" s="252"/>
      <c r="AW181" s="252"/>
      <c r="AX181" s="252"/>
    </row>
    <row r="182" spans="1:50" s="4" customFormat="1">
      <c r="A182" s="252"/>
      <c r="B182" s="252"/>
      <c r="C182" s="252"/>
      <c r="D182" s="252"/>
      <c r="E182" s="252"/>
      <c r="F182" s="252"/>
      <c r="G182" s="252"/>
      <c r="H182" s="252"/>
      <c r="I182" s="252"/>
      <c r="J182" s="269"/>
      <c r="K182" s="269"/>
      <c r="L182" s="269"/>
      <c r="M182" s="269"/>
      <c r="N182" s="269"/>
      <c r="O182" s="269"/>
      <c r="P182" s="269"/>
      <c r="Q182" s="269"/>
      <c r="R182" s="269"/>
      <c r="S182" s="252"/>
      <c r="T182" s="252"/>
      <c r="U182" s="252"/>
      <c r="V182" s="269"/>
      <c r="W182" s="269"/>
      <c r="X182" s="269"/>
      <c r="Y182" s="269"/>
      <c r="Z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52"/>
      <c r="AK182" s="269"/>
      <c r="AL182" s="269"/>
      <c r="AM182" s="269"/>
      <c r="AN182" s="269"/>
      <c r="AO182" s="252"/>
      <c r="AP182" s="252"/>
      <c r="AQ182" s="252"/>
      <c r="AR182" s="252"/>
      <c r="AS182" s="252"/>
      <c r="AT182" s="252"/>
      <c r="AU182" s="252"/>
      <c r="AV182" s="252"/>
      <c r="AW182" s="252"/>
      <c r="AX182" s="252"/>
    </row>
    <row r="183" spans="1:50" s="4" customFormat="1">
      <c r="A183" s="252"/>
      <c r="B183" s="252"/>
      <c r="C183" s="252"/>
      <c r="D183" s="252"/>
      <c r="E183" s="252"/>
      <c r="F183" s="252"/>
      <c r="G183" s="252"/>
      <c r="H183" s="252"/>
      <c r="I183" s="252"/>
      <c r="J183" s="269"/>
      <c r="K183" s="269"/>
      <c r="L183" s="269"/>
      <c r="M183" s="269"/>
      <c r="N183" s="269"/>
      <c r="O183" s="269"/>
      <c r="P183" s="269"/>
      <c r="Q183" s="269"/>
      <c r="R183" s="269"/>
      <c r="S183" s="252"/>
      <c r="T183" s="252"/>
      <c r="U183" s="252"/>
      <c r="V183" s="269"/>
      <c r="W183" s="269"/>
      <c r="X183" s="269"/>
      <c r="Y183" s="269"/>
      <c r="Z183" s="269"/>
      <c r="AA183" s="269"/>
      <c r="AB183" s="269"/>
      <c r="AC183" s="269"/>
      <c r="AD183" s="269"/>
      <c r="AE183" s="269"/>
      <c r="AF183" s="269"/>
      <c r="AG183" s="269"/>
      <c r="AH183" s="269"/>
      <c r="AI183" s="269"/>
      <c r="AJ183" s="252"/>
      <c r="AK183" s="269"/>
      <c r="AL183" s="269"/>
      <c r="AM183" s="269"/>
      <c r="AN183" s="269"/>
      <c r="AO183" s="252"/>
      <c r="AP183" s="252"/>
      <c r="AQ183" s="252"/>
      <c r="AR183" s="252"/>
      <c r="AS183" s="252"/>
      <c r="AT183" s="252"/>
      <c r="AU183" s="252"/>
      <c r="AV183" s="252"/>
      <c r="AW183" s="252"/>
      <c r="AX183" s="252"/>
    </row>
    <row r="184" spans="1:50" s="4" customFormat="1">
      <c r="A184" s="252"/>
      <c r="B184" s="252"/>
      <c r="C184" s="252"/>
      <c r="D184" s="252"/>
      <c r="E184" s="252"/>
      <c r="F184" s="252"/>
      <c r="G184" s="252"/>
      <c r="H184" s="252"/>
      <c r="I184" s="252"/>
      <c r="J184" s="269"/>
      <c r="K184" s="269"/>
      <c r="L184" s="269"/>
      <c r="M184" s="269"/>
      <c r="N184" s="269"/>
      <c r="O184" s="269"/>
      <c r="P184" s="269"/>
      <c r="Q184" s="269"/>
      <c r="R184" s="269"/>
      <c r="S184" s="252"/>
      <c r="T184" s="252"/>
      <c r="U184" s="252"/>
      <c r="V184" s="269"/>
      <c r="W184" s="269"/>
      <c r="X184" s="269"/>
      <c r="Y184" s="269"/>
      <c r="Z184" s="269"/>
      <c r="AA184" s="269"/>
      <c r="AB184" s="269"/>
      <c r="AC184" s="269"/>
      <c r="AD184" s="269"/>
      <c r="AE184" s="269"/>
      <c r="AF184" s="269"/>
      <c r="AG184" s="269"/>
      <c r="AH184" s="269"/>
      <c r="AI184" s="269"/>
      <c r="AJ184" s="252"/>
      <c r="AK184" s="269"/>
      <c r="AL184" s="269"/>
      <c r="AM184" s="269"/>
      <c r="AN184" s="269"/>
      <c r="AO184" s="252"/>
      <c r="AP184" s="252"/>
      <c r="AQ184" s="252"/>
      <c r="AR184" s="252"/>
      <c r="AS184" s="252"/>
      <c r="AT184" s="252"/>
      <c r="AU184" s="252"/>
      <c r="AV184" s="252"/>
      <c r="AW184" s="252"/>
      <c r="AX184" s="252"/>
    </row>
    <row r="185" spans="1:50" s="4" customFormat="1">
      <c r="A185" s="252"/>
      <c r="B185" s="252"/>
      <c r="C185" s="252"/>
      <c r="D185" s="252"/>
      <c r="E185" s="252"/>
      <c r="F185" s="252"/>
      <c r="G185" s="252"/>
      <c r="H185" s="252"/>
      <c r="I185" s="252"/>
      <c r="J185" s="269"/>
      <c r="K185" s="269"/>
      <c r="L185" s="269"/>
      <c r="M185" s="269"/>
      <c r="N185" s="269"/>
      <c r="O185" s="269"/>
      <c r="P185" s="269"/>
      <c r="Q185" s="269"/>
      <c r="R185" s="269"/>
      <c r="S185" s="252"/>
      <c r="T185" s="252"/>
      <c r="U185" s="252"/>
      <c r="V185" s="269"/>
      <c r="W185" s="269"/>
      <c r="X185" s="269"/>
      <c r="Y185" s="269"/>
      <c r="Z185" s="269"/>
      <c r="AA185" s="269"/>
      <c r="AB185" s="269"/>
      <c r="AC185" s="269"/>
      <c r="AD185" s="269"/>
      <c r="AE185" s="269"/>
      <c r="AF185" s="269"/>
      <c r="AG185" s="269"/>
      <c r="AH185" s="269"/>
      <c r="AI185" s="269"/>
      <c r="AJ185" s="252"/>
      <c r="AK185" s="269"/>
      <c r="AL185" s="269"/>
      <c r="AM185" s="269"/>
      <c r="AN185" s="269"/>
      <c r="AO185" s="252"/>
      <c r="AP185" s="252"/>
      <c r="AQ185" s="252"/>
      <c r="AR185" s="252"/>
      <c r="AS185" s="252"/>
      <c r="AT185" s="252"/>
      <c r="AU185" s="252"/>
      <c r="AV185" s="252"/>
      <c r="AW185" s="252"/>
      <c r="AX185" s="252"/>
    </row>
    <row r="186" spans="1:50" s="4" customFormat="1">
      <c r="A186" s="252"/>
      <c r="B186" s="252"/>
      <c r="C186" s="252"/>
      <c r="D186" s="252"/>
      <c r="E186" s="252"/>
      <c r="F186" s="252"/>
      <c r="G186" s="252"/>
      <c r="H186" s="252"/>
      <c r="I186" s="252"/>
      <c r="J186" s="269"/>
      <c r="K186" s="269"/>
      <c r="L186" s="269"/>
      <c r="M186" s="269"/>
      <c r="N186" s="269"/>
      <c r="O186" s="269"/>
      <c r="P186" s="269"/>
      <c r="Q186" s="269"/>
      <c r="R186" s="269"/>
      <c r="S186" s="252"/>
      <c r="T186" s="252"/>
      <c r="U186" s="252"/>
      <c r="V186" s="269"/>
      <c r="W186" s="269"/>
      <c r="X186" s="269"/>
      <c r="Y186" s="269"/>
      <c r="Z186" s="269"/>
      <c r="AA186" s="269"/>
      <c r="AB186" s="269"/>
      <c r="AC186" s="269"/>
      <c r="AD186" s="269"/>
      <c r="AE186" s="269"/>
      <c r="AF186" s="269"/>
      <c r="AG186" s="269"/>
      <c r="AH186" s="269"/>
      <c r="AI186" s="269"/>
      <c r="AJ186" s="252"/>
      <c r="AK186" s="269"/>
      <c r="AL186" s="269"/>
      <c r="AM186" s="269"/>
      <c r="AN186" s="269"/>
      <c r="AO186" s="252"/>
      <c r="AP186" s="252"/>
      <c r="AQ186" s="252"/>
      <c r="AR186" s="252"/>
      <c r="AS186" s="252"/>
      <c r="AT186" s="252"/>
      <c r="AU186" s="252"/>
      <c r="AV186" s="252"/>
      <c r="AW186" s="252"/>
      <c r="AX186" s="252"/>
    </row>
    <row r="187" spans="1:50" s="4" customFormat="1">
      <c r="A187" s="252"/>
      <c r="B187" s="252"/>
      <c r="C187" s="252"/>
      <c r="D187" s="252"/>
      <c r="E187" s="252"/>
      <c r="F187" s="252"/>
      <c r="G187" s="252"/>
      <c r="H187" s="252"/>
      <c r="I187" s="252"/>
      <c r="J187" s="269"/>
      <c r="K187" s="269"/>
      <c r="L187" s="269"/>
      <c r="M187" s="269"/>
      <c r="N187" s="269"/>
      <c r="O187" s="269"/>
      <c r="P187" s="269"/>
      <c r="Q187" s="269"/>
      <c r="R187" s="269"/>
      <c r="S187" s="252"/>
      <c r="T187" s="252"/>
      <c r="U187" s="252"/>
      <c r="V187" s="269"/>
      <c r="W187" s="269"/>
      <c r="X187" s="269"/>
      <c r="Y187" s="269"/>
      <c r="Z187" s="269"/>
      <c r="AA187" s="269"/>
      <c r="AB187" s="269"/>
      <c r="AC187" s="269"/>
      <c r="AD187" s="269"/>
      <c r="AE187" s="269"/>
      <c r="AF187" s="269"/>
      <c r="AG187" s="269"/>
      <c r="AH187" s="269"/>
      <c r="AI187" s="269"/>
      <c r="AJ187" s="252"/>
      <c r="AK187" s="269"/>
      <c r="AL187" s="269"/>
      <c r="AM187" s="269"/>
      <c r="AN187" s="269"/>
      <c r="AO187" s="252"/>
      <c r="AP187" s="252"/>
      <c r="AQ187" s="252"/>
      <c r="AR187" s="252"/>
      <c r="AS187" s="252"/>
      <c r="AT187" s="252"/>
      <c r="AU187" s="252"/>
      <c r="AV187" s="252"/>
      <c r="AW187" s="252"/>
      <c r="AX187" s="252"/>
    </row>
    <row r="188" spans="1:50" s="4" customFormat="1">
      <c r="A188" s="252"/>
      <c r="B188" s="252"/>
      <c r="C188" s="252"/>
      <c r="D188" s="252"/>
      <c r="E188" s="252"/>
      <c r="F188" s="252"/>
      <c r="G188" s="252"/>
      <c r="H188" s="252"/>
      <c r="I188" s="252"/>
      <c r="J188" s="269"/>
      <c r="K188" s="269"/>
      <c r="L188" s="269"/>
      <c r="M188" s="269"/>
      <c r="N188" s="269"/>
      <c r="O188" s="269"/>
      <c r="P188" s="269"/>
      <c r="Q188" s="269"/>
      <c r="R188" s="269"/>
      <c r="S188" s="252"/>
      <c r="T188" s="252"/>
      <c r="U188" s="252"/>
      <c r="V188" s="269"/>
      <c r="W188" s="269"/>
      <c r="X188" s="269"/>
      <c r="Y188" s="269"/>
      <c r="Z188" s="269"/>
      <c r="AA188" s="269"/>
      <c r="AB188" s="269"/>
      <c r="AC188" s="269"/>
      <c r="AD188" s="269"/>
      <c r="AE188" s="269"/>
      <c r="AF188" s="269"/>
      <c r="AG188" s="269"/>
      <c r="AH188" s="269"/>
      <c r="AI188" s="269"/>
      <c r="AJ188" s="252"/>
      <c r="AK188" s="269"/>
      <c r="AL188" s="269"/>
      <c r="AM188" s="269"/>
      <c r="AN188" s="269"/>
      <c r="AO188" s="252"/>
      <c r="AP188" s="252"/>
      <c r="AQ188" s="252"/>
      <c r="AR188" s="252"/>
      <c r="AS188" s="252"/>
      <c r="AT188" s="252"/>
      <c r="AU188" s="252"/>
      <c r="AV188" s="252"/>
      <c r="AW188" s="252"/>
      <c r="AX188" s="252"/>
    </row>
    <row r="189" spans="1:50" s="4" customFormat="1">
      <c r="A189" s="252"/>
      <c r="B189" s="252"/>
      <c r="C189" s="252"/>
      <c r="D189" s="252"/>
      <c r="E189" s="252"/>
      <c r="F189" s="252"/>
      <c r="G189" s="252"/>
      <c r="H189" s="252"/>
      <c r="I189" s="252"/>
      <c r="J189" s="269"/>
      <c r="K189" s="269"/>
      <c r="L189" s="269"/>
      <c r="M189" s="269"/>
      <c r="N189" s="269"/>
      <c r="O189" s="269"/>
      <c r="P189" s="269"/>
      <c r="Q189" s="269"/>
      <c r="R189" s="269"/>
      <c r="S189" s="252"/>
      <c r="T189" s="252"/>
      <c r="U189" s="252"/>
      <c r="V189" s="269"/>
      <c r="W189" s="269"/>
      <c r="X189" s="269"/>
      <c r="Y189" s="269"/>
      <c r="Z189" s="269"/>
      <c r="AA189" s="269"/>
      <c r="AB189" s="269"/>
      <c r="AC189" s="269"/>
      <c r="AD189" s="269"/>
      <c r="AE189" s="269"/>
      <c r="AF189" s="269"/>
      <c r="AG189" s="269"/>
      <c r="AH189" s="269"/>
      <c r="AI189" s="269"/>
      <c r="AJ189" s="252"/>
      <c r="AK189" s="269"/>
      <c r="AL189" s="269"/>
      <c r="AM189" s="269"/>
      <c r="AN189" s="269"/>
      <c r="AO189" s="252"/>
      <c r="AP189" s="252"/>
      <c r="AQ189" s="252"/>
      <c r="AR189" s="252"/>
      <c r="AS189" s="252"/>
      <c r="AT189" s="252"/>
      <c r="AU189" s="252"/>
      <c r="AV189" s="252"/>
      <c r="AW189" s="252"/>
      <c r="AX189" s="252"/>
    </row>
    <row r="190" spans="1:50" s="4" customFormat="1">
      <c r="A190" s="252"/>
      <c r="B190" s="252"/>
      <c r="C190" s="252"/>
      <c r="D190" s="252"/>
      <c r="E190" s="252"/>
      <c r="F190" s="252"/>
      <c r="G190" s="252"/>
      <c r="H190" s="252"/>
      <c r="I190" s="252"/>
      <c r="J190" s="269"/>
      <c r="K190" s="269"/>
      <c r="L190" s="269"/>
      <c r="M190" s="269"/>
      <c r="N190" s="269"/>
      <c r="O190" s="269"/>
      <c r="P190" s="269"/>
      <c r="Q190" s="269"/>
      <c r="R190" s="269"/>
      <c r="S190" s="252"/>
      <c r="T190" s="252"/>
      <c r="U190" s="252"/>
      <c r="V190" s="269"/>
      <c r="W190" s="269"/>
      <c r="X190" s="269"/>
      <c r="Y190" s="269"/>
      <c r="Z190" s="269"/>
      <c r="AA190" s="269"/>
      <c r="AB190" s="269"/>
      <c r="AC190" s="269"/>
      <c r="AD190" s="269"/>
      <c r="AE190" s="269"/>
      <c r="AF190" s="269"/>
      <c r="AG190" s="269"/>
      <c r="AH190" s="269"/>
      <c r="AI190" s="269"/>
      <c r="AJ190" s="252"/>
      <c r="AK190" s="269"/>
      <c r="AL190" s="269"/>
      <c r="AM190" s="269"/>
      <c r="AN190" s="269"/>
      <c r="AO190" s="252"/>
      <c r="AP190" s="252"/>
      <c r="AQ190" s="252"/>
      <c r="AR190" s="252"/>
      <c r="AS190" s="252"/>
      <c r="AT190" s="252"/>
      <c r="AU190" s="252"/>
      <c r="AV190" s="252"/>
      <c r="AW190" s="252"/>
      <c r="AX190" s="252"/>
    </row>
    <row r="191" spans="1:50" s="4" customFormat="1">
      <c r="A191" s="252"/>
      <c r="B191" s="252"/>
      <c r="C191" s="252"/>
      <c r="D191" s="252"/>
      <c r="E191" s="252"/>
      <c r="F191" s="252"/>
      <c r="G191" s="252"/>
      <c r="H191" s="252"/>
      <c r="I191" s="252"/>
      <c r="J191" s="269"/>
      <c r="K191" s="269"/>
      <c r="L191" s="269"/>
      <c r="M191" s="269"/>
      <c r="N191" s="269"/>
      <c r="O191" s="269"/>
      <c r="P191" s="269"/>
      <c r="Q191" s="269"/>
      <c r="R191" s="269"/>
      <c r="S191" s="252"/>
      <c r="T191" s="252"/>
      <c r="U191" s="252"/>
      <c r="V191" s="269"/>
      <c r="W191" s="269"/>
      <c r="X191" s="269"/>
      <c r="Y191" s="269"/>
      <c r="Z191" s="269"/>
      <c r="AA191" s="269"/>
      <c r="AB191" s="269"/>
      <c r="AC191" s="269"/>
      <c r="AD191" s="269"/>
      <c r="AE191" s="269"/>
      <c r="AF191" s="269"/>
      <c r="AG191" s="269"/>
      <c r="AH191" s="269"/>
      <c r="AI191" s="269"/>
      <c r="AJ191" s="252"/>
      <c r="AK191" s="269"/>
      <c r="AL191" s="269"/>
      <c r="AM191" s="269"/>
      <c r="AN191" s="269"/>
      <c r="AO191" s="252"/>
      <c r="AP191" s="252"/>
      <c r="AQ191" s="252"/>
      <c r="AR191" s="252"/>
      <c r="AS191" s="252"/>
      <c r="AT191" s="252"/>
      <c r="AU191" s="252"/>
      <c r="AV191" s="252"/>
      <c r="AW191" s="252"/>
      <c r="AX191" s="252"/>
    </row>
    <row r="192" spans="1:50" s="4" customFormat="1">
      <c r="A192" s="252"/>
      <c r="B192" s="252"/>
      <c r="C192" s="252"/>
      <c r="D192" s="252"/>
      <c r="E192" s="252"/>
      <c r="F192" s="252"/>
      <c r="G192" s="252"/>
      <c r="H192" s="252"/>
      <c r="I192" s="252"/>
      <c r="J192" s="269"/>
      <c r="K192" s="269"/>
      <c r="L192" s="269"/>
      <c r="M192" s="269"/>
      <c r="N192" s="269"/>
      <c r="O192" s="269"/>
      <c r="P192" s="269"/>
      <c r="Q192" s="269"/>
      <c r="R192" s="269"/>
      <c r="S192" s="252"/>
      <c r="T192" s="252"/>
      <c r="U192" s="252"/>
      <c r="V192" s="269"/>
      <c r="W192" s="269"/>
      <c r="X192" s="269"/>
      <c r="Y192" s="269"/>
      <c r="Z192" s="269"/>
      <c r="AA192" s="269"/>
      <c r="AB192" s="269"/>
      <c r="AC192" s="269"/>
      <c r="AD192" s="269"/>
      <c r="AE192" s="269"/>
      <c r="AF192" s="269"/>
      <c r="AG192" s="269"/>
      <c r="AH192" s="269"/>
      <c r="AI192" s="269"/>
      <c r="AJ192" s="252"/>
      <c r="AK192" s="269"/>
      <c r="AL192" s="269"/>
      <c r="AM192" s="269"/>
      <c r="AN192" s="269"/>
      <c r="AO192" s="252"/>
      <c r="AP192" s="252"/>
      <c r="AQ192" s="252"/>
      <c r="AR192" s="252"/>
      <c r="AS192" s="252"/>
      <c r="AT192" s="252"/>
      <c r="AU192" s="252"/>
      <c r="AV192" s="252"/>
      <c r="AW192" s="252"/>
      <c r="AX192" s="252"/>
    </row>
    <row r="193" spans="1:50" s="4" customFormat="1">
      <c r="A193" s="252"/>
      <c r="B193" s="252"/>
      <c r="C193" s="252"/>
      <c r="D193" s="252"/>
      <c r="E193" s="252"/>
      <c r="F193" s="252"/>
      <c r="G193" s="252"/>
      <c r="H193" s="252"/>
      <c r="I193" s="252"/>
      <c r="J193" s="269"/>
      <c r="K193" s="269"/>
      <c r="L193" s="269"/>
      <c r="M193" s="269"/>
      <c r="N193" s="269"/>
      <c r="O193" s="269"/>
      <c r="P193" s="269"/>
      <c r="Q193" s="269"/>
      <c r="R193" s="269"/>
      <c r="S193" s="252"/>
      <c r="T193" s="252"/>
      <c r="U193" s="252"/>
      <c r="V193" s="269"/>
      <c r="W193" s="269"/>
      <c r="X193" s="269"/>
      <c r="Y193" s="269"/>
      <c r="Z193" s="269"/>
      <c r="AA193" s="269"/>
      <c r="AB193" s="269"/>
      <c r="AC193" s="269"/>
      <c r="AD193" s="269"/>
      <c r="AE193" s="269"/>
      <c r="AF193" s="269"/>
      <c r="AG193" s="269"/>
      <c r="AH193" s="269"/>
      <c r="AI193" s="269"/>
      <c r="AJ193" s="252"/>
      <c r="AK193" s="269"/>
      <c r="AL193" s="269"/>
      <c r="AM193" s="269"/>
      <c r="AN193" s="269"/>
      <c r="AO193" s="252"/>
      <c r="AP193" s="252"/>
      <c r="AQ193" s="252"/>
      <c r="AR193" s="252"/>
      <c r="AS193" s="252"/>
      <c r="AT193" s="252"/>
      <c r="AU193" s="252"/>
      <c r="AV193" s="252"/>
      <c r="AW193" s="252"/>
      <c r="AX193" s="252"/>
    </row>
    <row r="194" spans="1:50" s="4" customFormat="1">
      <c r="A194" s="252"/>
      <c r="B194" s="252"/>
      <c r="C194" s="252"/>
      <c r="D194" s="252"/>
      <c r="E194" s="252"/>
      <c r="F194" s="252"/>
      <c r="G194" s="252"/>
      <c r="H194" s="252"/>
      <c r="I194" s="252"/>
      <c r="J194" s="269"/>
      <c r="K194" s="269"/>
      <c r="L194" s="269"/>
      <c r="M194" s="269"/>
      <c r="N194" s="269"/>
      <c r="O194" s="269"/>
      <c r="P194" s="269"/>
      <c r="Q194" s="269"/>
      <c r="R194" s="269"/>
      <c r="S194" s="252"/>
      <c r="T194" s="252"/>
      <c r="U194" s="252"/>
      <c r="V194" s="269"/>
      <c r="W194" s="269"/>
      <c r="X194" s="269"/>
      <c r="Y194" s="269"/>
      <c r="Z194" s="269"/>
      <c r="AA194" s="269"/>
      <c r="AB194" s="269"/>
      <c r="AC194" s="269"/>
      <c r="AD194" s="269"/>
      <c r="AE194" s="269"/>
      <c r="AF194" s="269"/>
      <c r="AG194" s="269"/>
      <c r="AH194" s="269"/>
      <c r="AI194" s="269"/>
      <c r="AJ194" s="252"/>
      <c r="AK194" s="269"/>
      <c r="AL194" s="269"/>
      <c r="AM194" s="269"/>
      <c r="AN194" s="269"/>
      <c r="AO194" s="252"/>
      <c r="AP194" s="252"/>
      <c r="AQ194" s="252"/>
      <c r="AR194" s="252"/>
      <c r="AS194" s="252"/>
      <c r="AT194" s="252"/>
      <c r="AU194" s="252"/>
      <c r="AV194" s="252"/>
      <c r="AW194" s="252"/>
      <c r="AX194" s="252"/>
    </row>
    <row r="195" spans="1:50" s="4" customFormat="1">
      <c r="A195" s="252"/>
      <c r="B195" s="252"/>
      <c r="C195" s="252"/>
      <c r="D195" s="252"/>
      <c r="E195" s="252"/>
      <c r="F195" s="252"/>
      <c r="G195" s="252"/>
      <c r="H195" s="252"/>
      <c r="I195" s="252"/>
      <c r="J195" s="269"/>
      <c r="K195" s="269"/>
      <c r="L195" s="269"/>
      <c r="M195" s="269"/>
      <c r="N195" s="269"/>
      <c r="O195" s="269"/>
      <c r="P195" s="269"/>
      <c r="Q195" s="269"/>
      <c r="R195" s="269"/>
      <c r="S195" s="252"/>
      <c r="T195" s="252"/>
      <c r="U195" s="252"/>
      <c r="V195" s="269"/>
      <c r="W195" s="269"/>
      <c r="X195" s="269"/>
      <c r="Y195" s="269"/>
      <c r="Z195" s="269"/>
      <c r="AA195" s="269"/>
      <c r="AB195" s="269"/>
      <c r="AC195" s="269"/>
      <c r="AD195" s="269"/>
      <c r="AE195" s="269"/>
      <c r="AF195" s="269"/>
      <c r="AG195" s="269"/>
      <c r="AH195" s="269"/>
      <c r="AI195" s="269"/>
      <c r="AJ195" s="252"/>
      <c r="AK195" s="269"/>
      <c r="AL195" s="269"/>
      <c r="AM195" s="269"/>
      <c r="AN195" s="269"/>
      <c r="AO195" s="252"/>
      <c r="AP195" s="252"/>
      <c r="AQ195" s="252"/>
      <c r="AR195" s="252"/>
      <c r="AS195" s="252"/>
      <c r="AT195" s="252"/>
      <c r="AU195" s="252"/>
      <c r="AV195" s="252"/>
      <c r="AW195" s="252"/>
      <c r="AX195" s="252"/>
    </row>
    <row r="196" spans="1:50" s="4" customFormat="1">
      <c r="A196" s="252"/>
      <c r="B196" s="252"/>
      <c r="C196" s="252"/>
      <c r="D196" s="252"/>
      <c r="E196" s="252"/>
      <c r="F196" s="252"/>
      <c r="G196" s="252"/>
      <c r="H196" s="252"/>
      <c r="I196" s="252"/>
      <c r="J196" s="269"/>
      <c r="K196" s="269"/>
      <c r="L196" s="269"/>
      <c r="M196" s="269"/>
      <c r="N196" s="269"/>
      <c r="O196" s="269"/>
      <c r="P196" s="269"/>
      <c r="Q196" s="269"/>
      <c r="R196" s="269"/>
      <c r="S196" s="252"/>
      <c r="T196" s="252"/>
      <c r="U196" s="252"/>
      <c r="V196" s="269"/>
      <c r="W196" s="269"/>
      <c r="X196" s="269"/>
      <c r="Y196" s="269"/>
      <c r="Z196" s="269"/>
      <c r="AA196" s="269"/>
      <c r="AB196" s="269"/>
      <c r="AC196" s="269"/>
      <c r="AD196" s="269"/>
      <c r="AE196" s="269"/>
      <c r="AF196" s="269"/>
      <c r="AG196" s="269"/>
      <c r="AH196" s="269"/>
      <c r="AI196" s="269"/>
      <c r="AJ196" s="252"/>
      <c r="AK196" s="269"/>
      <c r="AL196" s="269"/>
      <c r="AM196" s="269"/>
      <c r="AN196" s="269"/>
      <c r="AO196" s="252"/>
      <c r="AP196" s="252"/>
      <c r="AQ196" s="252"/>
      <c r="AR196" s="252"/>
      <c r="AS196" s="252"/>
      <c r="AT196" s="252"/>
      <c r="AU196" s="252"/>
      <c r="AV196" s="252"/>
      <c r="AW196" s="252"/>
      <c r="AX196" s="252"/>
    </row>
    <row r="197" spans="1:50" s="4" customFormat="1">
      <c r="A197" s="252"/>
      <c r="B197" s="252"/>
      <c r="C197" s="252"/>
      <c r="D197" s="252"/>
      <c r="E197" s="252"/>
      <c r="F197" s="252"/>
      <c r="G197" s="252"/>
      <c r="H197" s="252"/>
      <c r="I197" s="252"/>
      <c r="J197" s="269"/>
      <c r="K197" s="269"/>
      <c r="L197" s="269"/>
      <c r="M197" s="269"/>
      <c r="N197" s="269"/>
      <c r="O197" s="269"/>
      <c r="P197" s="269"/>
      <c r="Q197" s="269"/>
      <c r="R197" s="269"/>
      <c r="S197" s="252"/>
      <c r="T197" s="252"/>
      <c r="U197" s="252"/>
      <c r="V197" s="269"/>
      <c r="W197" s="269"/>
      <c r="X197" s="269"/>
      <c r="Y197" s="269"/>
      <c r="Z197" s="269"/>
      <c r="AA197" s="269"/>
      <c r="AB197" s="269"/>
      <c r="AC197" s="269"/>
      <c r="AD197" s="269"/>
      <c r="AE197" s="269"/>
      <c r="AF197" s="269"/>
      <c r="AG197" s="269"/>
      <c r="AH197" s="269"/>
      <c r="AI197" s="269"/>
      <c r="AJ197" s="252"/>
      <c r="AK197" s="269"/>
      <c r="AL197" s="269"/>
      <c r="AM197" s="269"/>
      <c r="AN197" s="269"/>
      <c r="AO197" s="252"/>
      <c r="AP197" s="252"/>
      <c r="AQ197" s="252"/>
      <c r="AR197" s="252"/>
      <c r="AS197" s="252"/>
      <c r="AT197" s="252"/>
      <c r="AU197" s="252"/>
      <c r="AV197" s="252"/>
      <c r="AW197" s="252"/>
      <c r="AX197" s="252"/>
    </row>
    <row r="198" spans="1:50" s="4" customFormat="1">
      <c r="A198" s="252"/>
      <c r="B198" s="252"/>
      <c r="C198" s="252"/>
      <c r="D198" s="252"/>
      <c r="E198" s="252"/>
      <c r="F198" s="252"/>
      <c r="G198" s="252"/>
      <c r="H198" s="252"/>
      <c r="I198" s="252"/>
      <c r="J198" s="269"/>
      <c r="K198" s="269"/>
      <c r="L198" s="269"/>
      <c r="M198" s="269"/>
      <c r="N198" s="269"/>
      <c r="O198" s="269"/>
      <c r="P198" s="269"/>
      <c r="Q198" s="269"/>
      <c r="R198" s="269"/>
      <c r="S198" s="252"/>
      <c r="T198" s="252"/>
      <c r="U198" s="252"/>
      <c r="V198" s="269"/>
      <c r="W198" s="269"/>
      <c r="X198" s="269"/>
      <c r="Y198" s="269"/>
      <c r="Z198" s="269"/>
      <c r="AA198" s="269"/>
      <c r="AB198" s="269"/>
      <c r="AC198" s="269"/>
      <c r="AD198" s="269"/>
      <c r="AE198" s="269"/>
      <c r="AF198" s="269"/>
      <c r="AG198" s="269"/>
      <c r="AH198" s="269"/>
      <c r="AI198" s="269"/>
      <c r="AJ198" s="252"/>
      <c r="AK198" s="269"/>
      <c r="AL198" s="269"/>
      <c r="AM198" s="269"/>
      <c r="AN198" s="269"/>
      <c r="AO198" s="252"/>
      <c r="AP198" s="252"/>
      <c r="AQ198" s="252"/>
      <c r="AR198" s="252"/>
      <c r="AS198" s="252"/>
      <c r="AT198" s="252"/>
      <c r="AU198" s="252"/>
      <c r="AV198" s="252"/>
      <c r="AW198" s="252"/>
      <c r="AX198" s="252"/>
    </row>
    <row r="199" spans="1:50" s="4" customFormat="1">
      <c r="A199" s="252"/>
      <c r="B199" s="252"/>
      <c r="C199" s="252"/>
      <c r="D199" s="252"/>
      <c r="E199" s="252"/>
      <c r="F199" s="252"/>
      <c r="G199" s="252"/>
      <c r="H199" s="252"/>
      <c r="I199" s="252"/>
      <c r="J199" s="269"/>
      <c r="K199" s="269"/>
      <c r="L199" s="269"/>
      <c r="M199" s="269"/>
      <c r="N199" s="269"/>
      <c r="O199" s="269"/>
      <c r="P199" s="269"/>
      <c r="Q199" s="269"/>
      <c r="R199" s="269"/>
      <c r="S199" s="252"/>
      <c r="T199" s="252"/>
      <c r="U199" s="252"/>
      <c r="V199" s="269"/>
      <c r="W199" s="269"/>
      <c r="X199" s="269"/>
      <c r="Y199" s="269"/>
      <c r="Z199" s="269"/>
      <c r="AA199" s="269"/>
      <c r="AB199" s="269"/>
      <c r="AC199" s="269"/>
      <c r="AD199" s="269"/>
      <c r="AE199" s="269"/>
      <c r="AF199" s="269"/>
      <c r="AG199" s="269"/>
      <c r="AH199" s="269"/>
      <c r="AI199" s="269"/>
      <c r="AJ199" s="252"/>
      <c r="AK199" s="269"/>
      <c r="AL199" s="269"/>
      <c r="AM199" s="269"/>
      <c r="AN199" s="269"/>
      <c r="AO199" s="252"/>
      <c r="AP199" s="252"/>
      <c r="AQ199" s="252"/>
      <c r="AR199" s="252"/>
      <c r="AS199" s="252"/>
      <c r="AT199" s="252"/>
      <c r="AU199" s="252"/>
      <c r="AV199" s="252"/>
      <c r="AW199" s="252"/>
      <c r="AX199" s="252"/>
    </row>
    <row r="200" spans="1:50" s="4" customFormat="1">
      <c r="A200" s="252"/>
      <c r="B200" s="252"/>
      <c r="C200" s="252"/>
      <c r="D200" s="252"/>
      <c r="E200" s="252"/>
      <c r="F200" s="252"/>
      <c r="G200" s="252"/>
      <c r="H200" s="252"/>
      <c r="I200" s="252"/>
      <c r="J200" s="269"/>
      <c r="K200" s="269"/>
      <c r="L200" s="269"/>
      <c r="M200" s="269"/>
      <c r="N200" s="269"/>
      <c r="O200" s="269"/>
      <c r="P200" s="269"/>
      <c r="Q200" s="269"/>
      <c r="R200" s="269"/>
      <c r="S200" s="252"/>
      <c r="T200" s="252"/>
      <c r="U200" s="252"/>
      <c r="V200" s="269"/>
      <c r="W200" s="269"/>
      <c r="X200" s="269"/>
      <c r="Y200" s="269"/>
      <c r="Z200" s="269"/>
      <c r="AA200" s="269"/>
      <c r="AB200" s="269"/>
      <c r="AC200" s="269"/>
      <c r="AD200" s="269"/>
      <c r="AE200" s="269"/>
      <c r="AF200" s="269"/>
      <c r="AG200" s="269"/>
      <c r="AH200" s="269"/>
      <c r="AI200" s="269"/>
      <c r="AJ200" s="252"/>
      <c r="AK200" s="269"/>
      <c r="AL200" s="269"/>
      <c r="AM200" s="269"/>
      <c r="AN200" s="269"/>
      <c r="AO200" s="252"/>
      <c r="AP200" s="252"/>
      <c r="AQ200" s="252"/>
      <c r="AR200" s="252"/>
      <c r="AS200" s="252"/>
      <c r="AT200" s="252"/>
      <c r="AU200" s="252"/>
      <c r="AV200" s="252"/>
      <c r="AW200" s="252"/>
      <c r="AX200" s="252"/>
    </row>
    <row r="201" spans="1:50" s="4" customFormat="1">
      <c r="A201" s="252"/>
      <c r="B201" s="252"/>
      <c r="C201" s="252"/>
      <c r="D201" s="252"/>
      <c r="E201" s="252"/>
      <c r="F201" s="252"/>
      <c r="G201" s="252"/>
      <c r="H201" s="252"/>
      <c r="I201" s="252"/>
      <c r="J201" s="269"/>
      <c r="K201" s="269"/>
      <c r="L201" s="269"/>
      <c r="M201" s="269"/>
      <c r="N201" s="269"/>
      <c r="O201" s="269"/>
      <c r="P201" s="269"/>
      <c r="Q201" s="269"/>
      <c r="R201" s="269"/>
      <c r="S201" s="252"/>
      <c r="T201" s="252"/>
      <c r="U201" s="252"/>
      <c r="V201" s="269"/>
      <c r="W201" s="269"/>
      <c r="X201" s="269"/>
      <c r="Y201" s="269"/>
      <c r="Z201" s="269"/>
      <c r="AA201" s="269"/>
      <c r="AB201" s="269"/>
      <c r="AC201" s="269"/>
      <c r="AD201" s="269"/>
      <c r="AE201" s="269"/>
      <c r="AF201" s="269"/>
      <c r="AG201" s="269"/>
      <c r="AH201" s="269"/>
      <c r="AI201" s="269"/>
      <c r="AJ201" s="252"/>
      <c r="AK201" s="269"/>
      <c r="AL201" s="269"/>
      <c r="AM201" s="269"/>
      <c r="AN201" s="269"/>
      <c r="AO201" s="252"/>
      <c r="AP201" s="252"/>
      <c r="AQ201" s="252"/>
      <c r="AR201" s="252"/>
      <c r="AS201" s="252"/>
      <c r="AT201" s="252"/>
      <c r="AU201" s="252"/>
      <c r="AV201" s="252"/>
      <c r="AW201" s="252"/>
      <c r="AX201" s="252"/>
    </row>
    <row r="202" spans="1:50" s="4" customFormat="1">
      <c r="A202" s="252"/>
      <c r="B202" s="252"/>
      <c r="C202" s="252"/>
      <c r="D202" s="252"/>
      <c r="E202" s="252"/>
      <c r="F202" s="252"/>
      <c r="G202" s="252"/>
      <c r="H202" s="252"/>
      <c r="I202" s="252"/>
      <c r="J202" s="269"/>
      <c r="K202" s="269"/>
      <c r="L202" s="269"/>
      <c r="M202" s="269"/>
      <c r="N202" s="269"/>
      <c r="O202" s="269"/>
      <c r="P202" s="269"/>
      <c r="Q202" s="269"/>
      <c r="R202" s="269"/>
      <c r="S202" s="252"/>
      <c r="T202" s="252"/>
      <c r="U202" s="252"/>
      <c r="V202" s="269"/>
      <c r="W202" s="269"/>
      <c r="X202" s="269"/>
      <c r="Y202" s="269"/>
      <c r="Z202" s="269"/>
      <c r="AA202" s="269"/>
      <c r="AB202" s="269"/>
      <c r="AC202" s="269"/>
      <c r="AD202" s="269"/>
      <c r="AE202" s="269"/>
      <c r="AF202" s="269"/>
      <c r="AG202" s="269"/>
      <c r="AH202" s="269"/>
      <c r="AI202" s="269"/>
      <c r="AJ202" s="252"/>
      <c r="AK202" s="269"/>
      <c r="AL202" s="269"/>
      <c r="AM202" s="269"/>
      <c r="AN202" s="269"/>
      <c r="AO202" s="252"/>
      <c r="AP202" s="252"/>
      <c r="AQ202" s="252"/>
      <c r="AR202" s="252"/>
      <c r="AS202" s="252"/>
      <c r="AT202" s="252"/>
      <c r="AU202" s="252"/>
      <c r="AV202" s="252"/>
      <c r="AW202" s="252"/>
      <c r="AX202" s="252"/>
    </row>
    <row r="203" spans="1:50" s="4" customFormat="1">
      <c r="A203" s="252"/>
      <c r="B203" s="252"/>
      <c r="C203" s="252"/>
      <c r="D203" s="252"/>
      <c r="E203" s="252"/>
      <c r="F203" s="252"/>
      <c r="G203" s="252"/>
      <c r="H203" s="252"/>
      <c r="I203" s="252"/>
      <c r="J203" s="269"/>
      <c r="K203" s="269"/>
      <c r="L203" s="269"/>
      <c r="M203" s="269"/>
      <c r="N203" s="269"/>
      <c r="O203" s="269"/>
      <c r="P203" s="269"/>
      <c r="Q203" s="269"/>
      <c r="R203" s="269"/>
      <c r="S203" s="252"/>
      <c r="T203" s="252"/>
      <c r="U203" s="252"/>
      <c r="V203" s="269"/>
      <c r="W203" s="269"/>
      <c r="X203" s="269"/>
      <c r="Y203" s="269"/>
      <c r="Z203" s="269"/>
      <c r="AA203" s="269"/>
      <c r="AB203" s="269"/>
      <c r="AC203" s="269"/>
      <c r="AD203" s="269"/>
      <c r="AE203" s="269"/>
      <c r="AF203" s="269"/>
      <c r="AG203" s="269"/>
      <c r="AH203" s="269"/>
      <c r="AI203" s="269"/>
      <c r="AJ203" s="252"/>
      <c r="AK203" s="269"/>
      <c r="AL203" s="269"/>
      <c r="AM203" s="269"/>
      <c r="AN203" s="269"/>
      <c r="AO203" s="252"/>
      <c r="AP203" s="252"/>
      <c r="AQ203" s="252"/>
      <c r="AR203" s="252"/>
      <c r="AS203" s="252"/>
      <c r="AT203" s="252"/>
      <c r="AU203" s="252"/>
      <c r="AV203" s="252"/>
      <c r="AW203" s="252"/>
      <c r="AX203" s="252"/>
    </row>
    <row r="204" spans="1:50" s="4" customFormat="1">
      <c r="A204" s="252"/>
      <c r="B204" s="252"/>
      <c r="C204" s="252"/>
      <c r="D204" s="252"/>
      <c r="E204" s="252"/>
      <c r="F204" s="252"/>
      <c r="G204" s="252"/>
      <c r="H204" s="252"/>
      <c r="I204" s="252"/>
      <c r="J204" s="269"/>
      <c r="K204" s="269"/>
      <c r="L204" s="269"/>
      <c r="M204" s="269"/>
      <c r="N204" s="269"/>
      <c r="O204" s="269"/>
      <c r="P204" s="269"/>
      <c r="Q204" s="269"/>
      <c r="R204" s="269"/>
      <c r="S204" s="252"/>
      <c r="T204" s="252"/>
      <c r="U204" s="252"/>
      <c r="V204" s="269"/>
      <c r="W204" s="269"/>
      <c r="X204" s="269"/>
      <c r="Y204" s="269"/>
      <c r="Z204" s="269"/>
      <c r="AA204" s="269"/>
      <c r="AB204" s="269"/>
      <c r="AC204" s="269"/>
      <c r="AD204" s="269"/>
      <c r="AE204" s="269"/>
      <c r="AF204" s="269"/>
      <c r="AG204" s="269"/>
      <c r="AH204" s="269"/>
      <c r="AI204" s="269"/>
      <c r="AJ204" s="252"/>
      <c r="AK204" s="269"/>
      <c r="AL204" s="269"/>
      <c r="AM204" s="269"/>
      <c r="AN204" s="269"/>
      <c r="AO204" s="252"/>
      <c r="AP204" s="252"/>
      <c r="AQ204" s="252"/>
      <c r="AR204" s="252"/>
      <c r="AS204" s="252"/>
      <c r="AT204" s="252"/>
      <c r="AU204" s="252"/>
      <c r="AV204" s="252"/>
      <c r="AW204" s="252"/>
      <c r="AX204" s="252"/>
    </row>
    <row r="205" spans="1:50" s="4" customFormat="1">
      <c r="A205" s="252"/>
      <c r="B205" s="252"/>
      <c r="C205" s="252"/>
      <c r="D205" s="252"/>
      <c r="E205" s="252"/>
      <c r="F205" s="252"/>
      <c r="G205" s="252"/>
      <c r="H205" s="252"/>
      <c r="I205" s="252"/>
      <c r="J205" s="269"/>
      <c r="K205" s="269"/>
      <c r="L205" s="269"/>
      <c r="M205" s="269"/>
      <c r="N205" s="269"/>
      <c r="O205" s="269"/>
      <c r="P205" s="269"/>
      <c r="Q205" s="269"/>
      <c r="R205" s="269"/>
      <c r="S205" s="252"/>
      <c r="T205" s="252"/>
      <c r="U205" s="252"/>
      <c r="V205" s="269"/>
      <c r="W205" s="269"/>
      <c r="X205" s="269"/>
      <c r="Y205" s="269"/>
      <c r="Z205" s="269"/>
      <c r="AA205" s="269"/>
      <c r="AB205" s="269"/>
      <c r="AC205" s="269"/>
      <c r="AD205" s="269"/>
      <c r="AE205" s="269"/>
      <c r="AF205" s="269"/>
      <c r="AG205" s="269"/>
      <c r="AH205" s="269"/>
      <c r="AI205" s="269"/>
      <c r="AJ205" s="252"/>
      <c r="AK205" s="269"/>
      <c r="AL205" s="269"/>
      <c r="AM205" s="269"/>
      <c r="AN205" s="269"/>
      <c r="AO205" s="252"/>
      <c r="AP205" s="252"/>
      <c r="AQ205" s="252"/>
      <c r="AR205" s="252"/>
      <c r="AS205" s="252"/>
      <c r="AT205" s="252"/>
      <c r="AU205" s="252"/>
      <c r="AV205" s="252"/>
      <c r="AW205" s="252"/>
      <c r="AX205" s="252"/>
    </row>
    <row r="206" spans="1:50" s="4" customFormat="1">
      <c r="A206" s="252"/>
      <c r="B206" s="252"/>
      <c r="C206" s="252"/>
      <c r="D206" s="252"/>
      <c r="E206" s="252"/>
      <c r="F206" s="252"/>
      <c r="G206" s="252"/>
      <c r="H206" s="252"/>
      <c r="I206" s="252"/>
      <c r="J206" s="269"/>
      <c r="K206" s="269"/>
      <c r="L206" s="269"/>
      <c r="M206" s="269"/>
      <c r="N206" s="269"/>
      <c r="O206" s="269"/>
      <c r="P206" s="269"/>
      <c r="Q206" s="269"/>
      <c r="R206" s="269"/>
      <c r="S206" s="252"/>
      <c r="T206" s="252"/>
      <c r="U206" s="252"/>
      <c r="V206" s="269"/>
      <c r="W206" s="269"/>
      <c r="X206" s="269"/>
      <c r="Y206" s="269"/>
      <c r="Z206" s="269"/>
      <c r="AA206" s="269"/>
      <c r="AB206" s="269"/>
      <c r="AC206" s="269"/>
      <c r="AD206" s="269"/>
      <c r="AE206" s="269"/>
      <c r="AF206" s="269"/>
      <c r="AG206" s="269"/>
      <c r="AH206" s="269"/>
      <c r="AI206" s="269"/>
      <c r="AJ206" s="252"/>
      <c r="AK206" s="269"/>
      <c r="AL206" s="269"/>
      <c r="AM206" s="269"/>
      <c r="AN206" s="269"/>
      <c r="AO206" s="252"/>
      <c r="AP206" s="252"/>
      <c r="AQ206" s="252"/>
      <c r="AR206" s="252"/>
      <c r="AS206" s="252"/>
      <c r="AT206" s="252"/>
      <c r="AU206" s="252"/>
      <c r="AV206" s="252"/>
      <c r="AW206" s="252"/>
      <c r="AX206" s="252"/>
    </row>
    <row r="207" spans="1:50" s="4" customFormat="1">
      <c r="A207" s="252"/>
      <c r="B207" s="252"/>
      <c r="C207" s="252"/>
      <c r="D207" s="252"/>
      <c r="E207" s="252"/>
      <c r="F207" s="252"/>
      <c r="G207" s="252"/>
      <c r="H207" s="252"/>
      <c r="I207" s="252"/>
      <c r="J207" s="269"/>
      <c r="K207" s="269"/>
      <c r="L207" s="269"/>
      <c r="M207" s="269"/>
      <c r="N207" s="269"/>
      <c r="O207" s="269"/>
      <c r="P207" s="269"/>
      <c r="Q207" s="269"/>
      <c r="R207" s="269"/>
      <c r="S207" s="252"/>
      <c r="T207" s="252"/>
      <c r="U207" s="252"/>
      <c r="V207" s="269"/>
      <c r="W207" s="269"/>
      <c r="X207" s="269"/>
      <c r="Y207" s="269"/>
      <c r="Z207" s="269"/>
      <c r="AA207" s="269"/>
      <c r="AB207" s="269"/>
      <c r="AC207" s="269"/>
      <c r="AD207" s="269"/>
      <c r="AE207" s="269"/>
      <c r="AF207" s="269"/>
      <c r="AG207" s="269"/>
      <c r="AH207" s="269"/>
      <c r="AI207" s="269"/>
      <c r="AJ207" s="252"/>
      <c r="AK207" s="269"/>
      <c r="AL207" s="269"/>
      <c r="AM207" s="269"/>
      <c r="AN207" s="269"/>
      <c r="AO207" s="252"/>
      <c r="AP207" s="252"/>
      <c r="AQ207" s="252"/>
      <c r="AR207" s="252"/>
      <c r="AS207" s="252"/>
      <c r="AT207" s="252"/>
      <c r="AU207" s="252"/>
      <c r="AV207" s="252"/>
      <c r="AW207" s="252"/>
      <c r="AX207" s="252"/>
    </row>
    <row r="208" spans="1:50" s="4" customFormat="1">
      <c r="A208" s="252"/>
      <c r="B208" s="252"/>
      <c r="C208" s="252"/>
      <c r="D208" s="252"/>
      <c r="E208" s="252"/>
      <c r="F208" s="252"/>
      <c r="G208" s="252"/>
      <c r="H208" s="252"/>
      <c r="I208" s="252"/>
      <c r="J208" s="269"/>
      <c r="K208" s="269"/>
      <c r="L208" s="269"/>
      <c r="M208" s="269"/>
      <c r="N208" s="269"/>
      <c r="O208" s="269"/>
      <c r="P208" s="269"/>
      <c r="Q208" s="269"/>
      <c r="R208" s="269"/>
      <c r="S208" s="252"/>
      <c r="T208" s="252"/>
      <c r="U208" s="252"/>
      <c r="V208" s="269"/>
      <c r="W208" s="269"/>
      <c r="X208" s="269"/>
      <c r="Y208" s="269"/>
      <c r="Z208" s="269"/>
      <c r="AA208" s="269"/>
      <c r="AB208" s="269"/>
      <c r="AC208" s="269"/>
      <c r="AD208" s="269"/>
      <c r="AE208" s="269"/>
      <c r="AF208" s="269"/>
      <c r="AG208" s="269"/>
      <c r="AH208" s="269"/>
      <c r="AI208" s="269"/>
      <c r="AJ208" s="252"/>
      <c r="AK208" s="269"/>
      <c r="AL208" s="269"/>
      <c r="AM208" s="269"/>
      <c r="AN208" s="269"/>
      <c r="AO208" s="252"/>
      <c r="AP208" s="252"/>
      <c r="AQ208" s="252"/>
      <c r="AR208" s="252"/>
      <c r="AS208" s="252"/>
      <c r="AT208" s="252"/>
      <c r="AU208" s="252"/>
      <c r="AV208" s="252"/>
      <c r="AW208" s="252"/>
      <c r="AX208" s="252"/>
    </row>
    <row r="209" spans="1:50" s="4" customFormat="1">
      <c r="A209" s="252"/>
      <c r="B209" s="252"/>
      <c r="C209" s="252"/>
      <c r="D209" s="252"/>
      <c r="E209" s="252"/>
      <c r="F209" s="252"/>
      <c r="G209" s="252"/>
      <c r="H209" s="252"/>
      <c r="I209" s="252"/>
      <c r="J209" s="269"/>
      <c r="K209" s="269"/>
      <c r="L209" s="269"/>
      <c r="M209" s="269"/>
      <c r="N209" s="269"/>
      <c r="O209" s="269"/>
      <c r="P209" s="269"/>
      <c r="Q209" s="269"/>
      <c r="R209" s="269"/>
      <c r="S209" s="252"/>
      <c r="T209" s="252"/>
      <c r="U209" s="252"/>
      <c r="V209" s="269"/>
      <c r="W209" s="269"/>
      <c r="X209" s="269"/>
      <c r="Y209" s="269"/>
      <c r="Z209" s="269"/>
      <c r="AA209" s="269"/>
      <c r="AB209" s="269"/>
      <c r="AC209" s="269"/>
      <c r="AD209" s="269"/>
      <c r="AE209" s="269"/>
      <c r="AF209" s="269"/>
      <c r="AG209" s="269"/>
      <c r="AH209" s="269"/>
      <c r="AI209" s="269"/>
      <c r="AJ209" s="252"/>
      <c r="AK209" s="269"/>
      <c r="AL209" s="269"/>
      <c r="AM209" s="269"/>
      <c r="AN209" s="269"/>
      <c r="AO209" s="252"/>
      <c r="AP209" s="252"/>
      <c r="AQ209" s="252"/>
      <c r="AR209" s="252"/>
      <c r="AS209" s="252"/>
      <c r="AT209" s="252"/>
      <c r="AU209" s="252"/>
      <c r="AV209" s="252"/>
      <c r="AW209" s="252"/>
      <c r="AX209" s="252"/>
    </row>
    <row r="210" spans="1:50" s="4" customFormat="1">
      <c r="A210" s="252"/>
      <c r="B210" s="252"/>
      <c r="C210" s="252"/>
      <c r="D210" s="252"/>
      <c r="E210" s="252"/>
      <c r="F210" s="252"/>
      <c r="G210" s="252"/>
      <c r="H210" s="252"/>
      <c r="I210" s="252"/>
      <c r="J210" s="269"/>
      <c r="K210" s="269"/>
      <c r="L210" s="269"/>
      <c r="M210" s="269"/>
      <c r="N210" s="269"/>
      <c r="O210" s="269"/>
      <c r="P210" s="269"/>
      <c r="Q210" s="269"/>
      <c r="R210" s="269"/>
      <c r="S210" s="252"/>
      <c r="T210" s="252"/>
      <c r="U210" s="252"/>
      <c r="V210" s="269"/>
      <c r="W210" s="269"/>
      <c r="X210" s="269"/>
      <c r="Y210" s="269"/>
      <c r="Z210" s="269"/>
      <c r="AA210" s="269"/>
      <c r="AB210" s="269"/>
      <c r="AC210" s="269"/>
      <c r="AD210" s="269"/>
      <c r="AE210" s="269"/>
      <c r="AF210" s="269"/>
      <c r="AG210" s="269"/>
      <c r="AH210" s="269"/>
      <c r="AI210" s="269"/>
      <c r="AJ210" s="252"/>
      <c r="AK210" s="269"/>
      <c r="AL210" s="269"/>
      <c r="AM210" s="269"/>
      <c r="AN210" s="269"/>
      <c r="AO210" s="252"/>
      <c r="AP210" s="252"/>
      <c r="AQ210" s="252"/>
      <c r="AR210" s="252"/>
      <c r="AS210" s="252"/>
      <c r="AT210" s="252"/>
      <c r="AU210" s="252"/>
      <c r="AV210" s="252"/>
      <c r="AW210" s="252"/>
      <c r="AX210" s="252"/>
    </row>
    <row r="211" spans="1:50" s="4" customFormat="1">
      <c r="A211" s="252"/>
      <c r="B211" s="252"/>
      <c r="C211" s="252"/>
      <c r="D211" s="252"/>
      <c r="E211" s="252"/>
      <c r="F211" s="252"/>
      <c r="G211" s="252"/>
      <c r="H211" s="252"/>
      <c r="I211" s="252"/>
      <c r="J211" s="269"/>
      <c r="K211" s="269"/>
      <c r="L211" s="269"/>
      <c r="M211" s="269"/>
      <c r="N211" s="269"/>
      <c r="O211" s="269"/>
      <c r="P211" s="269"/>
      <c r="Q211" s="269"/>
      <c r="R211" s="269"/>
      <c r="S211" s="252"/>
      <c r="T211" s="252"/>
      <c r="U211" s="252"/>
      <c r="V211" s="269"/>
      <c r="W211" s="269"/>
      <c r="X211" s="269"/>
      <c r="Y211" s="269"/>
      <c r="Z211" s="269"/>
      <c r="AA211" s="269"/>
      <c r="AB211" s="269"/>
      <c r="AC211" s="269"/>
      <c r="AD211" s="269"/>
      <c r="AE211" s="269"/>
      <c r="AF211" s="269"/>
      <c r="AG211" s="269"/>
      <c r="AH211" s="269"/>
      <c r="AI211" s="269"/>
      <c r="AJ211" s="252"/>
      <c r="AK211" s="269"/>
      <c r="AL211" s="269"/>
      <c r="AM211" s="269"/>
      <c r="AN211" s="269"/>
      <c r="AO211" s="252"/>
      <c r="AP211" s="252"/>
      <c r="AQ211" s="252"/>
      <c r="AR211" s="252"/>
      <c r="AS211" s="252"/>
      <c r="AT211" s="252"/>
      <c r="AU211" s="252"/>
      <c r="AV211" s="252"/>
      <c r="AW211" s="252"/>
      <c r="AX211" s="252"/>
    </row>
    <row r="212" spans="1:50" s="4" customFormat="1">
      <c r="A212" s="252"/>
      <c r="B212" s="252"/>
      <c r="C212" s="252"/>
      <c r="D212" s="252"/>
      <c r="E212" s="252"/>
      <c r="F212" s="252"/>
      <c r="G212" s="252"/>
      <c r="H212" s="252"/>
      <c r="I212" s="252"/>
      <c r="J212" s="269"/>
      <c r="K212" s="269"/>
      <c r="L212" s="269"/>
      <c r="M212" s="269"/>
      <c r="N212" s="269"/>
      <c r="O212" s="269"/>
      <c r="P212" s="269"/>
      <c r="Q212" s="269"/>
      <c r="R212" s="269"/>
      <c r="S212" s="252"/>
      <c r="T212" s="252"/>
      <c r="U212" s="252"/>
      <c r="V212" s="269"/>
      <c r="W212" s="269"/>
      <c r="X212" s="269"/>
      <c r="Y212" s="269"/>
      <c r="Z212" s="269"/>
      <c r="AA212" s="269"/>
      <c r="AB212" s="269"/>
      <c r="AC212" s="269"/>
      <c r="AD212" s="269"/>
      <c r="AE212" s="269"/>
      <c r="AF212" s="269"/>
      <c r="AG212" s="269"/>
      <c r="AH212" s="269"/>
      <c r="AI212" s="269"/>
      <c r="AJ212" s="252"/>
      <c r="AK212" s="269"/>
      <c r="AL212" s="269"/>
      <c r="AM212" s="269"/>
      <c r="AN212" s="269"/>
      <c r="AO212" s="252"/>
      <c r="AP212" s="252"/>
      <c r="AQ212" s="252"/>
      <c r="AR212" s="252"/>
      <c r="AS212" s="252"/>
      <c r="AT212" s="252"/>
      <c r="AU212" s="252"/>
      <c r="AV212" s="252"/>
      <c r="AW212" s="252"/>
      <c r="AX212" s="252"/>
    </row>
    <row r="213" spans="1:50" s="4" customFormat="1">
      <c r="A213" s="252"/>
      <c r="B213" s="252"/>
      <c r="C213" s="252"/>
      <c r="D213" s="252"/>
      <c r="E213" s="252"/>
      <c r="F213" s="252"/>
      <c r="G213" s="252"/>
      <c r="H213" s="252"/>
      <c r="I213" s="252"/>
      <c r="J213" s="269"/>
      <c r="K213" s="269"/>
      <c r="L213" s="269"/>
      <c r="M213" s="269"/>
      <c r="N213" s="269"/>
      <c r="O213" s="269"/>
      <c r="P213" s="269"/>
      <c r="Q213" s="269"/>
      <c r="R213" s="269"/>
      <c r="S213" s="252"/>
      <c r="T213" s="252"/>
      <c r="U213" s="252"/>
      <c r="V213" s="269"/>
      <c r="W213" s="269"/>
      <c r="X213" s="269"/>
      <c r="Y213" s="269"/>
      <c r="Z213" s="269"/>
      <c r="AA213" s="269"/>
      <c r="AB213" s="269"/>
      <c r="AC213" s="269"/>
      <c r="AD213" s="269"/>
      <c r="AE213" s="269"/>
      <c r="AF213" s="269"/>
      <c r="AG213" s="269"/>
      <c r="AH213" s="269"/>
      <c r="AI213" s="269"/>
      <c r="AJ213" s="252"/>
      <c r="AK213" s="269"/>
      <c r="AL213" s="269"/>
      <c r="AM213" s="269"/>
      <c r="AN213" s="269"/>
      <c r="AO213" s="252"/>
      <c r="AP213" s="252"/>
      <c r="AQ213" s="252"/>
      <c r="AR213" s="252"/>
      <c r="AS213" s="252"/>
      <c r="AT213" s="252"/>
      <c r="AU213" s="252"/>
      <c r="AV213" s="252"/>
      <c r="AW213" s="252"/>
      <c r="AX213" s="252"/>
    </row>
    <row r="214" spans="1:50" s="4" customFormat="1">
      <c r="A214" s="252"/>
      <c r="B214" s="252"/>
      <c r="C214" s="252"/>
      <c r="D214" s="252"/>
      <c r="E214" s="252"/>
      <c r="F214" s="252"/>
      <c r="G214" s="252"/>
      <c r="H214" s="252"/>
      <c r="I214" s="252"/>
      <c r="J214" s="269"/>
      <c r="K214" s="269"/>
      <c r="L214" s="269"/>
      <c r="M214" s="269"/>
      <c r="N214" s="269"/>
      <c r="O214" s="269"/>
      <c r="P214" s="269"/>
      <c r="Q214" s="269"/>
      <c r="R214" s="269"/>
      <c r="S214" s="252"/>
      <c r="T214" s="252"/>
      <c r="U214" s="252"/>
      <c r="V214" s="269"/>
      <c r="W214" s="269"/>
      <c r="X214" s="269"/>
      <c r="Y214" s="269"/>
      <c r="Z214" s="269"/>
      <c r="AA214" s="269"/>
      <c r="AB214" s="269"/>
      <c r="AC214" s="269"/>
      <c r="AD214" s="269"/>
      <c r="AE214" s="269"/>
      <c r="AF214" s="269"/>
      <c r="AG214" s="269"/>
      <c r="AH214" s="269"/>
      <c r="AI214" s="269"/>
      <c r="AJ214" s="252"/>
      <c r="AK214" s="269"/>
      <c r="AL214" s="269"/>
      <c r="AM214" s="269"/>
      <c r="AN214" s="269"/>
      <c r="AO214" s="252"/>
      <c r="AP214" s="252"/>
      <c r="AQ214" s="252"/>
      <c r="AR214" s="252"/>
      <c r="AS214" s="252"/>
      <c r="AT214" s="252"/>
      <c r="AU214" s="252"/>
      <c r="AV214" s="252"/>
      <c r="AW214" s="252"/>
      <c r="AX214" s="252"/>
    </row>
    <row r="215" spans="1:50" s="4" customFormat="1">
      <c r="A215" s="252"/>
      <c r="B215" s="252"/>
      <c r="C215" s="252"/>
      <c r="D215" s="252"/>
      <c r="E215" s="252"/>
      <c r="F215" s="252"/>
      <c r="G215" s="252"/>
      <c r="H215" s="252"/>
      <c r="I215" s="252"/>
      <c r="J215" s="269"/>
      <c r="K215" s="269"/>
      <c r="L215" s="269"/>
      <c r="M215" s="269"/>
      <c r="N215" s="269"/>
      <c r="O215" s="269"/>
      <c r="P215" s="269"/>
      <c r="Q215" s="269"/>
      <c r="R215" s="269"/>
      <c r="S215" s="252"/>
      <c r="T215" s="252"/>
      <c r="U215" s="252"/>
      <c r="V215" s="269"/>
      <c r="W215" s="269"/>
      <c r="X215" s="269"/>
      <c r="Y215" s="269"/>
      <c r="Z215" s="269"/>
      <c r="AA215" s="269"/>
      <c r="AB215" s="269"/>
      <c r="AC215" s="269"/>
      <c r="AD215" s="269"/>
      <c r="AE215" s="269"/>
      <c r="AF215" s="269"/>
      <c r="AG215" s="269"/>
      <c r="AH215" s="269"/>
      <c r="AI215" s="269"/>
      <c r="AJ215" s="252"/>
      <c r="AK215" s="269"/>
      <c r="AL215" s="269"/>
      <c r="AM215" s="269"/>
      <c r="AN215" s="269"/>
      <c r="AO215" s="252"/>
      <c r="AP215" s="252"/>
      <c r="AQ215" s="252"/>
      <c r="AR215" s="252"/>
      <c r="AS215" s="252"/>
      <c r="AT215" s="252"/>
      <c r="AU215" s="252"/>
      <c r="AV215" s="252"/>
      <c r="AW215" s="252"/>
      <c r="AX215" s="252"/>
    </row>
    <row r="216" spans="1:50" s="4" customFormat="1">
      <c r="A216" s="252"/>
      <c r="B216" s="252"/>
      <c r="C216" s="252"/>
      <c r="D216" s="252"/>
      <c r="E216" s="252"/>
      <c r="F216" s="252"/>
      <c r="G216" s="252"/>
      <c r="H216" s="252"/>
      <c r="I216" s="252"/>
      <c r="J216" s="269"/>
      <c r="K216" s="269"/>
      <c r="L216" s="269"/>
      <c r="M216" s="269"/>
      <c r="N216" s="269"/>
      <c r="O216" s="269"/>
      <c r="P216" s="269"/>
      <c r="Q216" s="269"/>
      <c r="R216" s="269"/>
      <c r="S216" s="252"/>
      <c r="T216" s="252"/>
      <c r="U216" s="252"/>
      <c r="V216" s="269"/>
      <c r="W216" s="269"/>
      <c r="X216" s="269"/>
      <c r="Y216" s="269"/>
      <c r="Z216" s="269"/>
      <c r="AA216" s="269"/>
      <c r="AB216" s="269"/>
      <c r="AC216" s="269"/>
      <c r="AD216" s="269"/>
      <c r="AE216" s="269"/>
      <c r="AF216" s="269"/>
      <c r="AG216" s="269"/>
      <c r="AH216" s="269"/>
      <c r="AI216" s="269"/>
      <c r="AJ216" s="252"/>
      <c r="AK216" s="269"/>
      <c r="AL216" s="269"/>
      <c r="AM216" s="269"/>
      <c r="AN216" s="269"/>
      <c r="AO216" s="252"/>
      <c r="AP216" s="252"/>
      <c r="AQ216" s="252"/>
      <c r="AR216" s="252"/>
      <c r="AS216" s="252"/>
      <c r="AT216" s="252"/>
      <c r="AU216" s="252"/>
      <c r="AV216" s="252"/>
      <c r="AW216" s="252"/>
      <c r="AX216" s="252"/>
    </row>
    <row r="217" spans="1:50" s="4" customFormat="1">
      <c r="A217" s="252"/>
      <c r="B217" s="252"/>
      <c r="C217" s="252"/>
      <c r="D217" s="252"/>
      <c r="E217" s="252"/>
      <c r="F217" s="252"/>
      <c r="G217" s="252"/>
      <c r="H217" s="252"/>
      <c r="I217" s="252"/>
      <c r="J217" s="269"/>
      <c r="K217" s="269"/>
      <c r="L217" s="269"/>
      <c r="M217" s="269"/>
      <c r="N217" s="269"/>
      <c r="O217" s="269"/>
      <c r="P217" s="269"/>
      <c r="Q217" s="269"/>
      <c r="R217" s="269"/>
      <c r="S217" s="252"/>
      <c r="T217" s="252"/>
      <c r="U217" s="252"/>
      <c r="V217" s="269"/>
      <c r="W217" s="269"/>
      <c r="X217" s="269"/>
      <c r="Y217" s="269"/>
      <c r="Z217" s="269"/>
      <c r="AA217" s="269"/>
      <c r="AB217" s="269"/>
      <c r="AC217" s="269"/>
      <c r="AD217" s="269"/>
      <c r="AE217" s="269"/>
      <c r="AF217" s="269"/>
      <c r="AG217" s="269"/>
      <c r="AH217" s="269"/>
      <c r="AI217" s="269"/>
      <c r="AJ217" s="252"/>
      <c r="AK217" s="269"/>
      <c r="AL217" s="269"/>
      <c r="AM217" s="269"/>
      <c r="AN217" s="269"/>
      <c r="AO217" s="252"/>
      <c r="AP217" s="252"/>
      <c r="AQ217" s="252"/>
      <c r="AR217" s="252"/>
      <c r="AS217" s="252"/>
      <c r="AT217" s="252"/>
      <c r="AU217" s="252"/>
      <c r="AV217" s="252"/>
      <c r="AW217" s="252"/>
      <c r="AX217" s="252"/>
    </row>
    <row r="218" spans="1:50" s="4" customFormat="1">
      <c r="A218" s="252"/>
      <c r="B218" s="252"/>
      <c r="C218" s="252"/>
      <c r="D218" s="252"/>
      <c r="E218" s="252"/>
      <c r="F218" s="252"/>
      <c r="G218" s="252"/>
      <c r="H218" s="252"/>
      <c r="I218" s="252"/>
      <c r="J218" s="269"/>
      <c r="K218" s="269"/>
      <c r="L218" s="269"/>
      <c r="M218" s="269"/>
      <c r="N218" s="269"/>
      <c r="O218" s="269"/>
      <c r="P218" s="269"/>
      <c r="Q218" s="269"/>
      <c r="R218" s="269"/>
      <c r="S218" s="252"/>
      <c r="T218" s="252"/>
      <c r="U218" s="252"/>
      <c r="V218" s="269"/>
      <c r="W218" s="269"/>
      <c r="X218" s="269"/>
      <c r="Y218" s="269"/>
      <c r="Z218" s="269"/>
      <c r="AA218" s="269"/>
      <c r="AB218" s="269"/>
      <c r="AC218" s="269"/>
      <c r="AD218" s="269"/>
      <c r="AE218" s="269"/>
      <c r="AF218" s="269"/>
      <c r="AG218" s="269"/>
      <c r="AH218" s="269"/>
      <c r="AI218" s="269"/>
      <c r="AJ218" s="252"/>
      <c r="AK218" s="269"/>
      <c r="AL218" s="269"/>
      <c r="AM218" s="269"/>
      <c r="AN218" s="269"/>
      <c r="AO218" s="252"/>
      <c r="AP218" s="252"/>
      <c r="AQ218" s="252"/>
      <c r="AR218" s="252"/>
      <c r="AS218" s="252"/>
      <c r="AT218" s="252"/>
      <c r="AU218" s="252"/>
      <c r="AV218" s="252"/>
      <c r="AW218" s="252"/>
      <c r="AX218" s="252"/>
    </row>
    <row r="219" spans="1:50" s="4" customFormat="1">
      <c r="A219" s="252"/>
      <c r="B219" s="252"/>
      <c r="C219" s="252"/>
      <c r="D219" s="252"/>
      <c r="E219" s="252"/>
      <c r="F219" s="252"/>
      <c r="G219" s="252"/>
      <c r="H219" s="252"/>
      <c r="I219" s="252"/>
      <c r="J219" s="269"/>
      <c r="K219" s="269"/>
      <c r="L219" s="269"/>
      <c r="M219" s="269"/>
      <c r="N219" s="269"/>
      <c r="O219" s="269"/>
      <c r="P219" s="269"/>
      <c r="Q219" s="269"/>
      <c r="R219" s="269"/>
      <c r="S219" s="252"/>
      <c r="T219" s="252"/>
      <c r="U219" s="252"/>
      <c r="V219" s="269"/>
      <c r="W219" s="269"/>
      <c r="X219" s="269"/>
      <c r="Y219" s="269"/>
      <c r="Z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52"/>
      <c r="AK219" s="269"/>
      <c r="AL219" s="269"/>
      <c r="AM219" s="269"/>
      <c r="AN219" s="269"/>
      <c r="AO219" s="252"/>
      <c r="AP219" s="252"/>
      <c r="AQ219" s="252"/>
      <c r="AR219" s="252"/>
      <c r="AS219" s="252"/>
      <c r="AT219" s="252"/>
      <c r="AU219" s="252"/>
      <c r="AV219" s="252"/>
      <c r="AW219" s="252"/>
      <c r="AX219" s="252"/>
    </row>
    <row r="220" spans="1:50" s="4" customFormat="1">
      <c r="A220" s="252"/>
      <c r="B220" s="252"/>
      <c r="C220" s="252"/>
      <c r="D220" s="252"/>
      <c r="E220" s="252"/>
      <c r="F220" s="252"/>
      <c r="G220" s="252"/>
      <c r="H220" s="252"/>
      <c r="I220" s="252"/>
      <c r="J220" s="269"/>
      <c r="K220" s="269"/>
      <c r="L220" s="269"/>
      <c r="M220" s="269"/>
      <c r="N220" s="269"/>
      <c r="O220" s="269"/>
      <c r="P220" s="269"/>
      <c r="Q220" s="269"/>
      <c r="R220" s="269"/>
      <c r="S220" s="252"/>
      <c r="T220" s="252"/>
      <c r="U220" s="252"/>
      <c r="V220" s="269"/>
      <c r="W220" s="269"/>
      <c r="X220" s="269"/>
      <c r="Y220" s="269"/>
      <c r="Z220" s="269"/>
      <c r="AA220" s="269"/>
      <c r="AB220" s="269"/>
      <c r="AC220" s="269"/>
      <c r="AD220" s="269"/>
      <c r="AE220" s="269"/>
      <c r="AF220" s="269"/>
      <c r="AG220" s="269"/>
      <c r="AH220" s="269"/>
      <c r="AI220" s="269"/>
      <c r="AJ220" s="252"/>
      <c r="AK220" s="269"/>
      <c r="AL220" s="269"/>
      <c r="AM220" s="269"/>
      <c r="AN220" s="269"/>
      <c r="AO220" s="252"/>
      <c r="AP220" s="252"/>
      <c r="AQ220" s="252"/>
      <c r="AR220" s="252"/>
      <c r="AS220" s="252"/>
      <c r="AT220" s="252"/>
      <c r="AU220" s="252"/>
      <c r="AV220" s="252"/>
      <c r="AW220" s="252"/>
      <c r="AX220" s="252"/>
    </row>
    <row r="221" spans="1:50" s="4" customFormat="1">
      <c r="A221" s="252"/>
      <c r="B221" s="252"/>
      <c r="C221" s="252"/>
      <c r="D221" s="252"/>
      <c r="E221" s="252"/>
      <c r="F221" s="252"/>
      <c r="G221" s="252"/>
      <c r="H221" s="252"/>
      <c r="I221" s="252"/>
      <c r="J221" s="269"/>
      <c r="K221" s="269"/>
      <c r="L221" s="269"/>
      <c r="M221" s="269"/>
      <c r="N221" s="269"/>
      <c r="O221" s="269"/>
      <c r="P221" s="269"/>
      <c r="Q221" s="269"/>
      <c r="R221" s="269"/>
      <c r="S221" s="252"/>
      <c r="T221" s="252"/>
      <c r="U221" s="252"/>
      <c r="V221" s="269"/>
      <c r="W221" s="269"/>
      <c r="X221" s="269"/>
      <c r="Y221" s="269"/>
      <c r="Z221" s="269"/>
      <c r="AA221" s="269"/>
      <c r="AB221" s="269"/>
      <c r="AC221" s="269"/>
      <c r="AD221" s="269"/>
      <c r="AE221" s="269"/>
      <c r="AF221" s="269"/>
      <c r="AG221" s="269"/>
      <c r="AH221" s="269"/>
      <c r="AI221" s="269"/>
      <c r="AJ221" s="252"/>
      <c r="AK221" s="269"/>
      <c r="AL221" s="269"/>
      <c r="AM221" s="269"/>
      <c r="AN221" s="269"/>
      <c r="AO221" s="252"/>
      <c r="AP221" s="252"/>
      <c r="AQ221" s="252"/>
      <c r="AR221" s="252"/>
      <c r="AS221" s="252"/>
      <c r="AT221" s="252"/>
      <c r="AU221" s="252"/>
      <c r="AV221" s="252"/>
      <c r="AW221" s="252"/>
      <c r="AX221" s="252"/>
    </row>
    <row r="222" spans="1:50" s="4" customFormat="1">
      <c r="A222" s="252"/>
      <c r="B222" s="252"/>
      <c r="C222" s="252"/>
      <c r="D222" s="252"/>
      <c r="E222" s="252"/>
      <c r="F222" s="252"/>
      <c r="G222" s="252"/>
      <c r="H222" s="252"/>
      <c r="I222" s="252"/>
      <c r="J222" s="269"/>
      <c r="K222" s="269"/>
      <c r="L222" s="269"/>
      <c r="M222" s="269"/>
      <c r="N222" s="269"/>
      <c r="O222" s="269"/>
      <c r="P222" s="269"/>
      <c r="Q222" s="269"/>
      <c r="R222" s="269"/>
      <c r="S222" s="252"/>
      <c r="T222" s="252"/>
      <c r="U222" s="252"/>
      <c r="V222" s="269"/>
      <c r="W222" s="269"/>
      <c r="X222" s="269"/>
      <c r="Y222" s="269"/>
      <c r="Z222" s="269"/>
      <c r="AA222" s="269"/>
      <c r="AB222" s="269"/>
      <c r="AC222" s="269"/>
      <c r="AD222" s="269"/>
      <c r="AE222" s="269"/>
      <c r="AF222" s="269"/>
      <c r="AG222" s="269"/>
      <c r="AH222" s="269"/>
      <c r="AI222" s="269"/>
      <c r="AJ222" s="252"/>
      <c r="AK222" s="269"/>
      <c r="AL222" s="269"/>
      <c r="AM222" s="269"/>
      <c r="AN222" s="269"/>
      <c r="AO222" s="252"/>
      <c r="AP222" s="252"/>
      <c r="AQ222" s="252"/>
      <c r="AR222" s="252"/>
      <c r="AS222" s="252"/>
      <c r="AT222" s="252"/>
      <c r="AU222" s="252"/>
      <c r="AV222" s="252"/>
      <c r="AW222" s="252"/>
      <c r="AX222" s="252"/>
    </row>
    <row r="223" spans="1:50" s="4" customFormat="1">
      <c r="A223" s="252"/>
      <c r="B223" s="252"/>
      <c r="C223" s="252"/>
      <c r="D223" s="252"/>
      <c r="E223" s="252"/>
      <c r="F223" s="252"/>
      <c r="G223" s="252"/>
      <c r="H223" s="252"/>
      <c r="I223" s="252"/>
      <c r="J223" s="269"/>
      <c r="K223" s="269"/>
      <c r="L223" s="269"/>
      <c r="M223" s="269"/>
      <c r="N223" s="269"/>
      <c r="O223" s="269"/>
      <c r="P223" s="269"/>
      <c r="Q223" s="269"/>
      <c r="R223" s="269"/>
      <c r="S223" s="252"/>
      <c r="T223" s="252"/>
      <c r="U223" s="252"/>
      <c r="V223" s="269"/>
      <c r="W223" s="269"/>
      <c r="X223" s="269"/>
      <c r="Y223" s="269"/>
      <c r="Z223" s="269"/>
      <c r="AA223" s="269"/>
      <c r="AB223" s="269"/>
      <c r="AC223" s="269"/>
      <c r="AD223" s="269"/>
      <c r="AE223" s="269"/>
      <c r="AF223" s="269"/>
      <c r="AG223" s="269"/>
      <c r="AH223" s="269"/>
      <c r="AI223" s="269"/>
      <c r="AJ223" s="252"/>
      <c r="AK223" s="269"/>
      <c r="AL223" s="269"/>
      <c r="AM223" s="269"/>
      <c r="AN223" s="269"/>
      <c r="AO223" s="252"/>
      <c r="AP223" s="252"/>
      <c r="AQ223" s="252"/>
      <c r="AR223" s="252"/>
      <c r="AS223" s="252"/>
      <c r="AT223" s="252"/>
      <c r="AU223" s="252"/>
      <c r="AV223" s="252"/>
      <c r="AW223" s="252"/>
      <c r="AX223" s="252"/>
    </row>
    <row r="224" spans="1:50" s="4" customFormat="1">
      <c r="A224" s="252"/>
      <c r="B224" s="252"/>
      <c r="C224" s="252"/>
      <c r="D224" s="252"/>
      <c r="E224" s="252"/>
      <c r="F224" s="252"/>
      <c r="G224" s="252"/>
      <c r="H224" s="252"/>
      <c r="I224" s="252"/>
      <c r="J224" s="269"/>
      <c r="K224" s="269"/>
      <c r="L224" s="269"/>
      <c r="M224" s="269"/>
      <c r="N224" s="269"/>
      <c r="O224" s="269"/>
      <c r="P224" s="269"/>
      <c r="Q224" s="269"/>
      <c r="R224" s="269"/>
      <c r="S224" s="252"/>
      <c r="T224" s="252"/>
      <c r="U224" s="252"/>
      <c r="V224" s="269"/>
      <c r="W224" s="269"/>
      <c r="X224" s="269"/>
      <c r="Y224" s="269"/>
      <c r="Z224" s="269"/>
      <c r="AA224" s="269"/>
      <c r="AB224" s="269"/>
      <c r="AC224" s="269"/>
      <c r="AD224" s="269"/>
      <c r="AE224" s="269"/>
      <c r="AF224" s="269"/>
      <c r="AG224" s="269"/>
      <c r="AH224" s="269"/>
      <c r="AI224" s="269"/>
      <c r="AJ224" s="252"/>
      <c r="AK224" s="269"/>
      <c r="AL224" s="269"/>
      <c r="AM224" s="269"/>
      <c r="AN224" s="269"/>
      <c r="AO224" s="252"/>
      <c r="AP224" s="252"/>
      <c r="AQ224" s="252"/>
      <c r="AR224" s="252"/>
      <c r="AS224" s="252"/>
      <c r="AT224" s="252"/>
      <c r="AU224" s="252"/>
      <c r="AV224" s="252"/>
      <c r="AW224" s="252"/>
      <c r="AX224" s="252"/>
    </row>
    <row r="225" spans="1:50" s="4" customFormat="1">
      <c r="A225" s="252"/>
      <c r="B225" s="252"/>
      <c r="C225" s="252"/>
      <c r="D225" s="252"/>
      <c r="E225" s="252"/>
      <c r="F225" s="252"/>
      <c r="G225" s="252"/>
      <c r="H225" s="252"/>
      <c r="I225" s="252"/>
      <c r="J225" s="269"/>
      <c r="K225" s="269"/>
      <c r="L225" s="269"/>
      <c r="M225" s="269"/>
      <c r="N225" s="269"/>
      <c r="O225" s="269"/>
      <c r="P225" s="269"/>
      <c r="Q225" s="269"/>
      <c r="R225" s="269"/>
      <c r="S225" s="252"/>
      <c r="T225" s="252"/>
      <c r="U225" s="252"/>
      <c r="V225" s="269"/>
      <c r="W225" s="269"/>
      <c r="X225" s="269"/>
      <c r="Y225" s="269"/>
      <c r="Z225" s="269"/>
      <c r="AA225" s="269"/>
      <c r="AB225" s="269"/>
      <c r="AC225" s="269"/>
      <c r="AD225" s="269"/>
      <c r="AE225" s="269"/>
      <c r="AF225" s="269"/>
      <c r="AG225" s="269"/>
      <c r="AH225" s="269"/>
      <c r="AI225" s="269"/>
      <c r="AJ225" s="252"/>
      <c r="AK225" s="269"/>
      <c r="AL225" s="269"/>
      <c r="AM225" s="269"/>
      <c r="AN225" s="269"/>
      <c r="AO225" s="252"/>
      <c r="AP225" s="252"/>
      <c r="AQ225" s="252"/>
      <c r="AR225" s="252"/>
      <c r="AS225" s="252"/>
      <c r="AT225" s="252"/>
      <c r="AU225" s="252"/>
      <c r="AV225" s="252"/>
      <c r="AW225" s="252"/>
      <c r="AX225" s="252"/>
    </row>
  </sheetData>
  <autoFilter ref="A2:LO2"/>
  <mergeCells count="10">
    <mergeCell ref="J1:O1"/>
    <mergeCell ref="P1:R1"/>
    <mergeCell ref="S1:U1"/>
    <mergeCell ref="V1:X1"/>
    <mergeCell ref="Y1:AI1"/>
    <mergeCell ref="AJ1:AJ2"/>
    <mergeCell ref="AO1:AS1"/>
    <mergeCell ref="AT1:AU1"/>
    <mergeCell ref="AV1:AV2"/>
    <mergeCell ref="AK1:AM1"/>
  </mergeCells>
  <hyperlinks>
    <hyperlink ref="AV3" r:id="rId1"/>
    <hyperlink ref="AV4" r:id="rId2"/>
    <hyperlink ref="AV6" r:id="rId3"/>
    <hyperlink ref="AV7" r:id="rId4"/>
    <hyperlink ref="AV8" r:id="rId5"/>
  </hyperlinks>
  <pageMargins left="0.7" right="0.7" top="0.75" bottom="0.75" header="0.3" footer="0.3"/>
  <legacyDrawing r:id="rId6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45"/>
  <sheetViews>
    <sheetView tabSelected="1" topLeftCell="BB8" zoomScale="50" zoomScaleNormal="50" zoomScalePageLayoutView="75" workbookViewId="0">
      <selection activeCell="BO54" sqref="BO54"/>
    </sheetView>
  </sheetViews>
  <sheetFormatPr defaultColWidth="8.85546875" defaultRowHeight="12.75"/>
  <cols>
    <col min="2" max="2" width="11.85546875" customWidth="1"/>
    <col min="3" max="3" width="19.42578125" customWidth="1"/>
    <col min="4" max="4" width="11" customWidth="1"/>
    <col min="5" max="5" width="15.42578125" customWidth="1"/>
    <col min="6" max="6" width="16.42578125" customWidth="1"/>
    <col min="7" max="7" width="12.42578125" customWidth="1"/>
    <col min="8" max="8" width="13.7109375" customWidth="1"/>
    <col min="25" max="25" width="15.42578125" customWidth="1"/>
    <col min="26" max="27" width="9" bestFit="1" customWidth="1"/>
    <col min="28" max="28" width="11.7109375" customWidth="1"/>
    <col min="29" max="29" width="9.85546875" bestFit="1" customWidth="1"/>
    <col min="30" max="30" width="10.85546875" bestFit="1" customWidth="1"/>
    <col min="31" max="31" width="10.42578125" customWidth="1"/>
    <col min="32" max="32" width="11.42578125" customWidth="1"/>
    <col min="33" max="33" width="11.28515625" customWidth="1"/>
    <col min="34" max="34" width="12.140625" customWidth="1"/>
    <col min="35" max="35" width="12" customWidth="1"/>
    <col min="36" max="36" width="10.7109375" customWidth="1"/>
    <col min="37" max="40" width="11.28515625" customWidth="1"/>
    <col min="42" max="42" width="10.28515625" customWidth="1"/>
    <col min="43" max="43" width="11.28515625" customWidth="1"/>
    <col min="45" max="45" width="11.42578125" customWidth="1"/>
    <col min="46" max="46" width="10.28515625" customWidth="1"/>
    <col min="47" max="47" width="35.7109375" customWidth="1"/>
    <col min="48" max="48" width="18" customWidth="1"/>
    <col min="49" max="49" width="13.5703125" customWidth="1"/>
    <col min="50" max="50" width="15.7109375" customWidth="1"/>
    <col min="51" max="51" width="12.42578125" customWidth="1"/>
    <col min="52" max="52" width="12.5703125" customWidth="1"/>
    <col min="53" max="53" width="32.42578125" customWidth="1"/>
    <col min="54" max="54" width="15.28515625" customWidth="1"/>
    <col min="55" max="55" width="10.85546875" bestFit="1" customWidth="1"/>
    <col min="56" max="56" width="13.5703125" bestFit="1" customWidth="1"/>
    <col min="58" max="58" width="13.42578125" customWidth="1"/>
    <col min="59" max="59" width="14.140625" customWidth="1"/>
    <col min="60" max="60" width="13.42578125" customWidth="1"/>
    <col min="61" max="61" width="10.42578125" customWidth="1"/>
    <col min="62" max="62" width="12.140625" customWidth="1"/>
    <col min="63" max="63" width="10.42578125" bestFit="1" customWidth="1"/>
    <col min="65" max="65" width="11.42578125" customWidth="1"/>
    <col min="66" max="66" width="10.7109375" customWidth="1"/>
    <col min="80" max="80" width="10.42578125" customWidth="1"/>
    <col min="83" max="83" width="11.42578125" customWidth="1"/>
    <col min="84" max="84" width="13.140625" customWidth="1"/>
    <col min="85" max="85" width="11.140625" customWidth="1"/>
    <col min="87" max="87" width="13.140625" customWidth="1"/>
    <col min="88" max="88" width="12" customWidth="1"/>
    <col min="89" max="89" width="12.28515625" customWidth="1"/>
    <col min="90" max="90" width="11.7109375" customWidth="1"/>
    <col min="94" max="94" width="12.140625" customWidth="1"/>
  </cols>
  <sheetData>
    <row r="1" spans="1:100">
      <c r="AU1" s="971" t="s">
        <v>2472</v>
      </c>
      <c r="AV1" s="971" t="s">
        <v>2513</v>
      </c>
    </row>
    <row r="2" spans="1:100" ht="15">
      <c r="A2" s="252"/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999" t="s">
        <v>2471</v>
      </c>
      <c r="AV2" s="1000" t="s">
        <v>1299</v>
      </c>
      <c r="AW2" s="1000" t="s">
        <v>1286</v>
      </c>
      <c r="AX2" s="1000" t="s">
        <v>1261</v>
      </c>
      <c r="AY2" s="1000" t="s">
        <v>1260</v>
      </c>
      <c r="AZ2" s="1000" t="s">
        <v>1559</v>
      </c>
      <c r="BA2" s="1000" t="s">
        <v>1278</v>
      </c>
      <c r="BB2" s="1000" t="s">
        <v>1719</v>
      </c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M2" s="252"/>
      <c r="CN2" s="252"/>
      <c r="CO2" s="252"/>
      <c r="CP2" s="2"/>
      <c r="CQ2" s="2"/>
      <c r="CR2" s="2"/>
      <c r="CS2" s="2"/>
      <c r="CT2" s="2"/>
      <c r="CU2" s="2"/>
      <c r="CV2" s="2"/>
    </row>
    <row r="3" spans="1:100" ht="15">
      <c r="A3" s="252"/>
      <c r="B3" s="252"/>
      <c r="C3" s="252"/>
      <c r="D3" s="252"/>
      <c r="E3" s="252"/>
      <c r="F3" s="252"/>
      <c r="G3" s="252"/>
      <c r="H3" s="252"/>
      <c r="I3" s="643" t="s">
        <v>2296</v>
      </c>
      <c r="J3" s="252"/>
      <c r="K3" s="252"/>
      <c r="L3" s="252"/>
      <c r="M3" s="252"/>
      <c r="N3" s="252"/>
      <c r="O3" s="259"/>
      <c r="P3" s="252"/>
      <c r="Q3" s="252"/>
      <c r="R3" s="252"/>
      <c r="S3" s="252"/>
      <c r="T3" s="273"/>
      <c r="U3" s="576">
        <v>2011</v>
      </c>
      <c r="V3" s="577" t="s">
        <v>1522</v>
      </c>
      <c r="W3" s="252"/>
      <c r="X3" s="252"/>
      <c r="Y3" s="252"/>
      <c r="Z3" s="252"/>
      <c r="AA3" s="252"/>
      <c r="AB3" s="273"/>
      <c r="AC3" s="273"/>
      <c r="AD3" s="576">
        <v>2010</v>
      </c>
      <c r="AE3" s="577" t="s">
        <v>1522</v>
      </c>
      <c r="AF3" s="252"/>
      <c r="AG3" s="252"/>
      <c r="AH3" s="252"/>
      <c r="AI3" s="252"/>
      <c r="AJ3" s="252"/>
      <c r="AK3" s="273"/>
      <c r="AL3" s="273"/>
      <c r="AM3" s="576">
        <v>2009</v>
      </c>
      <c r="AN3" s="577" t="s">
        <v>1522</v>
      </c>
      <c r="AO3" s="252"/>
      <c r="AP3" s="252"/>
      <c r="AQ3" s="252"/>
      <c r="AR3" s="252"/>
      <c r="AS3" s="252"/>
      <c r="AT3" s="252"/>
      <c r="AU3" s="998">
        <v>2004</v>
      </c>
      <c r="AV3" s="1">
        <v>10169711.390000001</v>
      </c>
      <c r="AW3" s="1">
        <v>16187761.960000001</v>
      </c>
      <c r="AX3" s="1">
        <v>683345671.45999908</v>
      </c>
      <c r="AY3" s="1">
        <v>3015147.29</v>
      </c>
      <c r="AZ3" s="1"/>
      <c r="BA3" s="1">
        <v>2583669</v>
      </c>
      <c r="BB3" s="1">
        <v>715301961.09999907</v>
      </c>
      <c r="BH3" s="252"/>
      <c r="BS3" s="273"/>
      <c r="BT3" s="273"/>
      <c r="BU3" s="252"/>
      <c r="BV3" s="252"/>
      <c r="BW3" s="252"/>
      <c r="BX3" s="252"/>
      <c r="BY3" s="252"/>
      <c r="BZ3" s="252"/>
      <c r="CA3" s="252"/>
      <c r="CB3" s="252"/>
      <c r="CM3" s="273"/>
      <c r="CN3" s="273"/>
      <c r="CO3" s="273"/>
      <c r="CP3" s="2"/>
      <c r="CQ3" s="2"/>
      <c r="CR3" s="2"/>
      <c r="CS3" s="2"/>
      <c r="CT3" s="2"/>
      <c r="CU3" s="2"/>
      <c r="CV3" s="2"/>
    </row>
    <row r="4" spans="1:100" ht="15">
      <c r="A4" s="252"/>
      <c r="B4" s="273"/>
      <c r="C4" s="531" t="s">
        <v>2317</v>
      </c>
      <c r="D4" s="252" t="s">
        <v>2316</v>
      </c>
      <c r="E4" s="578" t="s">
        <v>1536</v>
      </c>
      <c r="F4" s="578" t="s">
        <v>1035</v>
      </c>
      <c r="G4" s="578" t="s">
        <v>1036</v>
      </c>
      <c r="H4" s="642" t="s">
        <v>1569</v>
      </c>
      <c r="I4" s="252"/>
      <c r="J4" s="579" t="s">
        <v>1692</v>
      </c>
      <c r="K4" s="579" t="s">
        <v>1286</v>
      </c>
      <c r="L4" s="579" t="s">
        <v>1261</v>
      </c>
      <c r="M4" s="579" t="s">
        <v>1260</v>
      </c>
      <c r="N4" s="579" t="s">
        <v>1693</v>
      </c>
      <c r="O4" s="358"/>
      <c r="P4" s="252"/>
      <c r="Q4" s="252"/>
      <c r="R4" s="252"/>
      <c r="S4" s="252"/>
      <c r="T4" s="273"/>
      <c r="U4" s="580" t="s">
        <v>1038</v>
      </c>
      <c r="V4" s="581" t="s">
        <v>1504</v>
      </c>
      <c r="W4" s="581" t="s">
        <v>1261</v>
      </c>
      <c r="X4" s="581" t="s">
        <v>1260</v>
      </c>
      <c r="Y4" s="581" t="s">
        <v>1278</v>
      </c>
      <c r="Z4" s="581" t="s">
        <v>1286</v>
      </c>
      <c r="AA4" s="582" t="s">
        <v>1521</v>
      </c>
      <c r="AB4" s="273"/>
      <c r="AC4" s="273"/>
      <c r="AD4" s="580" t="s">
        <v>1038</v>
      </c>
      <c r="AE4" s="581" t="s">
        <v>1504</v>
      </c>
      <c r="AF4" s="581" t="s">
        <v>1261</v>
      </c>
      <c r="AG4" s="581" t="s">
        <v>1260</v>
      </c>
      <c r="AH4" s="581" t="s">
        <v>1278</v>
      </c>
      <c r="AI4" s="581" t="s">
        <v>1286</v>
      </c>
      <c r="AJ4" s="582" t="s">
        <v>1521</v>
      </c>
      <c r="AK4" s="273"/>
      <c r="AL4" s="273"/>
      <c r="AM4" s="580" t="s">
        <v>1038</v>
      </c>
      <c r="AN4" s="581" t="s">
        <v>1504</v>
      </c>
      <c r="AO4" s="581" t="s">
        <v>1261</v>
      </c>
      <c r="AP4" s="581" t="s">
        <v>1260</v>
      </c>
      <c r="AQ4" s="581" t="s">
        <v>1278</v>
      </c>
      <c r="AR4" s="581" t="s">
        <v>1286</v>
      </c>
      <c r="AS4" s="582" t="s">
        <v>1521</v>
      </c>
      <c r="AT4" s="252"/>
      <c r="AU4" s="998">
        <v>2005</v>
      </c>
      <c r="AV4" s="1">
        <v>48206833.710000001</v>
      </c>
      <c r="AW4" s="1">
        <v>12695590.290000003</v>
      </c>
      <c r="AX4" s="1">
        <v>158785666</v>
      </c>
      <c r="AY4" s="1">
        <v>2323477.83</v>
      </c>
      <c r="AZ4" s="1"/>
      <c r="BA4" s="1">
        <v>3807838.99</v>
      </c>
      <c r="BB4" s="1">
        <v>225819406.82000002</v>
      </c>
      <c r="BH4" s="252"/>
      <c r="BS4" s="583"/>
      <c r="BT4" s="252"/>
      <c r="BU4" s="252"/>
      <c r="BV4" s="252"/>
      <c r="BW4" s="252"/>
      <c r="BX4" s="252"/>
      <c r="BY4" s="252"/>
      <c r="BZ4" s="252"/>
      <c r="CA4" s="252"/>
      <c r="CB4" s="252"/>
      <c r="CM4" s="576"/>
      <c r="CN4" s="576"/>
      <c r="CO4" s="584"/>
      <c r="CP4" s="38"/>
      <c r="CQ4" s="19"/>
      <c r="CR4" s="19"/>
      <c r="CS4" s="19"/>
      <c r="CT4" s="19"/>
      <c r="CU4" s="19"/>
    </row>
    <row r="5" spans="1:100" ht="15">
      <c r="A5" s="252"/>
      <c r="B5" s="252"/>
      <c r="C5" s="532">
        <v>57</v>
      </c>
      <c r="D5" s="533">
        <v>2004</v>
      </c>
      <c r="E5" s="534">
        <f>'2004'!J61</f>
        <v>9757618</v>
      </c>
      <c r="F5" s="534">
        <f>'2004'!M61</f>
        <v>715301961.09999919</v>
      </c>
      <c r="G5" s="535">
        <f>F5/E5</f>
        <v>73.307026479208261</v>
      </c>
      <c r="H5" s="536">
        <f>E5/C5</f>
        <v>171186.28070175438</v>
      </c>
      <c r="I5" s="585"/>
      <c r="J5" s="586">
        <v>20</v>
      </c>
      <c r="K5" s="585">
        <v>15</v>
      </c>
      <c r="L5" s="585">
        <v>13</v>
      </c>
      <c r="M5" s="585">
        <v>7</v>
      </c>
      <c r="N5" s="587">
        <v>2</v>
      </c>
      <c r="O5" s="588"/>
      <c r="P5" s="252"/>
      <c r="Q5" s="252"/>
      <c r="R5" s="252"/>
      <c r="S5" s="252"/>
      <c r="T5" s="589" t="s">
        <v>1516</v>
      </c>
      <c r="U5" s="590" t="s">
        <v>1452</v>
      </c>
      <c r="V5" s="591">
        <v>14</v>
      </c>
      <c r="W5" s="592">
        <v>0</v>
      </c>
      <c r="X5" s="592">
        <v>1</v>
      </c>
      <c r="Y5" s="592">
        <v>4</v>
      </c>
      <c r="Z5" s="592">
        <v>0</v>
      </c>
      <c r="AA5" s="593">
        <f t="shared" ref="AA5:AA11" si="0">SUM(V5:Z5)</f>
        <v>19</v>
      </c>
      <c r="AB5" s="594"/>
      <c r="AC5" s="589" t="s">
        <v>1516</v>
      </c>
      <c r="AD5" s="590" t="s">
        <v>1452</v>
      </c>
      <c r="AE5" s="591"/>
      <c r="AF5" s="592"/>
      <c r="AG5" s="592"/>
      <c r="AH5" s="592"/>
      <c r="AI5" s="592"/>
      <c r="AJ5" s="593">
        <v>15</v>
      </c>
      <c r="AK5" s="576"/>
      <c r="AL5" s="589" t="s">
        <v>1516</v>
      </c>
      <c r="AM5" s="590" t="s">
        <v>1452</v>
      </c>
      <c r="AN5" s="591"/>
      <c r="AO5" s="592"/>
      <c r="AP5" s="592"/>
      <c r="AQ5" s="592"/>
      <c r="AR5" s="592"/>
      <c r="AS5" s="593">
        <v>5</v>
      </c>
      <c r="AT5" s="252"/>
      <c r="AU5" s="998">
        <v>2006</v>
      </c>
      <c r="AV5" s="1">
        <v>25954766</v>
      </c>
      <c r="AW5" s="1">
        <v>4065589</v>
      </c>
      <c r="AX5" s="1">
        <v>44685569</v>
      </c>
      <c r="AY5" s="1">
        <v>1395923</v>
      </c>
      <c r="AZ5" s="1"/>
      <c r="BA5" s="1">
        <v>9630305</v>
      </c>
      <c r="BB5" s="1">
        <v>85732152</v>
      </c>
      <c r="BH5" s="252"/>
      <c r="BS5" s="583"/>
      <c r="BT5" s="252"/>
      <c r="BU5" s="252"/>
      <c r="BV5" s="252"/>
      <c r="BW5" s="252"/>
      <c r="BX5" s="252"/>
      <c r="BY5" s="252"/>
      <c r="BZ5" s="252"/>
      <c r="CA5" s="252"/>
      <c r="CB5" s="252"/>
      <c r="CM5" s="584"/>
      <c r="CN5" s="584"/>
      <c r="CO5" s="584"/>
      <c r="CP5" s="38"/>
      <c r="CQ5" s="19"/>
      <c r="CR5" s="19"/>
      <c r="CS5" s="19"/>
      <c r="CT5" s="19"/>
      <c r="CU5" s="19"/>
    </row>
    <row r="6" spans="1:100" ht="15">
      <c r="A6" s="252"/>
      <c r="B6" s="252"/>
      <c r="C6" s="532">
        <v>94</v>
      </c>
      <c r="D6" s="533">
        <v>2005</v>
      </c>
      <c r="E6" s="537">
        <f>'2005'!J98</f>
        <v>8849388</v>
      </c>
      <c r="F6" s="537">
        <f>'2005'!M98</f>
        <v>225819406.82000005</v>
      </c>
      <c r="G6" s="538">
        <f t="shared" ref="G6:G12" si="1">F6/E6</f>
        <v>25.51808179503487</v>
      </c>
      <c r="H6" s="539">
        <f t="shared" ref="H6:H12" si="2">E6/C6</f>
        <v>94142.425531914894</v>
      </c>
      <c r="I6" s="538"/>
      <c r="J6" s="595">
        <v>40</v>
      </c>
      <c r="K6" s="588">
        <v>20</v>
      </c>
      <c r="L6" s="588">
        <v>11</v>
      </c>
      <c r="M6" s="588">
        <v>17</v>
      </c>
      <c r="N6" s="596">
        <v>6</v>
      </c>
      <c r="O6" s="588"/>
      <c r="P6" s="252"/>
      <c r="Q6" s="252"/>
      <c r="R6" s="252"/>
      <c r="S6" s="252"/>
      <c r="T6" s="273"/>
      <c r="U6" s="590" t="s">
        <v>546</v>
      </c>
      <c r="V6" s="595">
        <v>24</v>
      </c>
      <c r="W6" s="588">
        <v>2</v>
      </c>
      <c r="X6" s="588">
        <v>0</v>
      </c>
      <c r="Y6" s="588">
        <v>0</v>
      </c>
      <c r="Z6" s="588">
        <v>2</v>
      </c>
      <c r="AA6" s="596">
        <f t="shared" si="0"/>
        <v>28</v>
      </c>
      <c r="AB6" s="256"/>
      <c r="AC6" s="273"/>
      <c r="AD6" s="590" t="s">
        <v>546</v>
      </c>
      <c r="AE6" s="595">
        <v>10</v>
      </c>
      <c r="AF6" s="588">
        <v>1</v>
      </c>
      <c r="AG6" s="588">
        <v>2</v>
      </c>
      <c r="AH6" s="588">
        <v>0</v>
      </c>
      <c r="AI6" s="588">
        <v>2</v>
      </c>
      <c r="AJ6" s="596">
        <f>SUM(AE6:AI6)</f>
        <v>15</v>
      </c>
      <c r="AK6" s="256"/>
      <c r="AL6" s="273"/>
      <c r="AM6" s="590" t="s">
        <v>546</v>
      </c>
      <c r="AN6" s="595">
        <v>15</v>
      </c>
      <c r="AO6" s="588">
        <v>3</v>
      </c>
      <c r="AP6" s="588">
        <v>0</v>
      </c>
      <c r="AQ6" s="588">
        <v>0</v>
      </c>
      <c r="AR6" s="588">
        <v>4</v>
      </c>
      <c r="AS6" s="596">
        <f>SUM(AN6:AR6)</f>
        <v>22</v>
      </c>
      <c r="AT6" s="252"/>
      <c r="AU6" s="998">
        <v>2007</v>
      </c>
      <c r="AV6" s="1">
        <v>39115806.670000002</v>
      </c>
      <c r="AW6" s="1">
        <v>20437943</v>
      </c>
      <c r="AX6" s="1">
        <v>44239887</v>
      </c>
      <c r="AY6" s="1">
        <v>754684</v>
      </c>
      <c r="AZ6" s="1"/>
      <c r="BA6" s="1">
        <v>20137151</v>
      </c>
      <c r="BB6" s="1">
        <v>124685471.67</v>
      </c>
      <c r="BH6" s="252"/>
      <c r="BS6" s="583"/>
      <c r="BT6" s="583"/>
      <c r="BU6" s="252"/>
      <c r="BV6" s="252"/>
      <c r="BW6" s="252"/>
      <c r="BX6" s="252"/>
      <c r="BY6" s="252"/>
      <c r="BZ6" s="252"/>
      <c r="CA6" s="252"/>
      <c r="CB6" s="252"/>
      <c r="CM6" s="576"/>
      <c r="CN6" s="576"/>
      <c r="CO6" s="576"/>
      <c r="CP6" s="38"/>
      <c r="CQ6" s="19"/>
      <c r="CR6" s="19"/>
      <c r="CS6" s="19"/>
      <c r="CT6" s="19"/>
      <c r="CU6" s="19"/>
      <c r="CV6" s="19"/>
    </row>
    <row r="7" spans="1:100" ht="15">
      <c r="A7" s="252"/>
      <c r="B7" s="252"/>
      <c r="C7" s="532">
        <v>95</v>
      </c>
      <c r="D7" s="533">
        <v>2006</v>
      </c>
      <c r="E7" s="540">
        <f>'2006'!J98</f>
        <v>9267784</v>
      </c>
      <c r="F7" s="540">
        <f>'2006'!M98</f>
        <v>85732152</v>
      </c>
      <c r="G7" s="538">
        <f t="shared" si="1"/>
        <v>9.2505556883932556</v>
      </c>
      <c r="H7" s="539">
        <f t="shared" si="2"/>
        <v>97555.621052631584</v>
      </c>
      <c r="I7" s="588"/>
      <c r="J7" s="595">
        <v>53</v>
      </c>
      <c r="K7" s="588">
        <v>16</v>
      </c>
      <c r="L7" s="588">
        <v>11</v>
      </c>
      <c r="M7" s="588">
        <v>7</v>
      </c>
      <c r="N7" s="596">
        <v>8</v>
      </c>
      <c r="O7" s="588"/>
      <c r="P7" s="252"/>
      <c r="Q7" s="252"/>
      <c r="R7" s="252"/>
      <c r="S7" s="252"/>
      <c r="T7" s="273"/>
      <c r="U7" s="590" t="s">
        <v>1736</v>
      </c>
      <c r="V7" s="595">
        <v>26</v>
      </c>
      <c r="W7" s="588">
        <v>11</v>
      </c>
      <c r="X7" s="588">
        <v>5</v>
      </c>
      <c r="Y7" s="588">
        <v>1</v>
      </c>
      <c r="Z7" s="588">
        <v>14</v>
      </c>
      <c r="AA7" s="596">
        <f t="shared" si="0"/>
        <v>57</v>
      </c>
      <c r="AB7" s="292"/>
      <c r="AC7" s="273"/>
      <c r="AD7" s="590" t="s">
        <v>1736</v>
      </c>
      <c r="AE7" s="595"/>
      <c r="AF7" s="588"/>
      <c r="AG7" s="588"/>
      <c r="AH7" s="588"/>
      <c r="AI7" s="588"/>
      <c r="AJ7" s="596">
        <v>87</v>
      </c>
      <c r="AK7" s="292"/>
      <c r="AL7" s="273"/>
      <c r="AM7" s="590" t="s">
        <v>1736</v>
      </c>
      <c r="AN7" s="595"/>
      <c r="AO7" s="588"/>
      <c r="AP7" s="588"/>
      <c r="AQ7" s="588"/>
      <c r="AR7" s="588"/>
      <c r="AS7" s="596">
        <v>55</v>
      </c>
      <c r="AT7" s="252"/>
      <c r="AU7" s="998">
        <v>2008</v>
      </c>
      <c r="AV7" s="1">
        <v>39647483</v>
      </c>
      <c r="AW7" s="1">
        <v>20779073</v>
      </c>
      <c r="AX7" s="1">
        <v>203743925</v>
      </c>
      <c r="AY7" s="1">
        <v>2936695</v>
      </c>
      <c r="AZ7" s="1"/>
      <c r="BA7" s="1">
        <v>4849781</v>
      </c>
      <c r="BB7" s="1">
        <v>271956957</v>
      </c>
      <c r="BH7" s="252"/>
      <c r="BS7" s="583"/>
      <c r="BT7" s="583"/>
      <c r="BU7" s="252"/>
      <c r="BV7" s="252"/>
      <c r="BW7" s="252"/>
      <c r="BX7" s="252"/>
      <c r="BY7" s="252"/>
      <c r="BZ7" s="252"/>
      <c r="CA7" s="252"/>
      <c r="CB7" s="252"/>
      <c r="CM7" s="274"/>
      <c r="CN7" s="584"/>
      <c r="CO7" s="584"/>
      <c r="CP7" s="38"/>
      <c r="CQ7" s="19"/>
      <c r="CR7" s="19"/>
      <c r="CS7" s="19"/>
      <c r="CT7" s="19"/>
      <c r="CU7" s="19"/>
      <c r="CV7" s="19"/>
    </row>
    <row r="8" spans="1:100" ht="15">
      <c r="A8" s="252"/>
      <c r="B8" s="252"/>
      <c r="C8" s="532">
        <v>95</v>
      </c>
      <c r="D8" s="533">
        <v>2007</v>
      </c>
      <c r="E8" s="537">
        <f>'2007'!J100</f>
        <v>18905348</v>
      </c>
      <c r="F8" s="537">
        <f>'2007'!M100</f>
        <v>124685471.67</v>
      </c>
      <c r="G8" s="538">
        <f t="shared" si="1"/>
        <v>6.5952486920632198</v>
      </c>
      <c r="H8" s="539">
        <f t="shared" si="2"/>
        <v>199003.66315789474</v>
      </c>
      <c r="I8" s="588"/>
      <c r="J8" s="595">
        <v>44</v>
      </c>
      <c r="K8" s="588">
        <v>19</v>
      </c>
      <c r="L8" s="588">
        <v>14</v>
      </c>
      <c r="M8" s="588">
        <v>10</v>
      </c>
      <c r="N8" s="596">
        <v>8</v>
      </c>
      <c r="O8" s="588"/>
      <c r="P8" s="252"/>
      <c r="Q8" s="252"/>
      <c r="R8" s="252"/>
      <c r="S8" s="252"/>
      <c r="T8" s="273"/>
      <c r="U8" s="590" t="s">
        <v>1737</v>
      </c>
      <c r="V8" s="595">
        <v>0</v>
      </c>
      <c r="W8" s="588">
        <v>3</v>
      </c>
      <c r="X8" s="588">
        <v>1</v>
      </c>
      <c r="Y8" s="588">
        <v>0</v>
      </c>
      <c r="Z8" s="588">
        <v>0</v>
      </c>
      <c r="AA8" s="596">
        <f t="shared" si="0"/>
        <v>4</v>
      </c>
      <c r="AB8" s="270"/>
      <c r="AC8" s="273"/>
      <c r="AD8" s="590" t="s">
        <v>1737</v>
      </c>
      <c r="AE8" s="595"/>
      <c r="AF8" s="588"/>
      <c r="AG8" s="588"/>
      <c r="AH8" s="588"/>
      <c r="AI8" s="588"/>
      <c r="AJ8" s="596">
        <v>7</v>
      </c>
      <c r="AK8" s="269"/>
      <c r="AL8" s="273"/>
      <c r="AM8" s="590" t="s">
        <v>1737</v>
      </c>
      <c r="AN8" s="595"/>
      <c r="AO8" s="588"/>
      <c r="AP8" s="588"/>
      <c r="AQ8" s="588"/>
      <c r="AR8" s="588"/>
      <c r="AS8" s="596">
        <v>9</v>
      </c>
      <c r="AT8" s="252"/>
      <c r="AU8" s="998">
        <v>2009</v>
      </c>
      <c r="AV8" s="1">
        <v>13967891</v>
      </c>
      <c r="AW8" s="1">
        <v>4000861.9</v>
      </c>
      <c r="AX8" s="1">
        <v>33035879.239999998</v>
      </c>
      <c r="AY8" s="1">
        <v>2577313</v>
      </c>
      <c r="AZ8" s="1"/>
      <c r="BA8" s="1">
        <v>1413185</v>
      </c>
      <c r="BB8" s="1">
        <v>54995130.140000001</v>
      </c>
      <c r="BH8" s="252"/>
      <c r="BS8" s="583"/>
      <c r="BT8" s="583"/>
      <c r="BU8" s="252"/>
      <c r="BV8" s="252"/>
      <c r="BW8" s="252"/>
      <c r="BX8" s="252"/>
      <c r="BY8" s="252"/>
      <c r="BZ8" s="252"/>
      <c r="CA8" s="252"/>
      <c r="CB8" s="252"/>
    </row>
    <row r="9" spans="1:100" ht="15">
      <c r="A9" s="252"/>
      <c r="B9" s="252"/>
      <c r="C9" s="532">
        <v>101</v>
      </c>
      <c r="D9" s="533">
        <v>2008</v>
      </c>
      <c r="E9" s="537">
        <f>'2008'!J105</f>
        <v>23198767</v>
      </c>
      <c r="F9" s="537">
        <f>'2008'!M105</f>
        <v>271956957</v>
      </c>
      <c r="G9" s="538">
        <f t="shared" si="1"/>
        <v>11.722905661322432</v>
      </c>
      <c r="H9" s="539">
        <f t="shared" si="2"/>
        <v>229690.76237623763</v>
      </c>
      <c r="I9" s="588"/>
      <c r="J9" s="595">
        <v>45</v>
      </c>
      <c r="K9" s="588">
        <v>26</v>
      </c>
      <c r="L9" s="588">
        <v>17</v>
      </c>
      <c r="M9" s="588">
        <v>6</v>
      </c>
      <c r="N9" s="596">
        <v>7</v>
      </c>
      <c r="O9" s="588"/>
      <c r="P9" s="252"/>
      <c r="Q9" s="252"/>
      <c r="R9" s="252"/>
      <c r="S9" s="252"/>
      <c r="T9" s="252"/>
      <c r="U9" s="590" t="s">
        <v>1520</v>
      </c>
      <c r="V9" s="595">
        <v>2</v>
      </c>
      <c r="W9" s="588">
        <v>0</v>
      </c>
      <c r="X9" s="588">
        <v>1</v>
      </c>
      <c r="Y9" s="588">
        <v>0</v>
      </c>
      <c r="Z9" s="588">
        <v>0</v>
      </c>
      <c r="AA9" s="596">
        <f t="shared" si="0"/>
        <v>3</v>
      </c>
      <c r="AB9" s="597"/>
      <c r="AC9" s="252"/>
      <c r="AD9" s="590" t="s">
        <v>1520</v>
      </c>
      <c r="AE9" s="595"/>
      <c r="AF9" s="588"/>
      <c r="AG9" s="588"/>
      <c r="AH9" s="588"/>
      <c r="AI9" s="588"/>
      <c r="AJ9" s="596">
        <v>3</v>
      </c>
      <c r="AK9" s="584"/>
      <c r="AL9" s="252"/>
      <c r="AM9" s="590" t="s">
        <v>1520</v>
      </c>
      <c r="AN9" s="595"/>
      <c r="AO9" s="588"/>
      <c r="AP9" s="588"/>
      <c r="AQ9" s="588"/>
      <c r="AR9" s="588"/>
      <c r="AS9" s="596">
        <v>5</v>
      </c>
      <c r="AT9" s="252"/>
      <c r="AU9" s="998">
        <v>2010</v>
      </c>
      <c r="AV9" s="1">
        <v>23147010</v>
      </c>
      <c r="AW9" s="1">
        <v>176207454.52999997</v>
      </c>
      <c r="AX9" s="1">
        <v>101788962.2</v>
      </c>
      <c r="AY9" s="1">
        <v>3823248.82</v>
      </c>
      <c r="AZ9" s="1"/>
      <c r="BA9" s="1">
        <v>689898.63</v>
      </c>
      <c r="BB9" s="1">
        <v>305656574.17999995</v>
      </c>
      <c r="BH9" s="252"/>
      <c r="BS9" s="269"/>
      <c r="BT9" s="269"/>
      <c r="BU9" s="252"/>
      <c r="BV9" s="252"/>
      <c r="BW9" s="252"/>
      <c r="BX9" s="252"/>
      <c r="BY9" s="252"/>
      <c r="BZ9" s="252"/>
      <c r="CA9" s="252"/>
      <c r="CB9" s="252"/>
    </row>
    <row r="10" spans="1:100" ht="15">
      <c r="A10" s="252"/>
      <c r="B10" s="273"/>
      <c r="C10" s="532">
        <v>93</v>
      </c>
      <c r="D10" s="533">
        <v>2009</v>
      </c>
      <c r="E10" s="537">
        <f>'2009'!J97</f>
        <v>38774110</v>
      </c>
      <c r="F10" s="537">
        <f>'2009'!M97</f>
        <v>54995130.139999993</v>
      </c>
      <c r="G10" s="538">
        <f t="shared" si="1"/>
        <v>1.4183466787503309</v>
      </c>
      <c r="H10" s="539">
        <f t="shared" si="2"/>
        <v>416925.91397849465</v>
      </c>
      <c r="I10" s="588"/>
      <c r="J10" s="595">
        <v>45</v>
      </c>
      <c r="K10" s="588">
        <v>19</v>
      </c>
      <c r="L10" s="588">
        <v>13</v>
      </c>
      <c r="M10" s="588">
        <v>12</v>
      </c>
      <c r="N10" s="596">
        <v>3</v>
      </c>
      <c r="O10" s="588"/>
      <c r="P10" s="252"/>
      <c r="Q10" s="252"/>
      <c r="R10" s="252"/>
      <c r="S10" s="252"/>
      <c r="T10" s="252"/>
      <c r="U10" s="598" t="s">
        <v>1545</v>
      </c>
      <c r="V10" s="599">
        <f t="shared" ref="V10:Z10" si="3">SUM(V5:V9)</f>
        <v>66</v>
      </c>
      <c r="W10" s="600">
        <f t="shared" si="3"/>
        <v>16</v>
      </c>
      <c r="X10" s="600">
        <f t="shared" si="3"/>
        <v>8</v>
      </c>
      <c r="Y10" s="600">
        <f t="shared" si="3"/>
        <v>5</v>
      </c>
      <c r="Z10" s="600">
        <f t="shared" si="3"/>
        <v>16</v>
      </c>
      <c r="AA10" s="601">
        <f t="shared" si="0"/>
        <v>111</v>
      </c>
      <c r="AB10" s="270"/>
      <c r="AC10" s="252"/>
      <c r="AD10" s="598" t="s">
        <v>1545</v>
      </c>
      <c r="AE10" s="599">
        <v>49</v>
      </c>
      <c r="AF10" s="600">
        <v>24</v>
      </c>
      <c r="AG10" s="600">
        <v>24</v>
      </c>
      <c r="AH10" s="600">
        <v>6</v>
      </c>
      <c r="AI10" s="600">
        <v>24</v>
      </c>
      <c r="AJ10" s="601">
        <f>SUM(AE10:AI10)</f>
        <v>127</v>
      </c>
      <c r="AK10" s="269"/>
      <c r="AL10" s="252"/>
      <c r="AM10" s="602" t="s">
        <v>1545</v>
      </c>
      <c r="AN10" s="595">
        <v>46</v>
      </c>
      <c r="AO10" s="588">
        <v>14</v>
      </c>
      <c r="AP10" s="588">
        <v>12</v>
      </c>
      <c r="AQ10" s="588">
        <v>3</v>
      </c>
      <c r="AR10" s="588">
        <v>21</v>
      </c>
      <c r="AS10" s="596">
        <f>SUM(AN10:AR10)</f>
        <v>96</v>
      </c>
      <c r="AT10" s="252"/>
      <c r="AU10" s="998">
        <v>2011</v>
      </c>
      <c r="AV10" s="1">
        <v>38540608.851599999</v>
      </c>
      <c r="AW10" s="1">
        <v>3280863.06</v>
      </c>
      <c r="AX10" s="1">
        <v>10841203</v>
      </c>
      <c r="AY10" s="1">
        <v>6738705</v>
      </c>
      <c r="AZ10" s="1"/>
      <c r="BA10" s="1">
        <v>9376983</v>
      </c>
      <c r="BB10" s="1">
        <v>68778362.911599994</v>
      </c>
      <c r="BH10" s="252"/>
      <c r="BS10" s="252"/>
      <c r="BT10" s="252"/>
      <c r="BU10" s="252"/>
      <c r="BV10" s="252"/>
      <c r="BW10" s="252"/>
      <c r="BX10" s="252"/>
      <c r="BY10" s="252"/>
      <c r="BZ10" s="252"/>
      <c r="CA10" s="252"/>
      <c r="CB10" s="252"/>
    </row>
    <row r="11" spans="1:100" ht="15">
      <c r="A11" s="252"/>
      <c r="B11" s="252"/>
      <c r="C11" s="532">
        <v>128</v>
      </c>
      <c r="D11" s="533">
        <v>2010</v>
      </c>
      <c r="E11" s="537">
        <f>'2010'!J132</f>
        <v>17039001</v>
      </c>
      <c r="F11" s="537">
        <f>'2010'!M132</f>
        <v>305656574.18000001</v>
      </c>
      <c r="G11" s="538">
        <f t="shared" si="1"/>
        <v>17.938644066045892</v>
      </c>
      <c r="H11" s="539">
        <f t="shared" si="2"/>
        <v>133117.1953125</v>
      </c>
      <c r="I11" s="588"/>
      <c r="J11" s="595">
        <v>50</v>
      </c>
      <c r="K11" s="588">
        <v>24</v>
      </c>
      <c r="L11" s="588">
        <v>24</v>
      </c>
      <c r="M11" s="588">
        <v>24</v>
      </c>
      <c r="N11" s="596">
        <v>6</v>
      </c>
      <c r="O11" s="588"/>
      <c r="P11" s="252"/>
      <c r="Q11" s="252"/>
      <c r="R11" s="252"/>
      <c r="S11" s="252"/>
      <c r="T11" s="252"/>
      <c r="U11" s="603" t="s">
        <v>5</v>
      </c>
      <c r="V11" s="595">
        <v>16</v>
      </c>
      <c r="W11" s="588">
        <v>8</v>
      </c>
      <c r="X11" s="588">
        <v>4</v>
      </c>
      <c r="Y11" s="588">
        <v>1</v>
      </c>
      <c r="Z11" s="588">
        <v>9</v>
      </c>
      <c r="AA11" s="596">
        <f t="shared" si="0"/>
        <v>38</v>
      </c>
      <c r="AB11" s="270"/>
      <c r="AC11" s="252"/>
      <c r="AD11" s="604" t="s">
        <v>5</v>
      </c>
      <c r="AE11" s="605">
        <v>23</v>
      </c>
      <c r="AF11" s="606">
        <v>11</v>
      </c>
      <c r="AG11" s="606">
        <v>16</v>
      </c>
      <c r="AH11" s="606">
        <v>4</v>
      </c>
      <c r="AI11" s="606">
        <v>12</v>
      </c>
      <c r="AJ11" s="607">
        <f>SUM(AE11:AI11)</f>
        <v>66</v>
      </c>
      <c r="AK11" s="269"/>
      <c r="AL11" s="252"/>
      <c r="AM11" s="604" t="s">
        <v>5</v>
      </c>
      <c r="AN11" s="605">
        <v>14</v>
      </c>
      <c r="AO11" s="606">
        <v>4</v>
      </c>
      <c r="AP11" s="606">
        <v>7</v>
      </c>
      <c r="AQ11" s="606">
        <v>2</v>
      </c>
      <c r="AR11" s="606">
        <v>10</v>
      </c>
      <c r="AS11" s="607">
        <f>SUM(AN11:AR11)</f>
        <v>37</v>
      </c>
      <c r="AT11" s="252"/>
      <c r="AU11" s="998" t="s">
        <v>1719</v>
      </c>
      <c r="AV11" s="1">
        <v>238750110.62159997</v>
      </c>
      <c r="AW11" s="1">
        <v>257655136.73999998</v>
      </c>
      <c r="AX11" s="1">
        <v>1280466762.8999991</v>
      </c>
      <c r="AY11" s="1">
        <v>23565193.940000001</v>
      </c>
      <c r="AZ11" s="1"/>
      <c r="BA11" s="1">
        <v>52488811.620000005</v>
      </c>
      <c r="BB11" s="1">
        <v>1852926015.8215995</v>
      </c>
      <c r="BH11" s="252"/>
      <c r="BS11" s="252"/>
      <c r="BT11" s="252"/>
      <c r="BU11" s="252"/>
      <c r="BV11" s="252"/>
      <c r="BW11" s="252"/>
      <c r="BX11" s="273"/>
      <c r="BY11" s="252"/>
      <c r="BZ11" s="252"/>
      <c r="CA11" s="252"/>
      <c r="CB11" s="252"/>
    </row>
    <row r="12" spans="1:100" ht="15">
      <c r="A12" s="252"/>
      <c r="B12" s="252"/>
      <c r="C12" s="532">
        <v>111</v>
      </c>
      <c r="D12" s="533">
        <v>2011</v>
      </c>
      <c r="E12" s="542">
        <f>'2011'!J115</f>
        <v>27446633</v>
      </c>
      <c r="F12" s="543">
        <f>'2011'!M115</f>
        <v>68778362.911599994</v>
      </c>
      <c r="G12" s="543">
        <f t="shared" si="1"/>
        <v>2.5058943627657349</v>
      </c>
      <c r="H12" s="544">
        <f t="shared" si="2"/>
        <v>247266.96396396396</v>
      </c>
      <c r="I12" s="606"/>
      <c r="J12" s="605">
        <v>66</v>
      </c>
      <c r="K12" s="606">
        <v>16</v>
      </c>
      <c r="L12" s="606">
        <v>16</v>
      </c>
      <c r="M12" s="606">
        <v>8</v>
      </c>
      <c r="N12" s="607">
        <v>5</v>
      </c>
      <c r="O12" s="588"/>
      <c r="P12" s="252"/>
      <c r="Q12" s="252"/>
      <c r="R12" s="252"/>
      <c r="S12" s="252"/>
      <c r="T12" s="252"/>
      <c r="U12" s="604" t="s">
        <v>1738</v>
      </c>
      <c r="V12" s="605"/>
      <c r="W12" s="606"/>
      <c r="X12" s="606"/>
      <c r="Y12" s="606"/>
      <c r="Z12" s="606"/>
      <c r="AA12" s="607">
        <f>AA7-AA11</f>
        <v>19</v>
      </c>
      <c r="AB12" s="252"/>
      <c r="AC12" s="252"/>
      <c r="AD12" s="252"/>
      <c r="AE12" s="252"/>
      <c r="AF12" s="252"/>
      <c r="AG12" s="252"/>
      <c r="AH12" s="252"/>
      <c r="AI12" s="252"/>
      <c r="AJ12" s="252"/>
      <c r="AK12" s="576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BH12" s="576"/>
      <c r="BS12" s="252"/>
      <c r="BT12" s="252"/>
      <c r="BU12" s="252"/>
      <c r="BV12" s="252"/>
      <c r="BW12" s="252"/>
      <c r="BX12" s="252"/>
      <c r="BY12" s="252"/>
      <c r="BZ12" s="252"/>
      <c r="CA12" s="252"/>
      <c r="CB12" s="252"/>
    </row>
    <row r="13" spans="1:100" ht="15">
      <c r="A13" s="252"/>
      <c r="B13" s="252"/>
      <c r="C13" s="252"/>
      <c r="D13" s="252"/>
      <c r="E13" s="252"/>
      <c r="F13" s="252"/>
      <c r="G13" s="252"/>
      <c r="H13" s="252"/>
      <c r="I13" s="644" t="s">
        <v>1505</v>
      </c>
      <c r="J13" s="605">
        <f>SUM(J5:J12)</f>
        <v>363</v>
      </c>
      <c r="K13" s="605">
        <f t="shared" ref="K13:N13" si="4">SUM(K5:K12)</f>
        <v>155</v>
      </c>
      <c r="L13" s="605">
        <f t="shared" si="4"/>
        <v>119</v>
      </c>
      <c r="M13" s="605">
        <f t="shared" si="4"/>
        <v>91</v>
      </c>
      <c r="N13" s="476">
        <f t="shared" si="4"/>
        <v>45</v>
      </c>
      <c r="O13" s="588"/>
      <c r="P13" s="252"/>
      <c r="Q13" s="252"/>
      <c r="R13" s="252"/>
      <c r="S13" s="252"/>
      <c r="T13" s="252"/>
      <c r="U13" s="576"/>
      <c r="V13" s="252"/>
      <c r="W13" s="252"/>
      <c r="X13" s="252"/>
      <c r="Y13" s="252"/>
      <c r="Z13" s="252"/>
      <c r="AA13" s="252"/>
      <c r="AB13" s="252"/>
      <c r="AC13" s="252" t="s">
        <v>1691</v>
      </c>
      <c r="AD13" s="608">
        <v>2011</v>
      </c>
      <c r="AE13" s="608">
        <v>2010</v>
      </c>
      <c r="AF13" s="608">
        <v>2009</v>
      </c>
      <c r="AG13" s="608">
        <v>2008</v>
      </c>
      <c r="AH13" s="608">
        <v>2007</v>
      </c>
      <c r="AI13" s="608">
        <v>2006</v>
      </c>
      <c r="AJ13" s="608">
        <v>2005</v>
      </c>
      <c r="AK13" s="608">
        <v>2004</v>
      </c>
      <c r="AL13" s="588"/>
      <c r="AM13" s="609" t="s">
        <v>2297</v>
      </c>
      <c r="AN13" s="610" t="s">
        <v>2298</v>
      </c>
      <c r="AO13" s="252"/>
      <c r="AP13" s="252"/>
      <c r="AQ13" s="252"/>
      <c r="AR13" s="252"/>
      <c r="AS13" s="252"/>
      <c r="AT13" s="252"/>
      <c r="AU13" s="588" t="s">
        <v>2358</v>
      </c>
      <c r="AV13" s="611" t="s">
        <v>1038</v>
      </c>
      <c r="BH13" s="252"/>
      <c r="BS13" s="252"/>
      <c r="BT13" s="252"/>
      <c r="BU13" s="252"/>
      <c r="BV13" s="252"/>
      <c r="BW13" s="252"/>
      <c r="BX13" s="252"/>
      <c r="BY13" s="252"/>
      <c r="BZ13" s="252"/>
      <c r="CA13" s="252"/>
      <c r="CB13" s="252"/>
    </row>
    <row r="14" spans="1:100" ht="15">
      <c r="A14" s="252"/>
      <c r="B14" s="252"/>
      <c r="C14" s="358"/>
      <c r="D14" s="358"/>
      <c r="E14" s="541"/>
      <c r="F14" s="541"/>
      <c r="G14" s="358"/>
      <c r="H14" s="252"/>
      <c r="I14" s="645" t="s">
        <v>2459</v>
      </c>
      <c r="J14" s="476">
        <f>AVERAGE(J5:J12)</f>
        <v>45.375</v>
      </c>
      <c r="K14" s="476">
        <f t="shared" ref="K14:N14" si="5">AVERAGE(K5:K12)</f>
        <v>19.375</v>
      </c>
      <c r="L14" s="476">
        <f t="shared" si="5"/>
        <v>14.875</v>
      </c>
      <c r="M14" s="476">
        <f t="shared" si="5"/>
        <v>11.375</v>
      </c>
      <c r="N14" s="476">
        <f t="shared" si="5"/>
        <v>5.625</v>
      </c>
      <c r="O14" s="588"/>
      <c r="P14" s="252"/>
      <c r="Q14" s="252"/>
      <c r="R14" s="252"/>
      <c r="S14" s="252"/>
      <c r="T14" s="252"/>
      <c r="U14" s="273"/>
      <c r="V14" s="252"/>
      <c r="W14" s="252"/>
      <c r="X14" s="252"/>
      <c r="Y14" s="252"/>
      <c r="Z14" s="252"/>
      <c r="AA14" s="252"/>
      <c r="AB14" s="252"/>
      <c r="AC14" s="612" t="s">
        <v>1452</v>
      </c>
      <c r="AD14" s="613">
        <v>19</v>
      </c>
      <c r="AE14" s="614">
        <v>15</v>
      </c>
      <c r="AF14" s="614">
        <v>5</v>
      </c>
      <c r="AG14" s="614">
        <v>21</v>
      </c>
      <c r="AH14" s="614">
        <v>10</v>
      </c>
      <c r="AI14" s="614">
        <v>8</v>
      </c>
      <c r="AJ14" s="614">
        <v>22</v>
      </c>
      <c r="AK14" s="615">
        <v>9</v>
      </c>
      <c r="AL14" s="588"/>
      <c r="AM14" s="616">
        <f>SUM(AH14:AK14)</f>
        <v>49</v>
      </c>
      <c r="AN14" s="615">
        <f>SUM(AD14:AG14)</f>
        <v>60</v>
      </c>
      <c r="AO14" s="252"/>
      <c r="AP14" s="252"/>
      <c r="AQ14" s="252"/>
      <c r="AR14" s="252"/>
      <c r="AS14" s="252"/>
      <c r="AT14" s="252"/>
      <c r="AU14" s="617" t="s">
        <v>2316</v>
      </c>
      <c r="AV14" s="618" t="s">
        <v>1504</v>
      </c>
      <c r="AW14" s="618" t="s">
        <v>1286</v>
      </c>
      <c r="AX14" s="618" t="s">
        <v>1261</v>
      </c>
      <c r="AY14" s="618" t="s">
        <v>1260</v>
      </c>
      <c r="AZ14" s="618" t="s">
        <v>1693</v>
      </c>
      <c r="BA14" s="252"/>
      <c r="BB14" s="8"/>
      <c r="BC14" s="252"/>
      <c r="BD14" s="252"/>
      <c r="BH14" s="252"/>
      <c r="BS14" s="252"/>
      <c r="BT14" s="252"/>
      <c r="BU14" s="252"/>
      <c r="BV14" s="252"/>
      <c r="BW14" s="252"/>
      <c r="BX14" s="252"/>
      <c r="BY14" s="252"/>
      <c r="BZ14" s="252"/>
      <c r="CA14" s="252"/>
      <c r="CB14" s="252"/>
    </row>
    <row r="15" spans="1:100" ht="15">
      <c r="A15" s="252"/>
      <c r="B15" s="252"/>
      <c r="C15" t="s">
        <v>2409</v>
      </c>
      <c r="H15" s="252"/>
      <c r="K15" s="252"/>
      <c r="L15" s="252"/>
      <c r="M15" s="252"/>
      <c r="N15" s="252"/>
      <c r="O15" s="588"/>
      <c r="P15" s="252"/>
      <c r="Q15" s="252"/>
      <c r="R15" s="252"/>
      <c r="S15" s="252"/>
      <c r="T15" s="252"/>
      <c r="U15" s="273" t="s">
        <v>2428</v>
      </c>
      <c r="V15" s="252"/>
      <c r="W15" s="252"/>
      <c r="X15" s="252"/>
      <c r="Y15" s="252"/>
      <c r="Z15" s="252"/>
      <c r="AA15" s="252"/>
      <c r="AB15" s="252"/>
      <c r="AC15" s="612" t="s">
        <v>546</v>
      </c>
      <c r="AD15" s="595">
        <v>28</v>
      </c>
      <c r="AE15" s="588">
        <v>15</v>
      </c>
      <c r="AF15" s="588">
        <v>22</v>
      </c>
      <c r="AG15" s="588">
        <v>20</v>
      </c>
      <c r="AH15" s="588">
        <v>16</v>
      </c>
      <c r="AI15" s="588">
        <v>21</v>
      </c>
      <c r="AJ15" s="588">
        <v>12</v>
      </c>
      <c r="AK15" s="596">
        <v>6</v>
      </c>
      <c r="AL15" s="588"/>
      <c r="AM15" s="619">
        <f>SUM(AH15:AK15)</f>
        <v>55</v>
      </c>
      <c r="AN15" s="596">
        <f>SUM(AD15:AG15)</f>
        <v>85</v>
      </c>
      <c r="AO15" s="252"/>
      <c r="AP15" s="252"/>
      <c r="AQ15" s="252"/>
      <c r="AR15" s="252"/>
      <c r="AS15" s="252"/>
      <c r="AT15" s="252"/>
      <c r="AU15" s="620">
        <v>2011</v>
      </c>
      <c r="AV15" s="538">
        <v>38540609</v>
      </c>
      <c r="AW15" s="538">
        <v>3280863</v>
      </c>
      <c r="AX15" s="538">
        <v>10841203</v>
      </c>
      <c r="AY15" s="538">
        <v>6738705</v>
      </c>
      <c r="AZ15" s="539">
        <v>9376983</v>
      </c>
      <c r="BA15" s="252"/>
      <c r="BB15" s="641"/>
      <c r="BC15" s="252"/>
      <c r="BD15" s="252"/>
      <c r="BH15" s="252"/>
      <c r="BS15" s="252"/>
      <c r="BT15" s="252"/>
      <c r="BU15" s="252"/>
      <c r="BV15" s="252"/>
      <c r="BW15" s="252"/>
      <c r="BX15" s="252"/>
      <c r="BY15" s="252"/>
      <c r="BZ15" s="252"/>
      <c r="CA15" s="252"/>
      <c r="CB15" s="252"/>
    </row>
    <row r="16" spans="1:100" ht="15">
      <c r="A16" s="252"/>
      <c r="B16" s="252"/>
      <c r="C16" s="174" t="s">
        <v>1505</v>
      </c>
      <c r="D16" s="173" t="s">
        <v>2217</v>
      </c>
      <c r="E16" s="172" t="s">
        <v>113</v>
      </c>
      <c r="F16" s="173" t="s">
        <v>43</v>
      </c>
      <c r="G16" s="173" t="s">
        <v>44</v>
      </c>
      <c r="H16" s="252"/>
      <c r="I16" s="621" t="s">
        <v>2297</v>
      </c>
      <c r="J16" s="476">
        <f>SUM(J5:J8)</f>
        <v>157</v>
      </c>
      <c r="K16" s="476">
        <f>SUM(K5:K8)</f>
        <v>70</v>
      </c>
      <c r="L16" s="476">
        <f t="shared" ref="L16:N16" si="6">SUM(L5:L8)</f>
        <v>49</v>
      </c>
      <c r="M16" s="476">
        <f t="shared" si="6"/>
        <v>41</v>
      </c>
      <c r="N16" s="622">
        <f t="shared" si="6"/>
        <v>24</v>
      </c>
      <c r="O16" s="588"/>
      <c r="P16" s="252"/>
      <c r="Q16" s="252"/>
      <c r="R16" s="252"/>
      <c r="S16" s="252"/>
      <c r="T16" s="252"/>
      <c r="U16" s="576">
        <v>2011</v>
      </c>
      <c r="V16" s="623" t="s">
        <v>1504</v>
      </c>
      <c r="W16" s="623" t="s">
        <v>1261</v>
      </c>
      <c r="X16" s="623" t="s">
        <v>1260</v>
      </c>
      <c r="Y16" s="623" t="s">
        <v>1278</v>
      </c>
      <c r="Z16" s="623" t="s">
        <v>1286</v>
      </c>
      <c r="AA16" s="252"/>
      <c r="AB16" s="252"/>
      <c r="AC16" s="612" t="s">
        <v>1736</v>
      </c>
      <c r="AD16" s="595">
        <v>57</v>
      </c>
      <c r="AE16" s="588">
        <v>87</v>
      </c>
      <c r="AF16" s="588">
        <v>55</v>
      </c>
      <c r="AG16" s="588">
        <v>58</v>
      </c>
      <c r="AH16" s="588">
        <v>61</v>
      </c>
      <c r="AI16" s="588">
        <v>57</v>
      </c>
      <c r="AJ16" s="588">
        <v>48</v>
      </c>
      <c r="AK16" s="596">
        <v>32</v>
      </c>
      <c r="AL16" s="588"/>
      <c r="AM16" s="619">
        <f>SUM(AH16:AK16)</f>
        <v>198</v>
      </c>
      <c r="AN16" s="596">
        <f>SUM(AD16:AG16)</f>
        <v>257</v>
      </c>
      <c r="AO16" s="252"/>
      <c r="AP16" s="252"/>
      <c r="AQ16" s="252"/>
      <c r="AR16" s="252"/>
      <c r="AS16" s="252"/>
      <c r="AT16" s="252"/>
      <c r="AU16" s="620">
        <v>2010</v>
      </c>
      <c r="AV16" s="538">
        <v>23147010</v>
      </c>
      <c r="AW16" s="538">
        <v>176207455</v>
      </c>
      <c r="AX16" s="538">
        <v>101788962</v>
      </c>
      <c r="AY16" s="538">
        <v>3823249</v>
      </c>
      <c r="AZ16" s="539">
        <v>689899</v>
      </c>
      <c r="BA16" s="252"/>
      <c r="BB16" s="641"/>
      <c r="BC16" s="252"/>
      <c r="BD16" s="252"/>
      <c r="BH16" s="252"/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52"/>
      <c r="CK16" s="252"/>
      <c r="CL16" s="252"/>
    </row>
    <row r="17" spans="1:93" ht="15">
      <c r="A17" s="252"/>
      <c r="B17" s="658" t="s">
        <v>2215</v>
      </c>
      <c r="C17" s="169">
        <f>AVERAGE(E5:E12)</f>
        <v>19154831.125</v>
      </c>
      <c r="D17" s="170">
        <f>AVERAGE('Analysis-WatSan'!I5:I12)</f>
        <v>7486501.875</v>
      </c>
      <c r="E17" s="170">
        <f>AVERAGE('Analysis-WatSan'!C5:C12)</f>
        <v>1832745.375</v>
      </c>
      <c r="F17" s="170">
        <f>AVERAGE('Analysis-WatSan'!F5:F12)</f>
        <v>1694991.25</v>
      </c>
      <c r="G17" s="171">
        <f>AVERAGE('Analysis-WatSan'!G5:G12)</f>
        <v>530243.875</v>
      </c>
      <c r="H17" s="252"/>
      <c r="I17" s="621" t="s">
        <v>2298</v>
      </c>
      <c r="J17" s="476">
        <f>SUM(J9:J12)</f>
        <v>206</v>
      </c>
      <c r="K17" s="476">
        <f>SUM(K9:K12)</f>
        <v>85</v>
      </c>
      <c r="L17" s="476">
        <f>SUM(L9:L12)</f>
        <v>70</v>
      </c>
      <c r="M17" s="476">
        <f t="shared" ref="M17:N17" si="7">SUM(M9:M12)</f>
        <v>50</v>
      </c>
      <c r="N17" s="622">
        <f t="shared" si="7"/>
        <v>21</v>
      </c>
      <c r="O17" s="588"/>
      <c r="P17" s="252"/>
      <c r="Q17" s="252"/>
      <c r="R17" s="252"/>
      <c r="S17" s="252"/>
      <c r="T17" s="252"/>
      <c r="U17" s="624" t="s">
        <v>1694</v>
      </c>
      <c r="V17" s="252">
        <f t="shared" ref="V17:AA17" si="8">V11/V10</f>
        <v>0.24242424242424243</v>
      </c>
      <c r="W17" s="252">
        <f t="shared" si="8"/>
        <v>0.5</v>
      </c>
      <c r="X17" s="252">
        <f t="shared" si="8"/>
        <v>0.5</v>
      </c>
      <c r="Y17" s="252">
        <f t="shared" si="8"/>
        <v>0.2</v>
      </c>
      <c r="Z17" s="252">
        <f t="shared" si="8"/>
        <v>0.5625</v>
      </c>
      <c r="AA17" s="252">
        <f t="shared" si="8"/>
        <v>0.34234234234234234</v>
      </c>
      <c r="AB17" s="252"/>
      <c r="AC17" s="612" t="s">
        <v>1737</v>
      </c>
      <c r="AD17" s="595">
        <v>4</v>
      </c>
      <c r="AE17" s="588">
        <v>7</v>
      </c>
      <c r="AF17" s="588">
        <v>9</v>
      </c>
      <c r="AG17" s="588">
        <v>2</v>
      </c>
      <c r="AH17" s="588">
        <v>4</v>
      </c>
      <c r="AI17" s="588">
        <v>4</v>
      </c>
      <c r="AJ17" s="588">
        <v>9</v>
      </c>
      <c r="AK17" s="596">
        <v>4</v>
      </c>
      <c r="AL17" s="588"/>
      <c r="AM17" s="619">
        <f>SUM(AH17:AK17)</f>
        <v>21</v>
      </c>
      <c r="AN17" s="596">
        <f>SUM(AD17:AG17)</f>
        <v>22</v>
      </c>
      <c r="AO17" s="252"/>
      <c r="AP17" s="252"/>
      <c r="AQ17" s="252"/>
      <c r="AR17" s="252"/>
      <c r="AS17" s="252"/>
      <c r="AT17" s="252"/>
      <c r="AU17" s="620">
        <v>2009</v>
      </c>
      <c r="AV17" s="538">
        <v>13967891</v>
      </c>
      <c r="AW17" s="538">
        <v>4000862</v>
      </c>
      <c r="AX17" s="538">
        <v>33035879</v>
      </c>
      <c r="AY17" s="538">
        <v>2577313</v>
      </c>
      <c r="AZ17" s="539">
        <v>1413185</v>
      </c>
      <c r="BA17" s="252"/>
      <c r="BB17" s="641"/>
      <c r="BC17" s="252"/>
      <c r="BD17" s="252"/>
      <c r="BE17" s="252" t="s">
        <v>2389</v>
      </c>
      <c r="BF17" s="252"/>
      <c r="BH17" s="252"/>
      <c r="BI17" s="252"/>
      <c r="BJ17" s="252"/>
      <c r="BK17" s="252"/>
      <c r="BL17" s="252"/>
      <c r="BM17" s="252"/>
      <c r="BN17" s="252"/>
      <c r="BO17" s="252"/>
      <c r="BP17" s="252"/>
      <c r="BQ17" s="252"/>
      <c r="BR17" s="252"/>
      <c r="BS17" s="252"/>
      <c r="BT17" s="252"/>
      <c r="BU17" s="252"/>
      <c r="BV17" s="252"/>
      <c r="BW17" s="252"/>
      <c r="BX17" s="252"/>
      <c r="BY17" s="252"/>
      <c r="BZ17" s="252"/>
      <c r="CA17" s="252"/>
      <c r="CB17" s="252"/>
      <c r="CC17" s="252"/>
      <c r="CD17" s="252"/>
      <c r="CE17" s="252"/>
      <c r="CF17" s="252"/>
      <c r="CG17" s="252"/>
      <c r="CH17" s="252"/>
      <c r="CI17" s="252"/>
      <c r="CJ17" s="252"/>
      <c r="CK17" s="252"/>
      <c r="CL17" s="252"/>
    </row>
    <row r="18" spans="1:93" ht="15">
      <c r="A18" s="252"/>
      <c r="B18" s="658" t="s">
        <v>2216</v>
      </c>
      <c r="C18" s="166">
        <f>AVERAGE(F5:F12)</f>
        <v>231615751.97769994</v>
      </c>
      <c r="D18" s="167">
        <f>AVERAGE('Analysis-WatSan'!L5:L12)</f>
        <v>14513593.3825</v>
      </c>
      <c r="E18" s="167">
        <f>AVERAGE('Analysis-WatSan'!D5:D12)</f>
        <v>17590819.26125</v>
      </c>
      <c r="F18" s="167"/>
      <c r="G18" s="168"/>
      <c r="H18" s="252"/>
      <c r="I18" s="252"/>
      <c r="J18" s="252"/>
      <c r="K18" s="252"/>
      <c r="L18" s="252"/>
      <c r="M18" s="252"/>
      <c r="N18" s="252"/>
      <c r="O18" s="588"/>
      <c r="P18" s="252"/>
      <c r="Q18" s="252"/>
      <c r="R18" s="252"/>
      <c r="S18" s="252"/>
      <c r="T18" s="252"/>
      <c r="U18" s="624" t="s">
        <v>1695</v>
      </c>
      <c r="V18" s="252">
        <f>V6/V10</f>
        <v>0.36363636363636365</v>
      </c>
      <c r="W18" s="252">
        <f t="shared" ref="W18:AA18" si="9">W6/W10</f>
        <v>0.125</v>
      </c>
      <c r="X18" s="252">
        <f t="shared" si="9"/>
        <v>0</v>
      </c>
      <c r="Y18" s="252">
        <f t="shared" si="9"/>
        <v>0</v>
      </c>
      <c r="Z18" s="252">
        <f t="shared" si="9"/>
        <v>0.125</v>
      </c>
      <c r="AA18" s="252">
        <f t="shared" si="9"/>
        <v>0.25225225225225223</v>
      </c>
      <c r="AB18" s="252"/>
      <c r="AC18" s="612" t="s">
        <v>1520</v>
      </c>
      <c r="AD18" s="595">
        <v>3</v>
      </c>
      <c r="AE18" s="588">
        <v>3</v>
      </c>
      <c r="AF18" s="588">
        <v>5</v>
      </c>
      <c r="AG18" s="588">
        <v>0</v>
      </c>
      <c r="AH18" s="588">
        <v>4</v>
      </c>
      <c r="AI18" s="588">
        <v>4</v>
      </c>
      <c r="AJ18" s="588">
        <v>3</v>
      </c>
      <c r="AK18" s="596">
        <v>3</v>
      </c>
      <c r="AL18" s="588"/>
      <c r="AM18" s="619">
        <f>SUM(AH18:AK18)</f>
        <v>14</v>
      </c>
      <c r="AN18" s="596">
        <f>SUM(AD18:AG18)</f>
        <v>11</v>
      </c>
      <c r="AO18" s="252"/>
      <c r="AP18" s="252"/>
      <c r="AQ18" s="252"/>
      <c r="AR18" s="252"/>
      <c r="AS18" s="252"/>
      <c r="AT18" s="252"/>
      <c r="AU18" s="620">
        <v>2008</v>
      </c>
      <c r="AV18" s="538">
        <v>39647483</v>
      </c>
      <c r="AW18" s="538">
        <v>20779073</v>
      </c>
      <c r="AX18" s="538">
        <v>203743925</v>
      </c>
      <c r="AY18" s="538">
        <v>2936695</v>
      </c>
      <c r="AZ18" s="539">
        <v>4849781</v>
      </c>
      <c r="BA18" s="252"/>
      <c r="BB18" s="641"/>
      <c r="BC18" s="252"/>
      <c r="BD18" s="532" t="s">
        <v>2384</v>
      </c>
      <c r="BE18" s="532" t="s">
        <v>2386</v>
      </c>
      <c r="BF18" s="532" t="s">
        <v>2385</v>
      </c>
      <c r="BH18" s="252"/>
      <c r="BI18" s="252"/>
      <c r="BJ18" s="252"/>
      <c r="BK18" s="252"/>
      <c r="BL18" s="252"/>
      <c r="BM18" s="252"/>
      <c r="BN18" s="252"/>
      <c r="BO18" s="252"/>
      <c r="BP18" s="252"/>
      <c r="BQ18" s="252"/>
      <c r="BR18" s="252"/>
      <c r="BS18" s="252"/>
      <c r="BT18" s="252"/>
      <c r="BU18" s="252"/>
      <c r="BV18" s="252"/>
      <c r="BW18" s="252"/>
      <c r="BX18" s="252"/>
      <c r="BY18" s="252"/>
      <c r="BZ18" s="252"/>
      <c r="CA18" s="252"/>
      <c r="CB18" s="252"/>
      <c r="CC18" s="252"/>
      <c r="CD18" s="252"/>
      <c r="CE18" s="252"/>
      <c r="CF18" s="252"/>
      <c r="CG18" s="252"/>
      <c r="CH18" s="252"/>
      <c r="CI18" s="252"/>
      <c r="CJ18" s="252"/>
      <c r="CK18" s="252"/>
      <c r="CL18" s="252"/>
    </row>
    <row r="19" spans="1:93" ht="15">
      <c r="A19" s="252"/>
      <c r="B19" s="252"/>
      <c r="C19" s="252"/>
      <c r="D19" s="252"/>
      <c r="E19" s="252"/>
      <c r="L19" s="252"/>
      <c r="M19" s="252"/>
      <c r="N19" s="252"/>
      <c r="O19" s="252"/>
      <c r="P19" s="252"/>
      <c r="Q19" s="252"/>
      <c r="R19" s="252"/>
      <c r="S19" s="252"/>
      <c r="T19" s="252"/>
      <c r="U19" s="624" t="s">
        <v>1696</v>
      </c>
      <c r="V19" s="252">
        <f>V5/V10</f>
        <v>0.21212121212121213</v>
      </c>
      <c r="W19" s="252">
        <f>W5/W10</f>
        <v>0</v>
      </c>
      <c r="X19" s="252">
        <f>X5/X10</f>
        <v>0.125</v>
      </c>
      <c r="Y19" s="252">
        <f>Y5/Y10</f>
        <v>0.8</v>
      </c>
      <c r="Z19" s="252">
        <f>Z5/Z10</f>
        <v>0</v>
      </c>
      <c r="AA19" s="252"/>
      <c r="AB19" s="252"/>
      <c r="AC19" s="618" t="s">
        <v>1545</v>
      </c>
      <c r="AD19" s="595">
        <f t="shared" ref="AD19:AF19" si="10">SUM(AD14:AD18)</f>
        <v>111</v>
      </c>
      <c r="AE19" s="588">
        <f t="shared" si="10"/>
        <v>127</v>
      </c>
      <c r="AF19" s="588">
        <f t="shared" si="10"/>
        <v>96</v>
      </c>
      <c r="AG19" s="588">
        <f>SUM(AG14:AG18)</f>
        <v>101</v>
      </c>
      <c r="AH19" s="588">
        <f>SUM(AH14:AH18)</f>
        <v>95</v>
      </c>
      <c r="AI19" s="588">
        <f>SUM(AI14:AI18)</f>
        <v>94</v>
      </c>
      <c r="AJ19" s="588">
        <f>SUM(AJ14:AJ18)</f>
        <v>94</v>
      </c>
      <c r="AK19" s="596">
        <f>SUM(AK14:AK18)</f>
        <v>54</v>
      </c>
      <c r="AL19" s="588"/>
      <c r="AM19" s="619"/>
      <c r="AN19" s="596"/>
      <c r="AO19" s="252"/>
      <c r="AP19" s="252"/>
      <c r="AQ19" s="252"/>
      <c r="AR19" s="252"/>
      <c r="AS19" s="252"/>
      <c r="AT19" s="252"/>
      <c r="AU19" s="620">
        <v>2007</v>
      </c>
      <c r="AV19" s="538">
        <v>39115807</v>
      </c>
      <c r="AW19" s="538">
        <v>20437943</v>
      </c>
      <c r="AX19" s="538">
        <v>44239887</v>
      </c>
      <c r="AY19" s="538">
        <v>754684</v>
      </c>
      <c r="AZ19" s="539">
        <v>20137151</v>
      </c>
      <c r="BA19" s="252"/>
      <c r="BB19" s="252"/>
      <c r="BC19" s="252"/>
      <c r="BD19" s="612" t="s">
        <v>1452</v>
      </c>
      <c r="BE19" s="588">
        <v>27</v>
      </c>
      <c r="BF19" s="596">
        <v>28</v>
      </c>
      <c r="BH19" s="252"/>
      <c r="BI19" s="252"/>
      <c r="BJ19" s="252"/>
      <c r="BK19" s="252"/>
      <c r="BL19" s="252"/>
      <c r="BM19" s="252"/>
      <c r="BN19" s="252"/>
      <c r="BO19" s="252"/>
      <c r="BP19" s="252"/>
      <c r="BQ19" s="252"/>
      <c r="BR19" s="252"/>
      <c r="BS19" s="252"/>
      <c r="BT19" s="252"/>
      <c r="BU19" s="252"/>
      <c r="BV19" s="252"/>
      <c r="BW19" s="252"/>
      <c r="BX19" s="252"/>
      <c r="BY19" s="252"/>
      <c r="BZ19" s="252"/>
      <c r="CA19" s="252"/>
      <c r="CB19" s="252"/>
      <c r="CC19" s="252"/>
      <c r="CD19" s="252"/>
      <c r="CE19" s="252"/>
      <c r="CF19" s="252"/>
      <c r="CG19" s="252"/>
      <c r="CH19" s="252"/>
      <c r="CI19" s="252"/>
      <c r="CJ19" s="252"/>
      <c r="CK19" s="252"/>
      <c r="CL19" s="252"/>
    </row>
    <row r="20" spans="1:93" ht="15">
      <c r="A20" s="252"/>
      <c r="B20" s="252"/>
      <c r="C20" s="252" t="s">
        <v>2394</v>
      </c>
      <c r="D20" s="252"/>
      <c r="E20" s="252"/>
      <c r="L20" s="252"/>
      <c r="M20" s="252"/>
      <c r="N20" s="252"/>
      <c r="O20" s="252"/>
      <c r="P20" s="252"/>
      <c r="Q20" s="252"/>
      <c r="R20" s="252"/>
      <c r="S20" s="252"/>
      <c r="T20" s="252"/>
      <c r="U20" s="624" t="s">
        <v>1697</v>
      </c>
      <c r="V20" s="252">
        <f>10/V10</f>
        <v>0.15151515151515152</v>
      </c>
      <c r="W20" s="252">
        <f>3/W10</f>
        <v>0.1875</v>
      </c>
      <c r="X20" s="252">
        <f>1/X10</f>
        <v>0.125</v>
      </c>
      <c r="Y20" s="252">
        <f>0/Y10</f>
        <v>0</v>
      </c>
      <c r="Z20" s="252">
        <f>5/Z10</f>
        <v>0.3125</v>
      </c>
      <c r="AA20" s="252"/>
      <c r="AB20" s="252"/>
      <c r="AC20" s="612" t="s">
        <v>5</v>
      </c>
      <c r="AD20" s="595">
        <v>38</v>
      </c>
      <c r="AE20" s="588">
        <v>66</v>
      </c>
      <c r="AF20" s="588">
        <v>37</v>
      </c>
      <c r="AG20" s="588">
        <v>48</v>
      </c>
      <c r="AH20" s="588">
        <v>48</v>
      </c>
      <c r="AI20" s="588">
        <v>50</v>
      </c>
      <c r="AJ20" s="588">
        <v>27</v>
      </c>
      <c r="AK20" s="596">
        <v>21</v>
      </c>
      <c r="AL20" s="588"/>
      <c r="AM20" s="619">
        <f>SUM(AH20:AK20)</f>
        <v>146</v>
      </c>
      <c r="AN20" s="596">
        <f>SUM(AG20,AS11,AJ11,AA11)</f>
        <v>189</v>
      </c>
      <c r="AO20" s="252"/>
      <c r="AP20" s="252"/>
      <c r="AQ20" s="252"/>
      <c r="AR20" s="252"/>
      <c r="AS20" s="252"/>
      <c r="AT20" s="252"/>
      <c r="AU20" s="620">
        <v>2006</v>
      </c>
      <c r="AV20" s="538">
        <v>25954766</v>
      </c>
      <c r="AW20" s="538">
        <v>4065589</v>
      </c>
      <c r="AX20" s="538">
        <v>44685569</v>
      </c>
      <c r="AY20" s="538">
        <v>1395923</v>
      </c>
      <c r="AZ20" s="539">
        <v>9630305</v>
      </c>
      <c r="BA20" s="252"/>
      <c r="BB20" s="252"/>
      <c r="BC20" s="252"/>
      <c r="BD20" s="612" t="s">
        <v>546</v>
      </c>
      <c r="BE20" s="588">
        <v>9</v>
      </c>
      <c r="BF20" s="596">
        <v>89</v>
      </c>
      <c r="BH20" s="252"/>
      <c r="BI20" s="252"/>
      <c r="BJ20" s="252"/>
      <c r="BK20" s="252"/>
      <c r="BL20" s="252"/>
      <c r="BM20" s="252"/>
      <c r="BN20" s="252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K20" s="252"/>
      <c r="CL20" s="252"/>
    </row>
    <row r="21" spans="1:93" ht="15">
      <c r="A21" s="252"/>
      <c r="B21" s="252"/>
      <c r="C21" s="628">
        <v>2011</v>
      </c>
      <c r="D21" s="629">
        <v>86.36</v>
      </c>
      <c r="E21" s="252"/>
      <c r="L21" s="252"/>
      <c r="M21" s="252"/>
      <c r="N21" s="252"/>
      <c r="T21" s="252"/>
      <c r="U21" s="576">
        <v>2010</v>
      </c>
      <c r="V21" s="623" t="s">
        <v>1504</v>
      </c>
      <c r="W21" s="623" t="s">
        <v>1261</v>
      </c>
      <c r="X21" s="623" t="s">
        <v>1260</v>
      </c>
      <c r="Y21" s="623" t="s">
        <v>1278</v>
      </c>
      <c r="Z21" s="623" t="s">
        <v>1286</v>
      </c>
      <c r="AA21" s="252"/>
      <c r="AB21" s="252"/>
      <c r="AC21" s="612" t="s">
        <v>1738</v>
      </c>
      <c r="AD21" s="605">
        <v>19</v>
      </c>
      <c r="AE21" s="606">
        <v>21</v>
      </c>
      <c r="AF21" s="606">
        <v>18</v>
      </c>
      <c r="AG21" s="606">
        <v>10</v>
      </c>
      <c r="AH21" s="606">
        <v>13</v>
      </c>
      <c r="AI21" s="606">
        <v>7</v>
      </c>
      <c r="AJ21" s="606">
        <v>21</v>
      </c>
      <c r="AK21" s="607">
        <v>11</v>
      </c>
      <c r="AL21" s="588"/>
      <c r="AM21" s="549">
        <f>SUM(AH21:AK21)</f>
        <v>52</v>
      </c>
      <c r="AN21" s="607">
        <f>SUM(AD21:AG21)</f>
        <v>68</v>
      </c>
      <c r="AO21" s="252"/>
      <c r="AP21" s="252"/>
      <c r="AQ21" s="252"/>
      <c r="AR21" s="252"/>
      <c r="AS21" s="252"/>
      <c r="AT21" s="252"/>
      <c r="AU21" s="620">
        <v>2005</v>
      </c>
      <c r="AV21" s="538">
        <v>48206834</v>
      </c>
      <c r="AW21" s="538">
        <v>12695590</v>
      </c>
      <c r="AX21" s="538">
        <v>158785666</v>
      </c>
      <c r="AY21" s="538">
        <v>2323478</v>
      </c>
      <c r="AZ21" s="539">
        <v>3807839</v>
      </c>
      <c r="BA21" s="252"/>
      <c r="BB21" s="252"/>
      <c r="BC21" s="252"/>
      <c r="BD21" s="612" t="s">
        <v>1736</v>
      </c>
      <c r="BE21" s="588">
        <v>149</v>
      </c>
      <c r="BF21" s="596">
        <v>85</v>
      </c>
      <c r="BG21" s="252"/>
      <c r="BH21" s="252"/>
      <c r="BI21" s="252"/>
      <c r="BJ21" s="252"/>
      <c r="BK21" s="252"/>
      <c r="BL21" s="252"/>
      <c r="BM21" s="252"/>
      <c r="BN21" s="252"/>
      <c r="BO21" s="252"/>
      <c r="BP21" s="252"/>
      <c r="BQ21" s="252"/>
      <c r="BR21" s="252"/>
      <c r="BS21" s="252"/>
      <c r="BT21" s="252"/>
      <c r="BU21" s="252"/>
      <c r="BV21" s="252"/>
      <c r="BW21" s="252"/>
      <c r="BX21" s="252"/>
      <c r="BY21" s="252"/>
      <c r="BZ21" s="252"/>
      <c r="CA21" s="252"/>
      <c r="CB21" s="252"/>
      <c r="CC21" s="252"/>
      <c r="CD21" s="252"/>
      <c r="CE21" s="252"/>
      <c r="CF21" s="252"/>
      <c r="CG21" s="252"/>
      <c r="CH21" s="252"/>
      <c r="CI21" s="252"/>
      <c r="CJ21" s="252"/>
      <c r="CK21" s="252"/>
      <c r="CL21" s="252"/>
    </row>
    <row r="22" spans="1:93" ht="15">
      <c r="A22" s="252"/>
      <c r="B22" s="252"/>
      <c r="C22" s="566">
        <v>2010</v>
      </c>
      <c r="D22" s="619">
        <v>85.55</v>
      </c>
      <c r="E22" s="252"/>
      <c r="L22" s="252"/>
      <c r="M22" s="252"/>
      <c r="N22" s="252"/>
      <c r="T22" s="252"/>
      <c r="U22" s="624" t="s">
        <v>1694</v>
      </c>
      <c r="V22" s="252">
        <f>AE11/J11</f>
        <v>0.46</v>
      </c>
      <c r="W22" s="252">
        <f>AF11/L11</f>
        <v>0.45833333333333331</v>
      </c>
      <c r="X22" s="252">
        <f>AG11/M11</f>
        <v>0.66666666666666663</v>
      </c>
      <c r="Y22" s="252">
        <f>AH11/N11</f>
        <v>0.66666666666666663</v>
      </c>
      <c r="Z22" s="252">
        <f>AI11/K11</f>
        <v>0.5</v>
      </c>
      <c r="AA22" s="252" t="e">
        <f>AJ11/O11</f>
        <v>#DIV/0!</v>
      </c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620">
        <v>2004</v>
      </c>
      <c r="AV22" s="538">
        <v>10169711</v>
      </c>
      <c r="AW22" s="538">
        <v>16187762</v>
      </c>
      <c r="AX22" s="538">
        <v>683345671</v>
      </c>
      <c r="AY22" s="538">
        <v>3015147</v>
      </c>
      <c r="AZ22" s="539">
        <v>2583669</v>
      </c>
      <c r="BA22" s="252"/>
      <c r="BB22" s="252"/>
      <c r="BC22" s="252"/>
      <c r="BD22" s="612" t="s">
        <v>1737</v>
      </c>
      <c r="BE22" s="588">
        <v>13</v>
      </c>
      <c r="BF22" s="596">
        <v>12</v>
      </c>
      <c r="BG22" s="252"/>
      <c r="BH22" s="252"/>
      <c r="BI22" s="252"/>
      <c r="BJ22" s="252"/>
      <c r="BK22" s="252"/>
      <c r="BL22" s="252"/>
      <c r="BM22" s="252"/>
      <c r="BN22" s="252"/>
      <c r="BO22" s="252"/>
      <c r="BP22" s="252"/>
      <c r="BQ22" s="252"/>
      <c r="BR22" s="252"/>
      <c r="BS22" s="252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D22" s="252"/>
      <c r="CE22" s="252"/>
      <c r="CF22" s="252"/>
      <c r="CG22" s="252"/>
      <c r="CH22" s="252"/>
      <c r="CI22" s="252"/>
      <c r="CJ22" s="252"/>
      <c r="CK22" s="252"/>
      <c r="CL22" s="252"/>
      <c r="CM22" s="252"/>
      <c r="CN22" s="252"/>
      <c r="CO22" s="252"/>
    </row>
    <row r="23" spans="1:93" ht="15">
      <c r="A23" s="252"/>
      <c r="B23" s="252"/>
      <c r="C23" s="566">
        <v>2009</v>
      </c>
      <c r="D23" s="619">
        <v>86.65</v>
      </c>
      <c r="E23" s="252"/>
      <c r="L23" s="252"/>
      <c r="M23" s="252"/>
      <c r="N23" s="252"/>
      <c r="T23" s="252"/>
      <c r="U23" s="624" t="s">
        <v>1695</v>
      </c>
      <c r="V23" s="252">
        <f>AE6/J11</f>
        <v>0.2</v>
      </c>
      <c r="W23" s="252">
        <f>AF6/L11</f>
        <v>4.1666666666666664E-2</v>
      </c>
      <c r="X23" s="252">
        <f>AG6/M11</f>
        <v>8.3333333333333329E-2</v>
      </c>
      <c r="Y23" s="252">
        <f>AH6/N11</f>
        <v>0</v>
      </c>
      <c r="Z23" s="252">
        <f>AI6/K11</f>
        <v>8.3333333333333329E-2</v>
      </c>
      <c r="AA23" s="252" t="e">
        <f>AJ6/O11</f>
        <v>#DIV/0!</v>
      </c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620" t="s">
        <v>2214</v>
      </c>
      <c r="AV23" s="543">
        <f>SUM(AV15:AV22)</f>
        <v>238750111</v>
      </c>
      <c r="AW23" s="543">
        <f t="shared" ref="AW23:AZ23" si="11">SUM(AW15:AW22)</f>
        <v>257655137</v>
      </c>
      <c r="AX23" s="543">
        <f t="shared" si="11"/>
        <v>1280466762</v>
      </c>
      <c r="AY23" s="543">
        <f t="shared" si="11"/>
        <v>23565194</v>
      </c>
      <c r="AZ23" s="544">
        <f t="shared" si="11"/>
        <v>52488812</v>
      </c>
      <c r="BA23" s="252"/>
      <c r="BB23" s="252"/>
      <c r="BC23" s="252"/>
      <c r="BD23" s="612" t="s">
        <v>1520</v>
      </c>
      <c r="BE23" s="588">
        <v>19</v>
      </c>
      <c r="BF23" s="596">
        <v>3</v>
      </c>
      <c r="BG23" s="252"/>
      <c r="BH23" s="252"/>
      <c r="BI23" s="252"/>
      <c r="BJ23" s="252"/>
      <c r="BK23" s="252"/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</row>
    <row r="24" spans="1:93" ht="15">
      <c r="A24" s="252"/>
      <c r="B24" s="252"/>
      <c r="C24" s="566">
        <v>2008</v>
      </c>
      <c r="D24" s="619">
        <v>85.51</v>
      </c>
      <c r="E24" s="252"/>
      <c r="F24" s="252"/>
      <c r="G24" s="269"/>
      <c r="H24" s="252"/>
      <c r="I24" s="252"/>
      <c r="J24" s="252"/>
      <c r="K24" s="252"/>
      <c r="L24" s="252"/>
      <c r="M24" s="252"/>
      <c r="N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1002" t="s">
        <v>2515</v>
      </c>
      <c r="AV24" s="1003">
        <f>SUM(AV15:AV21)</f>
        <v>228580400</v>
      </c>
      <c r="AW24" s="1004">
        <f>SUM(AW15:AW21)</f>
        <v>241467375</v>
      </c>
      <c r="AX24" s="1004">
        <f>SUM(AX15:AX21)</f>
        <v>597121091</v>
      </c>
      <c r="AY24" s="1004">
        <f t="shared" ref="AY24:AZ24" si="12">SUM(AY15:AY21)</f>
        <v>20550047</v>
      </c>
      <c r="AZ24" s="1005">
        <f t="shared" si="12"/>
        <v>49905143</v>
      </c>
      <c r="BA24" s="252"/>
      <c r="BB24" s="252"/>
      <c r="BC24" s="252"/>
      <c r="BD24" s="618" t="s">
        <v>1545</v>
      </c>
      <c r="BE24" s="588" t="s">
        <v>2387</v>
      </c>
      <c r="BF24" s="596" t="s">
        <v>2388</v>
      </c>
      <c r="BG24" s="252"/>
      <c r="BH24" s="252"/>
      <c r="BI24" s="252"/>
      <c r="BJ24" s="252"/>
      <c r="BK24" s="252"/>
      <c r="BL24" s="252"/>
      <c r="BM24" s="252"/>
      <c r="BN24" s="252"/>
      <c r="BO24" s="252"/>
      <c r="BP24" s="252"/>
      <c r="BQ24" s="252"/>
      <c r="BR24" s="252"/>
      <c r="BS24" s="252"/>
      <c r="BT24" s="252"/>
      <c r="BU24" s="252"/>
      <c r="BV24" s="252"/>
      <c r="BW24" s="252"/>
      <c r="BX24" s="252"/>
      <c r="BY24" s="252"/>
      <c r="BZ24" s="252"/>
      <c r="CA24" s="252"/>
      <c r="CB24" s="252"/>
      <c r="CC24" s="252"/>
      <c r="CD24" s="252"/>
      <c r="CE24" s="252"/>
      <c r="CF24" s="252"/>
      <c r="CG24" s="252"/>
      <c r="CH24" s="252"/>
      <c r="CI24" s="252"/>
      <c r="CJ24" s="252"/>
      <c r="CK24" s="252"/>
      <c r="CL24" s="252"/>
      <c r="CM24" s="252"/>
      <c r="CN24" s="252"/>
      <c r="CO24" s="252"/>
    </row>
    <row r="25" spans="1:93" ht="15">
      <c r="A25" s="252"/>
      <c r="B25" s="252"/>
      <c r="C25" s="566">
        <v>2007</v>
      </c>
      <c r="D25" s="619">
        <v>87.58</v>
      </c>
      <c r="E25" s="252"/>
      <c r="F25" s="588"/>
      <c r="G25" s="625" t="s">
        <v>1504</v>
      </c>
      <c r="H25" s="626" t="s">
        <v>1286</v>
      </c>
      <c r="I25" s="626" t="s">
        <v>1261</v>
      </c>
      <c r="J25" s="626" t="s">
        <v>1260</v>
      </c>
      <c r="K25" s="627" t="s">
        <v>1278</v>
      </c>
      <c r="P25" s="252"/>
      <c r="Q25" s="252"/>
      <c r="R25" s="252"/>
      <c r="S25" s="252"/>
      <c r="T25" s="252"/>
      <c r="U25" s="576">
        <v>2009</v>
      </c>
      <c r="V25" s="623" t="s">
        <v>1504</v>
      </c>
      <c r="W25" s="623" t="s">
        <v>1261</v>
      </c>
      <c r="X25" s="623" t="s">
        <v>1260</v>
      </c>
      <c r="Y25" s="623" t="s">
        <v>1278</v>
      </c>
      <c r="Z25" s="623" t="s">
        <v>1286</v>
      </c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612" t="s">
        <v>5</v>
      </c>
      <c r="BE25" s="606">
        <v>126</v>
      </c>
      <c r="BF25" s="607">
        <v>53</v>
      </c>
      <c r="BG25" s="252"/>
      <c r="BH25" s="252"/>
      <c r="BI25" s="252"/>
      <c r="BJ25" s="252"/>
      <c r="BK25" s="252"/>
      <c r="BL25" s="252"/>
      <c r="BM25" s="252"/>
      <c r="BN25" s="252"/>
      <c r="BO25" s="252"/>
      <c r="BP25" s="252"/>
      <c r="BQ25" s="252"/>
      <c r="BR25" s="252"/>
      <c r="BS25" s="252"/>
      <c r="BT25" s="252"/>
      <c r="BU25" s="252"/>
      <c r="BV25" s="252"/>
      <c r="BW25" s="252"/>
      <c r="BX25" s="252"/>
      <c r="BY25" s="252"/>
      <c r="BZ25" s="252"/>
      <c r="CA25" s="252"/>
      <c r="CB25" s="252"/>
      <c r="CC25" s="252"/>
      <c r="CD25" s="252"/>
      <c r="CE25" s="252"/>
      <c r="CF25" s="252"/>
      <c r="CG25" s="252"/>
      <c r="CH25" s="252"/>
      <c r="CI25" s="252"/>
      <c r="CJ25" s="252"/>
      <c r="CK25" s="252"/>
      <c r="CL25" s="252"/>
      <c r="CM25" s="252"/>
      <c r="CN25" s="252"/>
      <c r="CO25" s="252"/>
    </row>
    <row r="26" spans="1:93" ht="15">
      <c r="A26" s="252"/>
      <c r="B26" s="252"/>
      <c r="C26" s="566">
        <v>2006</v>
      </c>
      <c r="D26" s="619">
        <v>85.4</v>
      </c>
      <c r="E26" s="252"/>
      <c r="F26" s="630" t="s">
        <v>1505</v>
      </c>
      <c r="G26" s="588">
        <v>82.78</v>
      </c>
      <c r="H26" s="588">
        <v>90.18</v>
      </c>
      <c r="I26" s="588">
        <v>89.35</v>
      </c>
      <c r="J26" s="588">
        <v>94.89</v>
      </c>
      <c r="K26" s="596">
        <v>84.47</v>
      </c>
      <c r="P26" s="252"/>
      <c r="Q26" s="252"/>
      <c r="R26" s="252"/>
      <c r="S26" s="252"/>
      <c r="T26" s="252"/>
      <c r="U26" s="624" t="s">
        <v>1694</v>
      </c>
      <c r="V26" s="252">
        <f>AN11/J10</f>
        <v>0.31111111111111112</v>
      </c>
      <c r="W26" s="252">
        <f>AO11/L10</f>
        <v>0.30769230769230771</v>
      </c>
      <c r="X26" s="252">
        <f>AP11/M10</f>
        <v>0.58333333333333337</v>
      </c>
      <c r="Y26" s="252">
        <f>AQ11/N10</f>
        <v>0.66666666666666663</v>
      </c>
      <c r="Z26" s="252">
        <f>AR11/K10</f>
        <v>0.52631578947368418</v>
      </c>
      <c r="AA26" s="252" t="e">
        <f>AS11/O10</f>
        <v>#DIV/0!</v>
      </c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588" t="s">
        <v>2389</v>
      </c>
      <c r="AV26" s="633" t="s">
        <v>1038</v>
      </c>
      <c r="AW26" s="588"/>
      <c r="AX26" s="588"/>
      <c r="AY26" s="588"/>
      <c r="AZ26" s="588"/>
      <c r="BA26" s="252"/>
      <c r="BB26" s="588" t="s">
        <v>2420</v>
      </c>
      <c r="BC26" s="634" t="s">
        <v>1038</v>
      </c>
      <c r="BD26" s="588"/>
      <c r="BE26" s="588"/>
      <c r="BF26" s="588"/>
      <c r="BG26" s="588"/>
      <c r="BH26" s="252"/>
      <c r="BI26" s="252"/>
      <c r="BJ26" s="252"/>
      <c r="BK26" s="252"/>
      <c r="BL26" s="252"/>
      <c r="BM26" s="252"/>
      <c r="BN26" s="252"/>
      <c r="BO26" s="252"/>
      <c r="BP26" s="252"/>
      <c r="BQ26" s="252"/>
      <c r="BR26" s="252"/>
      <c r="BS26" s="252"/>
      <c r="BT26" s="252"/>
      <c r="BU26" s="252"/>
      <c r="BV26" s="252"/>
      <c r="BW26" s="252"/>
      <c r="BX26" s="252"/>
      <c r="BY26" s="252"/>
      <c r="BZ26" s="252"/>
      <c r="CA26" s="252"/>
      <c r="CB26" s="252"/>
      <c r="CC26" s="252"/>
      <c r="CD26" s="252"/>
      <c r="CE26" s="252"/>
      <c r="CF26" s="252"/>
      <c r="CG26" s="252"/>
      <c r="CH26" s="252"/>
      <c r="CI26" s="252"/>
      <c r="CJ26" s="252"/>
      <c r="CK26" s="252"/>
      <c r="CL26" s="252"/>
      <c r="CM26" s="252"/>
      <c r="CN26" s="252"/>
      <c r="CO26" s="252"/>
    </row>
    <row r="27" spans="1:93" ht="15">
      <c r="A27" s="252"/>
      <c r="B27" s="252"/>
      <c r="C27" s="566">
        <v>2005</v>
      </c>
      <c r="D27" s="619">
        <v>81.93</v>
      </c>
      <c r="E27" s="252"/>
      <c r="F27" s="631" t="s">
        <v>2382</v>
      </c>
      <c r="G27" s="588">
        <v>94.77</v>
      </c>
      <c r="H27" s="588">
        <v>91.92</v>
      </c>
      <c r="I27" s="588">
        <v>97.28</v>
      </c>
      <c r="J27" s="588">
        <v>95.26</v>
      </c>
      <c r="K27" s="596">
        <v>99.43</v>
      </c>
      <c r="P27" s="252"/>
      <c r="Q27" s="252"/>
      <c r="R27" s="252"/>
      <c r="S27" s="252"/>
      <c r="T27" s="252"/>
      <c r="U27" s="624" t="s">
        <v>1695</v>
      </c>
      <c r="V27" s="252">
        <f>AN6/J10</f>
        <v>0.33333333333333331</v>
      </c>
      <c r="W27" s="252">
        <f>AO6/L10</f>
        <v>0.23076923076923078</v>
      </c>
      <c r="X27" s="252">
        <f>AP6/M10</f>
        <v>0</v>
      </c>
      <c r="Y27" s="252">
        <f>AQ6/N10</f>
        <v>0</v>
      </c>
      <c r="Z27" s="252">
        <f>AR6/K10</f>
        <v>0.21052631578947367</v>
      </c>
      <c r="AA27" s="252" t="e">
        <f>AS6/O10</f>
        <v>#DIV/0!</v>
      </c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635" t="s">
        <v>2316</v>
      </c>
      <c r="AV27" s="636" t="s">
        <v>1504</v>
      </c>
      <c r="AW27" s="636" t="s">
        <v>1286</v>
      </c>
      <c r="AX27" s="636" t="s">
        <v>1261</v>
      </c>
      <c r="AY27" s="636" t="s">
        <v>1260</v>
      </c>
      <c r="AZ27" s="636" t="s">
        <v>1278</v>
      </c>
      <c r="BA27" s="252"/>
      <c r="BB27" s="637" t="s">
        <v>2316</v>
      </c>
      <c r="BC27" s="638" t="s">
        <v>1504</v>
      </c>
      <c r="BD27" s="638" t="s">
        <v>1286</v>
      </c>
      <c r="BE27" s="638" t="s">
        <v>1261</v>
      </c>
      <c r="BF27" s="638" t="s">
        <v>1260</v>
      </c>
      <c r="BG27" s="638" t="s">
        <v>1693</v>
      </c>
      <c r="BH27" s="252"/>
      <c r="BI27" s="252"/>
      <c r="BJ27" s="252"/>
      <c r="BK27" s="252"/>
      <c r="BL27" s="252"/>
      <c r="BM27" s="252"/>
      <c r="BN27" s="252"/>
      <c r="BO27" s="252"/>
      <c r="BP27" s="252"/>
      <c r="BQ27" s="252"/>
      <c r="BR27" s="252"/>
      <c r="BS27" s="252"/>
      <c r="BT27" s="252"/>
      <c r="BU27" s="252"/>
      <c r="BV27" s="252"/>
      <c r="BW27" s="252"/>
      <c r="BX27" s="252"/>
      <c r="BY27" s="252"/>
      <c r="BZ27" s="252"/>
      <c r="CA27" s="252"/>
      <c r="CB27" s="252"/>
      <c r="CC27" s="252"/>
      <c r="CD27" s="252"/>
      <c r="CE27" s="252"/>
      <c r="CF27" s="252"/>
      <c r="CG27" s="252"/>
      <c r="CH27" s="252"/>
      <c r="CI27" s="252"/>
      <c r="CJ27" s="269"/>
      <c r="CK27" s="252"/>
      <c r="CL27" s="252"/>
      <c r="CM27" s="252"/>
      <c r="CN27" s="252"/>
      <c r="CO27" s="252"/>
    </row>
    <row r="28" spans="1:93" ht="15">
      <c r="A28" s="252"/>
      <c r="B28" s="252"/>
      <c r="C28" s="550">
        <v>2004</v>
      </c>
      <c r="D28" s="549">
        <v>85.25</v>
      </c>
      <c r="E28" s="252"/>
      <c r="F28" s="632" t="s">
        <v>2383</v>
      </c>
      <c r="G28" s="606">
        <v>55.19</v>
      </c>
      <c r="H28" s="606">
        <v>87.55</v>
      </c>
      <c r="I28" s="606">
        <v>84.1</v>
      </c>
      <c r="J28" s="606">
        <v>82.3</v>
      </c>
      <c r="K28" s="607">
        <v>65.11</v>
      </c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639">
        <v>2011</v>
      </c>
      <c r="AV28" s="538">
        <v>18673572</v>
      </c>
      <c r="AW28" s="538">
        <v>194834</v>
      </c>
      <c r="AX28" s="538">
        <v>8046525</v>
      </c>
      <c r="AY28" s="538">
        <v>79202</v>
      </c>
      <c r="AZ28" s="539">
        <v>452500</v>
      </c>
      <c r="BA28" s="252"/>
      <c r="BB28" s="640">
        <v>2011</v>
      </c>
      <c r="BC28" s="538">
        <f t="shared" ref="BC28:BG35" si="13">AV15/AV28</f>
        <v>2.0639119821317529</v>
      </c>
      <c r="BD28" s="538">
        <f t="shared" si="13"/>
        <v>16.839273432768408</v>
      </c>
      <c r="BE28" s="538">
        <f t="shared" si="13"/>
        <v>1.3473148968032784</v>
      </c>
      <c r="BF28" s="538">
        <f t="shared" si="13"/>
        <v>85.082510542663059</v>
      </c>
      <c r="BG28" s="538">
        <f t="shared" si="13"/>
        <v>20.722614364640883</v>
      </c>
      <c r="BH28" s="252"/>
      <c r="BI28" s="252"/>
      <c r="BJ28" s="252"/>
      <c r="BK28" s="252"/>
      <c r="BL28" s="252"/>
      <c r="BM28" s="252"/>
      <c r="BN28" s="252"/>
      <c r="BO28" s="252"/>
      <c r="BP28" s="252"/>
      <c r="BQ28" s="252"/>
      <c r="BR28" s="252"/>
      <c r="BS28" s="252"/>
      <c r="BT28" s="252"/>
      <c r="BU28" s="252"/>
      <c r="BV28" s="252"/>
      <c r="BW28" s="252"/>
      <c r="BX28" s="252"/>
      <c r="BY28" s="252"/>
      <c r="BZ28" s="252"/>
      <c r="CA28" s="252"/>
      <c r="CB28" s="252"/>
      <c r="CC28" s="252"/>
      <c r="CD28" s="252"/>
      <c r="CE28" s="252"/>
      <c r="CF28" s="252"/>
      <c r="CG28" s="252"/>
      <c r="CH28" s="252"/>
      <c r="CI28" s="252"/>
      <c r="CJ28" s="252"/>
      <c r="CK28" s="252"/>
      <c r="CL28" s="252"/>
      <c r="CM28" s="252"/>
      <c r="CN28" s="252"/>
      <c r="CO28" s="252"/>
    </row>
    <row r="29" spans="1:93" ht="1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639">
        <v>2010</v>
      </c>
      <c r="AV29" s="538">
        <v>8020814</v>
      </c>
      <c r="AW29" s="538">
        <v>2976326</v>
      </c>
      <c r="AX29" s="538">
        <v>2804323</v>
      </c>
      <c r="AY29" s="538">
        <v>3125462</v>
      </c>
      <c r="AZ29" s="539">
        <v>112076</v>
      </c>
      <c r="BA29" s="252"/>
      <c r="BB29" s="640">
        <v>2010</v>
      </c>
      <c r="BC29" s="538">
        <f t="shared" si="13"/>
        <v>2.8858679430790941</v>
      </c>
      <c r="BD29" s="538">
        <f t="shared" si="13"/>
        <v>59.203009011781639</v>
      </c>
      <c r="BE29" s="538">
        <f t="shared" si="13"/>
        <v>36.29716049114171</v>
      </c>
      <c r="BF29" s="538">
        <f t="shared" si="13"/>
        <v>1.2232588334140682</v>
      </c>
      <c r="BG29" s="538">
        <f t="shared" si="13"/>
        <v>6.1556354616510225</v>
      </c>
      <c r="BH29" s="252"/>
      <c r="BI29" s="252"/>
      <c r="BJ29" s="252"/>
      <c r="BK29" s="252"/>
      <c r="BL29" s="252"/>
      <c r="BM29" s="252"/>
      <c r="BN29" s="252"/>
      <c r="BO29" s="252"/>
      <c r="BP29" s="252"/>
      <c r="BQ29" s="252"/>
      <c r="BR29" s="252"/>
      <c r="BS29" s="252"/>
      <c r="BT29" s="252"/>
      <c r="BU29" s="252"/>
      <c r="BV29" s="252"/>
      <c r="BW29" s="252"/>
      <c r="BX29" s="252"/>
      <c r="BY29" s="252"/>
      <c r="BZ29" s="252"/>
      <c r="CA29" s="252"/>
      <c r="CB29" s="252"/>
      <c r="CC29" s="252"/>
      <c r="CD29" s="252"/>
      <c r="CE29" s="252"/>
      <c r="CF29" s="252"/>
      <c r="CG29" s="252"/>
      <c r="CH29" s="252"/>
      <c r="CI29" s="252"/>
      <c r="CJ29" s="252"/>
      <c r="CK29" s="252"/>
      <c r="CL29" s="252"/>
      <c r="CM29" s="252"/>
      <c r="CN29" s="252"/>
      <c r="CO29" s="252"/>
    </row>
    <row r="30" spans="1:93" ht="15">
      <c r="A30" s="252"/>
      <c r="B30" s="252"/>
      <c r="C30" s="252"/>
      <c r="D30" s="252"/>
      <c r="E30" s="252"/>
      <c r="F30" s="252" t="s">
        <v>2395</v>
      </c>
      <c r="G30" s="252" t="s">
        <v>2396</v>
      </c>
      <c r="H30" s="252" t="s">
        <v>2402</v>
      </c>
      <c r="I30" s="252" t="s">
        <v>2403</v>
      </c>
      <c r="J30" s="252" t="s">
        <v>2404</v>
      </c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639">
        <v>2009</v>
      </c>
      <c r="AV30" s="538">
        <v>36861222</v>
      </c>
      <c r="AW30" s="538">
        <v>1278928</v>
      </c>
      <c r="AX30" s="538">
        <v>2247050</v>
      </c>
      <c r="AY30" s="538">
        <v>1029010</v>
      </c>
      <c r="AZ30" s="539">
        <v>1261900</v>
      </c>
      <c r="BA30" s="252"/>
      <c r="BB30" s="640">
        <v>2009</v>
      </c>
      <c r="BC30" s="538">
        <f t="shared" si="13"/>
        <v>0.37893184875965319</v>
      </c>
      <c r="BD30" s="538">
        <f t="shared" si="13"/>
        <v>3.1282933832084372</v>
      </c>
      <c r="BE30" s="538">
        <f t="shared" si="13"/>
        <v>14.701888698515832</v>
      </c>
      <c r="BF30" s="538">
        <f t="shared" si="13"/>
        <v>2.5046530160056752</v>
      </c>
      <c r="BG30" s="538">
        <f t="shared" si="13"/>
        <v>1.119886678817656</v>
      </c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2"/>
      <c r="CG30" s="252"/>
      <c r="CH30" s="252"/>
      <c r="CI30" s="252"/>
      <c r="CJ30" s="252"/>
      <c r="CK30" s="252"/>
      <c r="CL30" s="252"/>
      <c r="CM30" s="252"/>
      <c r="CN30" s="252"/>
      <c r="CO30" s="252"/>
    </row>
    <row r="31" spans="1:93" ht="15">
      <c r="A31" s="252"/>
      <c r="B31" s="252"/>
      <c r="C31" s="252"/>
      <c r="D31" s="252"/>
      <c r="E31" s="252"/>
      <c r="F31" s="252" t="s">
        <v>2397</v>
      </c>
      <c r="G31" s="252" t="s">
        <v>2398</v>
      </c>
      <c r="H31" s="252" t="s">
        <v>2399</v>
      </c>
      <c r="I31" s="252" t="s">
        <v>2400</v>
      </c>
      <c r="J31" s="252" t="s">
        <v>2401</v>
      </c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  <c r="AU31" s="639">
        <v>2008</v>
      </c>
      <c r="AV31" s="538">
        <v>19966341</v>
      </c>
      <c r="AW31" s="538">
        <v>465450</v>
      </c>
      <c r="AX31" s="538">
        <v>2492122</v>
      </c>
      <c r="AY31" s="538">
        <v>86931</v>
      </c>
      <c r="AZ31" s="539">
        <v>187923</v>
      </c>
      <c r="BA31" s="252"/>
      <c r="BB31" s="640">
        <v>2008</v>
      </c>
      <c r="BC31" s="538">
        <f t="shared" si="13"/>
        <v>1.9857160107603091</v>
      </c>
      <c r="BD31" s="538">
        <f t="shared" si="13"/>
        <v>44.642975614996239</v>
      </c>
      <c r="BE31" s="538">
        <f t="shared" si="13"/>
        <v>81.755196976713023</v>
      </c>
      <c r="BF31" s="538">
        <f t="shared" si="13"/>
        <v>33.781907489848273</v>
      </c>
      <c r="BG31" s="538">
        <f t="shared" si="13"/>
        <v>25.807277448742305</v>
      </c>
      <c r="BH31" s="252"/>
      <c r="BI31" s="252"/>
      <c r="BJ31" s="252"/>
      <c r="BK31" s="252"/>
      <c r="BL31" s="252"/>
      <c r="BM31" s="252"/>
      <c r="BN31" s="252"/>
      <c r="BO31" s="252"/>
      <c r="BP31" s="252"/>
      <c r="BQ31" s="252"/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  <c r="CF31" s="252"/>
      <c r="CG31" s="252"/>
      <c r="CH31" s="252"/>
      <c r="CI31" s="252"/>
      <c r="CJ31" s="252"/>
      <c r="CK31" s="252"/>
      <c r="CL31" s="252"/>
      <c r="CM31" s="252"/>
      <c r="CN31" s="252"/>
      <c r="CO31" s="252"/>
    </row>
    <row r="32" spans="1:93" ht="1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639">
        <v>2007</v>
      </c>
      <c r="AV32" s="538">
        <v>11502298</v>
      </c>
      <c r="AW32" s="538">
        <v>497596</v>
      </c>
      <c r="AX32" s="538">
        <v>6247777</v>
      </c>
      <c r="AY32" s="538">
        <v>51245</v>
      </c>
      <c r="AZ32" s="539">
        <v>606432</v>
      </c>
      <c r="BA32" s="252"/>
      <c r="BB32" s="640">
        <v>2007</v>
      </c>
      <c r="BC32" s="538">
        <f t="shared" si="13"/>
        <v>3.4006949741695096</v>
      </c>
      <c r="BD32" s="538">
        <f t="shared" si="13"/>
        <v>41.073366747321117</v>
      </c>
      <c r="BE32" s="538">
        <f t="shared" si="13"/>
        <v>7.080900454673718</v>
      </c>
      <c r="BF32" s="538">
        <f t="shared" si="13"/>
        <v>14.726978241779685</v>
      </c>
      <c r="BG32" s="538">
        <f t="shared" si="13"/>
        <v>33.205950543506937</v>
      </c>
      <c r="BH32" s="252"/>
      <c r="BI32" s="252"/>
      <c r="BJ32" s="252"/>
      <c r="BK32" s="252"/>
      <c r="BL32" s="252"/>
      <c r="BM32" s="252"/>
      <c r="BN32" s="252"/>
      <c r="BO32" s="252"/>
      <c r="BP32" s="252"/>
      <c r="BQ32" s="252"/>
      <c r="BR32" s="252"/>
      <c r="BS32" s="252"/>
      <c r="BT32" s="252"/>
      <c r="BU32" s="252"/>
      <c r="BV32" s="252"/>
      <c r="BW32" s="252"/>
      <c r="BX32" s="252"/>
      <c r="BY32" s="252"/>
      <c r="BZ32" s="252"/>
      <c r="CA32" s="252"/>
      <c r="CB32" s="252"/>
      <c r="CC32" s="252"/>
      <c r="CD32" s="252"/>
      <c r="CE32" s="252"/>
      <c r="CF32" s="252"/>
      <c r="CG32" s="252"/>
      <c r="CH32" s="252"/>
      <c r="CI32" s="252"/>
      <c r="CJ32" s="252"/>
      <c r="CK32" s="252"/>
      <c r="CL32" s="252"/>
      <c r="CM32" s="252"/>
      <c r="CN32" s="252"/>
      <c r="CO32" s="252"/>
    </row>
    <row r="33" spans="1:93" ht="1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639">
        <v>2006</v>
      </c>
      <c r="AV33" s="538">
        <v>6787651</v>
      </c>
      <c r="AW33" s="538">
        <v>422552</v>
      </c>
      <c r="AX33" s="538">
        <v>888379</v>
      </c>
      <c r="AY33" s="538">
        <v>89410</v>
      </c>
      <c r="AZ33" s="539">
        <v>1079792</v>
      </c>
      <c r="BA33" s="252"/>
      <c r="BB33" s="640">
        <v>2006</v>
      </c>
      <c r="BC33" s="538">
        <f t="shared" si="13"/>
        <v>3.823821525296454</v>
      </c>
      <c r="BD33" s="538">
        <f t="shared" si="13"/>
        <v>9.6215116719362346</v>
      </c>
      <c r="BE33" s="538">
        <f t="shared" si="13"/>
        <v>50.300118530492057</v>
      </c>
      <c r="BF33" s="538">
        <f t="shared" si="13"/>
        <v>15.612604854043171</v>
      </c>
      <c r="BG33" s="538">
        <f t="shared" si="13"/>
        <v>8.9186667432246214</v>
      </c>
      <c r="BH33" s="252"/>
      <c r="BI33" s="252"/>
      <c r="BJ33" s="252"/>
      <c r="BK33" s="252"/>
      <c r="BL33" s="252"/>
      <c r="BM33" s="252"/>
      <c r="BN33" s="252"/>
      <c r="BO33" s="252"/>
      <c r="BP33" s="252"/>
      <c r="BQ33" s="252"/>
      <c r="BR33" s="252"/>
      <c r="BS33" s="252"/>
      <c r="BT33" s="252"/>
      <c r="BU33" s="252"/>
      <c r="BV33" s="252"/>
      <c r="BW33" s="252"/>
      <c r="BX33" s="252"/>
      <c r="BY33" s="252"/>
      <c r="BZ33" s="252"/>
      <c r="CA33" s="252"/>
      <c r="CB33" s="252"/>
      <c r="CC33" s="252"/>
      <c r="CD33" s="252"/>
      <c r="CE33" s="252"/>
      <c r="CF33" s="252"/>
      <c r="CG33" s="252"/>
      <c r="CH33" s="252"/>
      <c r="CI33" s="252"/>
      <c r="CJ33" s="252"/>
      <c r="CK33" s="252"/>
      <c r="CL33" s="252"/>
      <c r="CM33" s="252"/>
      <c r="CN33" s="252"/>
      <c r="CO33" s="252"/>
    </row>
    <row r="34" spans="1:93" ht="1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639">
        <v>2005</v>
      </c>
      <c r="AV34" s="538">
        <v>5574405</v>
      </c>
      <c r="AW34" s="538">
        <v>1111430</v>
      </c>
      <c r="AX34" s="538">
        <v>1651699</v>
      </c>
      <c r="AY34" s="538">
        <v>118139</v>
      </c>
      <c r="AZ34" s="539">
        <v>393715</v>
      </c>
      <c r="BA34" s="252"/>
      <c r="BB34" s="640">
        <v>2005</v>
      </c>
      <c r="BC34" s="538">
        <f t="shared" si="13"/>
        <v>8.6478886984350805</v>
      </c>
      <c r="BD34" s="538">
        <f t="shared" si="13"/>
        <v>11.422752669983714</v>
      </c>
      <c r="BE34" s="538">
        <f t="shared" si="13"/>
        <v>96.134747311707514</v>
      </c>
      <c r="BF34" s="538">
        <f t="shared" si="13"/>
        <v>19.667324084341328</v>
      </c>
      <c r="BG34" s="538">
        <f t="shared" si="13"/>
        <v>9.6715619166148095</v>
      </c>
      <c r="BH34" s="252"/>
      <c r="BI34" s="252"/>
      <c r="BJ34" s="252"/>
      <c r="BK34" s="252"/>
      <c r="BL34" s="252"/>
      <c r="BM34" s="252"/>
      <c r="BN34" s="252"/>
      <c r="BO34" s="252"/>
      <c r="BP34" s="252"/>
      <c r="BQ34" s="252"/>
      <c r="BR34" s="252"/>
      <c r="BS34" s="252"/>
      <c r="BT34" s="252"/>
      <c r="BU34" s="252"/>
      <c r="BV34" s="252"/>
      <c r="BW34" s="252"/>
      <c r="BX34" s="252"/>
      <c r="BY34" s="252"/>
      <c r="BZ34" s="252"/>
      <c r="CA34" s="252"/>
      <c r="CB34" s="252"/>
      <c r="CC34" s="252"/>
      <c r="CD34" s="252"/>
      <c r="CE34" s="252"/>
      <c r="CF34" s="252"/>
      <c r="CG34" s="252"/>
      <c r="CH34" s="252"/>
      <c r="CI34" s="252"/>
      <c r="CJ34" s="252"/>
      <c r="CK34" s="252"/>
      <c r="CL34" s="252"/>
      <c r="CM34" s="252"/>
      <c r="CN34" s="252"/>
      <c r="CO34" s="252"/>
    </row>
    <row r="35" spans="1:93" ht="1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639">
        <v>2004</v>
      </c>
      <c r="AV35" s="538">
        <v>1771976</v>
      </c>
      <c r="AW35" s="538">
        <v>366105</v>
      </c>
      <c r="AX35" s="538">
        <v>7569325</v>
      </c>
      <c r="AY35" s="538">
        <v>17712</v>
      </c>
      <c r="AZ35" s="539">
        <v>32500</v>
      </c>
      <c r="BA35" s="252"/>
      <c r="BB35" s="640">
        <v>2004</v>
      </c>
      <c r="BC35" s="538">
        <f t="shared" si="13"/>
        <v>5.7391922915434517</v>
      </c>
      <c r="BD35" s="538">
        <f t="shared" si="13"/>
        <v>44.216172955845998</v>
      </c>
      <c r="BE35" s="538">
        <f t="shared" si="13"/>
        <v>90.278283862827934</v>
      </c>
      <c r="BF35" s="538">
        <f t="shared" si="13"/>
        <v>170.23187669376694</v>
      </c>
      <c r="BG35" s="538">
        <f t="shared" si="13"/>
        <v>79.497507692307693</v>
      </c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</row>
    <row r="36" spans="1:93" ht="1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639" t="s">
        <v>2214</v>
      </c>
      <c r="AV36" s="543">
        <f>SUM(AV28:AV35)</f>
        <v>109158279</v>
      </c>
      <c r="AW36" s="543">
        <f t="shared" ref="AW36:AY36" si="14">SUM(AW28:AW35)</f>
        <v>7313221</v>
      </c>
      <c r="AX36" s="543">
        <f t="shared" si="14"/>
        <v>31947200</v>
      </c>
      <c r="AY36" s="543">
        <f t="shared" si="14"/>
        <v>4597111</v>
      </c>
      <c r="AZ36" s="544">
        <f>SUM(AZ28:AZ35)</f>
        <v>4126838</v>
      </c>
      <c r="BA36" s="252"/>
      <c r="BB36" s="640" t="s">
        <v>2214</v>
      </c>
      <c r="BC36" s="606"/>
      <c r="BD36" s="606"/>
      <c r="BE36" s="606"/>
      <c r="BF36" s="606"/>
      <c r="BG36" s="607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</row>
    <row r="37" spans="1:93" ht="15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  <c r="AU37" s="1016" t="s">
        <v>2516</v>
      </c>
      <c r="AV37" s="1017">
        <v>45135424</v>
      </c>
      <c r="AW37" s="1018">
        <v>4995195</v>
      </c>
      <c r="AX37" s="1018">
        <v>29631790</v>
      </c>
      <c r="AY37" s="1018">
        <v>323394</v>
      </c>
      <c r="AZ37" s="1019">
        <v>3016315</v>
      </c>
      <c r="BB37" s="252"/>
      <c r="BC37" s="252"/>
      <c r="BD37" s="252"/>
      <c r="BE37" s="252"/>
      <c r="BF37" s="252"/>
      <c r="BG37" s="252"/>
      <c r="BH37" s="252"/>
      <c r="BI37" s="252"/>
      <c r="BJ37" s="252"/>
      <c r="BK37" s="252"/>
      <c r="BL37" s="252"/>
      <c r="BM37" s="252"/>
      <c r="BN37" s="252"/>
      <c r="BO37" s="252"/>
      <c r="BP37" s="252"/>
      <c r="BQ37" s="252"/>
      <c r="BR37" s="252"/>
      <c r="BS37" s="252"/>
      <c r="BT37" s="252"/>
      <c r="BU37" s="252"/>
      <c r="BV37" s="252"/>
      <c r="BW37" s="252"/>
      <c r="BX37" s="252"/>
      <c r="BY37" s="252"/>
      <c r="BZ37" s="252"/>
      <c r="CA37" s="252"/>
      <c r="CB37" s="252"/>
      <c r="CC37" s="252"/>
      <c r="CD37" s="252"/>
      <c r="CE37" s="252"/>
      <c r="CF37" s="252"/>
      <c r="CG37" s="252"/>
      <c r="CH37" s="252"/>
      <c r="CI37" s="252"/>
      <c r="CJ37" s="252"/>
      <c r="CK37" s="252"/>
      <c r="CL37" s="252"/>
      <c r="CM37" s="252"/>
      <c r="CN37" s="252"/>
      <c r="CO37" s="252"/>
    </row>
    <row r="38" spans="1:93" ht="1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  <c r="AU38" s="252"/>
      <c r="AV38" s="252"/>
      <c r="AW38" s="252"/>
      <c r="AX38" s="252"/>
      <c r="AY38" s="252"/>
      <c r="AZ38" s="252"/>
      <c r="BA38" s="252"/>
      <c r="BB38" s="252"/>
      <c r="BC38" s="252"/>
      <c r="BD38" s="252"/>
      <c r="BE38" s="252"/>
      <c r="BF38" s="252"/>
      <c r="BG38" s="252"/>
      <c r="BH38" s="252"/>
      <c r="BI38" s="252"/>
      <c r="BJ38" s="252"/>
      <c r="BK38" s="252"/>
      <c r="BL38" s="252"/>
      <c r="BM38" s="252"/>
      <c r="BN38" s="252"/>
      <c r="BO38" s="252"/>
      <c r="BP38" s="252"/>
      <c r="BQ38" s="252"/>
      <c r="BR38" s="252"/>
      <c r="BS38" s="252"/>
      <c r="BT38" s="252"/>
      <c r="BU38" s="252"/>
      <c r="BV38" s="252"/>
      <c r="BW38" s="252"/>
      <c r="BX38" s="252"/>
      <c r="BY38" s="252"/>
      <c r="BZ38" s="252"/>
      <c r="CA38" s="252"/>
      <c r="CB38" s="252"/>
      <c r="CC38" s="252"/>
      <c r="CD38" s="252"/>
      <c r="CE38" s="252"/>
      <c r="CF38" s="252"/>
      <c r="CG38" s="252"/>
      <c r="CH38" s="252"/>
      <c r="CI38" s="252"/>
      <c r="CJ38" s="252"/>
      <c r="CK38" s="252"/>
      <c r="CL38" s="252"/>
      <c r="CM38" s="252"/>
      <c r="CN38" s="252"/>
      <c r="CO38" s="252"/>
    </row>
    <row r="39" spans="1:93" ht="1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2"/>
      <c r="BL39" s="252"/>
      <c r="BM39" s="252"/>
      <c r="BN39" s="252"/>
      <c r="BO39" s="252"/>
      <c r="BP39" s="252"/>
      <c r="BQ39" s="252"/>
      <c r="BR39" s="252"/>
      <c r="BS39" s="252"/>
      <c r="BT39" s="252"/>
      <c r="BU39" s="252"/>
      <c r="BV39" s="252"/>
      <c r="BW39" s="252"/>
      <c r="BX39" s="252"/>
      <c r="BY39" s="252"/>
      <c r="BZ39" s="252"/>
      <c r="CA39" s="252"/>
      <c r="CB39" s="252"/>
      <c r="CC39" s="252"/>
      <c r="CD39" s="252"/>
      <c r="CE39" s="252"/>
      <c r="CF39" s="252"/>
      <c r="CG39" s="252"/>
      <c r="CH39" s="252"/>
      <c r="CI39" s="252"/>
      <c r="CJ39" s="252"/>
      <c r="CK39" s="252"/>
      <c r="CL39" s="252"/>
      <c r="CM39" s="252"/>
      <c r="CN39" s="252"/>
      <c r="CO39" s="252"/>
    </row>
    <row r="40" spans="1:93" ht="1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  <c r="AT40" s="252"/>
      <c r="AU40" s="252"/>
      <c r="AV40" s="252"/>
      <c r="AW40" s="252"/>
      <c r="AX40" s="252"/>
      <c r="AY40" s="252"/>
      <c r="AZ40" s="252"/>
      <c r="BA40" s="252"/>
      <c r="BB40" s="252"/>
      <c r="BC40" s="252"/>
      <c r="BD40" s="252"/>
      <c r="BE40" s="252"/>
      <c r="BF40" s="252"/>
      <c r="BG40" s="252"/>
      <c r="BH40" s="252"/>
      <c r="BI40" s="252"/>
      <c r="BJ40" s="252"/>
      <c r="BK40" s="252"/>
      <c r="BL40" s="252"/>
      <c r="BM40" s="252"/>
      <c r="BN40" s="252"/>
      <c r="BO40" s="252"/>
      <c r="BP40" s="252"/>
      <c r="BQ40" s="252"/>
      <c r="BR40" s="252"/>
      <c r="BS40" s="252"/>
      <c r="BT40" s="252"/>
      <c r="BU40" s="252"/>
      <c r="BV40" s="252"/>
      <c r="BW40" s="252"/>
      <c r="BX40" s="252"/>
      <c r="BY40" s="252"/>
      <c r="BZ40" s="252"/>
      <c r="CA40" s="252"/>
      <c r="CB40" s="252"/>
      <c r="CC40" s="252"/>
      <c r="CD40" s="252"/>
      <c r="CE40" s="252"/>
      <c r="CF40" s="252"/>
      <c r="CG40" s="252"/>
      <c r="CH40" s="252"/>
      <c r="CI40" s="252"/>
      <c r="CJ40" s="252"/>
      <c r="CK40" s="252"/>
      <c r="CL40" s="252"/>
      <c r="CM40" s="252"/>
      <c r="CN40" s="252"/>
      <c r="CO40" s="252"/>
    </row>
    <row r="41" spans="1:93" ht="1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  <c r="AU41" s="252"/>
      <c r="AV41" s="252"/>
      <c r="AW41" s="252"/>
      <c r="AX41" s="252"/>
      <c r="AY41" s="252"/>
      <c r="AZ41" s="252"/>
      <c r="BA41" s="252"/>
      <c r="BB41" s="252"/>
      <c r="BC41" s="252"/>
      <c r="BD41" s="252"/>
      <c r="BE41" s="252"/>
      <c r="BF41" s="252"/>
      <c r="BG41" s="252"/>
      <c r="BH41" s="252"/>
      <c r="BI41" s="252"/>
      <c r="BJ41" s="252"/>
      <c r="BK41" s="252"/>
      <c r="BL41" s="252"/>
      <c r="BM41" s="252"/>
      <c r="BN41" s="252"/>
      <c r="BO41" s="252"/>
      <c r="BP41" s="252"/>
      <c r="BQ41" s="252"/>
      <c r="BR41" s="252"/>
      <c r="BS41" s="252"/>
      <c r="BT41" s="252"/>
      <c r="BU41" s="252"/>
      <c r="BV41" s="252"/>
      <c r="BW41" s="252"/>
      <c r="BX41" s="252"/>
      <c r="BY41" s="252"/>
      <c r="BZ41" s="252"/>
      <c r="CA41" s="252"/>
      <c r="CB41" s="252"/>
      <c r="CC41" s="252"/>
      <c r="CD41" s="252"/>
      <c r="CE41" s="252"/>
      <c r="CF41" s="252"/>
      <c r="CG41" s="252"/>
      <c r="CH41" s="252"/>
      <c r="CI41" s="252"/>
      <c r="CJ41" s="252"/>
      <c r="CK41" s="252"/>
      <c r="CL41" s="252"/>
      <c r="CM41" s="252"/>
      <c r="CN41" s="252"/>
      <c r="CO41" s="252"/>
    </row>
    <row r="42" spans="1:93" ht="1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  <c r="AU42" s="252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2"/>
      <c r="BL42" s="252"/>
      <c r="BM42" s="252"/>
      <c r="BN42" s="252"/>
      <c r="BO42" s="252"/>
      <c r="BP42" s="252"/>
      <c r="BQ42" s="252"/>
      <c r="BR42" s="252"/>
      <c r="BS42" s="252"/>
      <c r="BT42" s="252"/>
      <c r="BU42" s="252"/>
      <c r="BV42" s="252"/>
      <c r="BW42" s="252"/>
      <c r="BX42" s="252"/>
      <c r="BY42" s="252"/>
      <c r="BZ42" s="252"/>
      <c r="CA42" s="252"/>
      <c r="CB42" s="252"/>
      <c r="CC42" s="252"/>
      <c r="CD42" s="252"/>
      <c r="CE42" s="252"/>
      <c r="CF42" s="252"/>
      <c r="CG42" s="252"/>
      <c r="CH42" s="252"/>
      <c r="CI42" s="252"/>
      <c r="CJ42" s="252"/>
      <c r="CK42" s="252"/>
      <c r="CL42" s="252"/>
      <c r="CM42" s="252"/>
      <c r="CN42" s="252"/>
      <c r="CO42" s="252"/>
    </row>
    <row r="43" spans="1:93" ht="1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  <c r="AS43" s="252"/>
      <c r="AT43" s="252"/>
      <c r="AU43" s="252"/>
      <c r="AV43" s="252"/>
      <c r="AW43" s="252"/>
      <c r="AX43" s="252"/>
      <c r="AY43" s="252"/>
      <c r="AZ43" s="252"/>
      <c r="BA43" s="252"/>
      <c r="BB43" s="252"/>
      <c r="BC43" s="252"/>
      <c r="BD43" s="252"/>
      <c r="BE43" s="252"/>
      <c r="BF43" s="252"/>
      <c r="BG43" s="252"/>
      <c r="BH43" s="252"/>
      <c r="BI43" s="252"/>
      <c r="BJ43" s="252"/>
      <c r="BK43" s="252"/>
      <c r="BL43" s="252"/>
      <c r="BM43" s="252"/>
      <c r="BN43" s="252"/>
      <c r="BO43" s="252"/>
      <c r="BP43" s="252"/>
      <c r="BQ43" s="252"/>
      <c r="BR43" s="252"/>
      <c r="BS43" s="252"/>
      <c r="BT43" s="252"/>
      <c r="BU43" s="252"/>
      <c r="BV43" s="252"/>
      <c r="BW43" s="252"/>
      <c r="BX43" s="252"/>
      <c r="BY43" s="252"/>
      <c r="BZ43" s="252"/>
      <c r="CA43" s="252"/>
      <c r="CB43" s="252"/>
      <c r="CC43" s="252"/>
      <c r="CD43" s="252"/>
      <c r="CE43" s="252"/>
      <c r="CF43" s="252"/>
      <c r="CG43" s="252"/>
      <c r="CH43" s="252"/>
      <c r="CI43" s="252"/>
      <c r="CJ43" s="252"/>
      <c r="CK43" s="252"/>
      <c r="CL43" s="252"/>
      <c r="CM43" s="252"/>
      <c r="CN43" s="252"/>
      <c r="CO43" s="252"/>
    </row>
    <row r="44" spans="1:93" ht="1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  <c r="AT44" s="252"/>
      <c r="AU44" s="252"/>
      <c r="AV44" s="252"/>
      <c r="AW44" s="252"/>
      <c r="AX44" s="252"/>
      <c r="AY44" s="252"/>
      <c r="AZ44" s="252"/>
      <c r="BA44" s="252"/>
      <c r="BB44" s="252"/>
      <c r="BC44" s="252"/>
      <c r="BD44" s="252"/>
      <c r="BE44" s="252"/>
      <c r="BF44" s="252"/>
      <c r="BG44" s="252"/>
      <c r="BH44" s="252"/>
      <c r="BI44" s="252"/>
      <c r="BJ44" s="252"/>
      <c r="BK44" s="252"/>
      <c r="BL44" s="252"/>
      <c r="BM44" s="252"/>
      <c r="BN44" s="252"/>
      <c r="BO44" s="252"/>
      <c r="BP44" s="252"/>
      <c r="BQ44" s="252"/>
      <c r="BR44" s="252"/>
      <c r="BS44" s="252"/>
      <c r="BT44" s="252"/>
      <c r="BU44" s="252"/>
      <c r="BV44" s="252"/>
      <c r="BW44" s="252"/>
      <c r="BX44" s="252"/>
      <c r="BY44" s="252"/>
      <c r="BZ44" s="252"/>
      <c r="CA44" s="252"/>
      <c r="CB44" s="252"/>
      <c r="CC44" s="252"/>
      <c r="CD44" s="252"/>
      <c r="CE44" s="252"/>
      <c r="CF44" s="252"/>
      <c r="CG44" s="252"/>
      <c r="CH44" s="252"/>
      <c r="CI44" s="252"/>
      <c r="CJ44" s="252"/>
      <c r="CK44" s="252"/>
      <c r="CL44" s="252"/>
      <c r="CM44" s="252"/>
      <c r="CN44" s="252"/>
      <c r="CO44" s="252"/>
    </row>
    <row r="45" spans="1:93" ht="1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  <c r="AS45" s="252"/>
      <c r="AT45" s="252"/>
      <c r="AU45" s="252"/>
      <c r="AV45" s="252"/>
      <c r="AW45" s="252"/>
      <c r="AX45" s="252"/>
      <c r="AY45" s="252"/>
      <c r="AZ45" s="252"/>
      <c r="BA45" s="252"/>
      <c r="BB45" s="252"/>
      <c r="BC45" s="252"/>
      <c r="BD45" s="252"/>
      <c r="BE45" s="252"/>
      <c r="BF45" s="252"/>
      <c r="BG45" s="252"/>
      <c r="BH45" s="252"/>
      <c r="BI45" s="252"/>
      <c r="BJ45" s="252"/>
      <c r="BK45" s="252"/>
      <c r="BL45" s="252"/>
      <c r="BM45" s="252"/>
      <c r="BN45" s="252"/>
      <c r="BO45" s="252"/>
      <c r="BP45" s="252"/>
      <c r="BQ45" s="252"/>
      <c r="BR45" s="252"/>
      <c r="BS45" s="252"/>
      <c r="BT45" s="252"/>
      <c r="BU45" s="252"/>
      <c r="BV45" s="252"/>
      <c r="BW45" s="252"/>
      <c r="BX45" s="252"/>
      <c r="BY45" s="252"/>
      <c r="BZ45" s="252"/>
      <c r="CA45" s="252"/>
      <c r="CB45" s="252"/>
      <c r="CC45" s="252"/>
      <c r="CD45" s="252"/>
      <c r="CE45" s="252"/>
      <c r="CF45" s="252"/>
      <c r="CG45" s="252"/>
      <c r="CH45" s="252"/>
      <c r="CI45" s="252"/>
      <c r="CJ45" s="252"/>
      <c r="CK45" s="252"/>
      <c r="CL45" s="252"/>
      <c r="CM45" s="252"/>
      <c r="CN45" s="252"/>
      <c r="CO45" s="252"/>
    </row>
    <row r="46" spans="1:93" ht="1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  <c r="AX46" s="252"/>
      <c r="AY46" s="252"/>
      <c r="AZ46" s="252"/>
      <c r="BA46" s="252"/>
      <c r="BB46" s="252"/>
      <c r="BC46" s="252"/>
      <c r="BD46" s="252"/>
      <c r="BE46" s="252"/>
      <c r="BF46" s="252"/>
      <c r="BG46" s="252"/>
      <c r="BH46" s="252"/>
      <c r="BI46" s="252"/>
      <c r="BJ46" s="252"/>
      <c r="BK46" s="252"/>
      <c r="BL46" s="252"/>
      <c r="BM46" s="252"/>
      <c r="BN46" s="252"/>
      <c r="BO46" s="252"/>
      <c r="BP46" s="252"/>
      <c r="BQ46" s="252"/>
      <c r="BR46" s="252"/>
      <c r="BS46" s="252"/>
      <c r="BT46" s="252"/>
      <c r="BU46" s="252"/>
      <c r="BV46" s="252"/>
      <c r="BW46" s="252"/>
      <c r="BX46" s="252"/>
      <c r="BY46" s="252"/>
      <c r="BZ46" s="252"/>
      <c r="CA46" s="252"/>
      <c r="CB46" s="252"/>
      <c r="CC46" s="252"/>
      <c r="CD46" s="252"/>
      <c r="CE46" s="252"/>
      <c r="CF46" s="252"/>
      <c r="CG46" s="252"/>
      <c r="CH46" s="252"/>
      <c r="CI46" s="252"/>
      <c r="CJ46" s="252"/>
      <c r="CK46" s="252"/>
      <c r="CL46" s="252"/>
      <c r="CM46" s="252"/>
      <c r="CN46" s="252"/>
      <c r="CO46" s="252"/>
    </row>
    <row r="47" spans="1:93" ht="1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  <c r="AX47" s="252"/>
      <c r="AY47" s="252"/>
      <c r="AZ47" s="252"/>
      <c r="BA47" s="252"/>
      <c r="BB47" s="252"/>
      <c r="BC47" s="252"/>
      <c r="BD47" s="252"/>
      <c r="BE47" s="252"/>
      <c r="BF47" s="252"/>
      <c r="BG47" s="252"/>
      <c r="BH47" s="252"/>
      <c r="BI47" s="252"/>
      <c r="BJ47" s="252"/>
      <c r="BK47" s="252"/>
      <c r="BL47" s="252"/>
      <c r="BM47" s="252"/>
      <c r="BN47" s="252"/>
      <c r="BO47" s="252"/>
      <c r="BP47" s="252"/>
      <c r="BQ47" s="252"/>
      <c r="BR47" s="252"/>
      <c r="BS47" s="252"/>
      <c r="BT47" s="252"/>
      <c r="BU47" s="252"/>
      <c r="BV47" s="252"/>
      <c r="BW47" s="252"/>
      <c r="BX47" s="252"/>
      <c r="BY47" s="252"/>
      <c r="BZ47" s="252"/>
      <c r="CA47" s="252"/>
      <c r="CB47" s="252"/>
      <c r="CC47" s="252"/>
      <c r="CD47" s="252"/>
      <c r="CE47" s="252"/>
      <c r="CF47" s="252"/>
      <c r="CG47" s="252"/>
      <c r="CH47" s="252"/>
      <c r="CI47" s="252"/>
      <c r="CJ47" s="252"/>
      <c r="CK47" s="252"/>
      <c r="CL47" s="252"/>
      <c r="CM47" s="252"/>
      <c r="CN47" s="252"/>
      <c r="CO47" s="252"/>
    </row>
    <row r="48" spans="1:93" ht="1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  <c r="AX48" s="252"/>
      <c r="AY48" s="252"/>
      <c r="AZ48" s="252"/>
      <c r="BA48" s="252"/>
      <c r="BB48" s="252"/>
      <c r="BC48" s="252"/>
      <c r="BD48" s="252"/>
      <c r="BE48" s="252"/>
      <c r="BF48" s="252"/>
      <c r="BG48" s="252"/>
      <c r="BH48" s="252"/>
      <c r="BI48" s="252"/>
      <c r="BJ48" s="252"/>
      <c r="BK48" s="252"/>
      <c r="BL48" s="252"/>
      <c r="BM48" s="252"/>
      <c r="BN48" s="252"/>
      <c r="BO48" s="252"/>
      <c r="BP48" s="252"/>
      <c r="BQ48" s="252"/>
      <c r="BR48" s="252"/>
      <c r="BS48" s="252"/>
      <c r="BT48" s="252"/>
      <c r="BU48" s="252"/>
      <c r="BV48" s="252"/>
      <c r="BW48" s="252"/>
      <c r="BX48" s="252"/>
      <c r="BY48" s="252"/>
      <c r="BZ48" s="252"/>
      <c r="CA48" s="252"/>
      <c r="CB48" s="252"/>
      <c r="CC48" s="252"/>
      <c r="CD48" s="252"/>
      <c r="CE48" s="252"/>
      <c r="CF48" s="252"/>
      <c r="CG48" s="252"/>
      <c r="CH48" s="252"/>
      <c r="CI48" s="252"/>
      <c r="CJ48" s="252"/>
      <c r="CK48" s="252"/>
      <c r="CL48" s="252"/>
      <c r="CM48" s="252"/>
      <c r="CN48" s="252"/>
      <c r="CO48" s="252"/>
    </row>
    <row r="49" spans="1:93" ht="1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  <c r="AU49" s="252"/>
      <c r="AV49" s="252"/>
      <c r="AW49" s="252"/>
      <c r="AX49" s="252"/>
      <c r="AY49" s="252"/>
      <c r="AZ49" s="252"/>
      <c r="BA49" s="252"/>
      <c r="BB49" s="252"/>
      <c r="BC49" s="252"/>
      <c r="BD49" s="252"/>
      <c r="BE49" s="252"/>
      <c r="BF49" s="252"/>
      <c r="BG49" s="252"/>
      <c r="BH49" s="252"/>
      <c r="BI49" s="252"/>
      <c r="BJ49" s="252"/>
      <c r="BK49" s="252"/>
      <c r="BL49" s="252"/>
      <c r="BM49" s="252"/>
      <c r="BN49" s="252"/>
      <c r="BO49" s="252"/>
      <c r="BP49" s="252"/>
      <c r="BQ49" s="252"/>
      <c r="BR49" s="252"/>
      <c r="BS49" s="252"/>
      <c r="BT49" s="252"/>
      <c r="BU49" s="252"/>
      <c r="BV49" s="252"/>
      <c r="BW49" s="252"/>
      <c r="BX49" s="252"/>
      <c r="BY49" s="252"/>
      <c r="BZ49" s="252"/>
      <c r="CA49" s="252"/>
      <c r="CB49" s="252"/>
      <c r="CC49" s="252"/>
      <c r="CD49" s="252"/>
      <c r="CE49" s="252"/>
      <c r="CF49" s="252"/>
      <c r="CG49" s="252"/>
      <c r="CH49" s="252"/>
      <c r="CI49" s="252"/>
      <c r="CJ49" s="252"/>
      <c r="CK49" s="252"/>
      <c r="CL49" s="252"/>
      <c r="CM49" s="252"/>
      <c r="CN49" s="252"/>
      <c r="CO49" s="252"/>
    </row>
    <row r="50" spans="1:93" ht="1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  <c r="AX50" s="252"/>
      <c r="AY50" s="252"/>
      <c r="AZ50" s="252"/>
      <c r="BA50" s="252"/>
      <c r="BB50" s="252"/>
      <c r="BC50" s="252"/>
      <c r="BD50" s="252"/>
      <c r="BE50" s="252"/>
      <c r="BF50" s="252"/>
      <c r="BG50" s="252"/>
      <c r="BH50" s="252"/>
      <c r="BI50" s="252"/>
      <c r="BJ50" s="252"/>
      <c r="BK50" s="252"/>
      <c r="BL50" s="252"/>
      <c r="BM50" s="252"/>
      <c r="BN50" s="252"/>
      <c r="BO50" s="252"/>
      <c r="BP50" s="252"/>
      <c r="BQ50" s="252"/>
      <c r="BR50" s="252"/>
      <c r="BS50" s="252"/>
      <c r="BT50" s="252"/>
      <c r="BU50" s="252"/>
      <c r="BV50" s="252"/>
      <c r="BW50" s="252"/>
      <c r="BX50" s="252"/>
      <c r="BY50" s="252"/>
      <c r="BZ50" s="252"/>
      <c r="CA50" s="252"/>
      <c r="CB50" s="252"/>
      <c r="CC50" s="252"/>
      <c r="CD50" s="252"/>
      <c r="CE50" s="252"/>
      <c r="CF50" s="252"/>
      <c r="CG50" s="252"/>
      <c r="CH50" s="252"/>
      <c r="CI50" s="252"/>
      <c r="CJ50" s="252"/>
      <c r="CK50" s="252"/>
      <c r="CL50" s="252"/>
      <c r="CM50" s="252"/>
      <c r="CN50" s="252"/>
      <c r="CO50" s="252"/>
    </row>
    <row r="51" spans="1:93" ht="1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  <c r="AX51" s="252"/>
      <c r="AY51" s="252"/>
      <c r="AZ51" s="252"/>
      <c r="BA51" s="252"/>
      <c r="BB51" s="252"/>
      <c r="BC51" s="252"/>
      <c r="BD51" s="252"/>
      <c r="BE51" s="252"/>
      <c r="BF51" s="252"/>
      <c r="BG51" s="252"/>
      <c r="BH51" s="252"/>
      <c r="BI51" s="252"/>
      <c r="BJ51" s="252"/>
      <c r="BK51" s="252"/>
      <c r="BL51" s="252"/>
      <c r="BM51" s="252"/>
      <c r="BN51" s="252"/>
      <c r="BO51" s="252"/>
      <c r="BP51" s="252"/>
      <c r="BQ51" s="252"/>
      <c r="BR51" s="252"/>
      <c r="BS51" s="252"/>
      <c r="BT51" s="252"/>
      <c r="BU51" s="252"/>
      <c r="BV51" s="252"/>
      <c r="BW51" s="252"/>
      <c r="BX51" s="252"/>
      <c r="BY51" s="252"/>
      <c r="BZ51" s="252"/>
      <c r="CA51" s="252"/>
      <c r="CB51" s="252"/>
      <c r="CC51" s="252"/>
      <c r="CD51" s="252"/>
      <c r="CE51" s="252"/>
      <c r="CF51" s="252"/>
      <c r="CG51" s="252"/>
      <c r="CH51" s="252"/>
      <c r="CI51" s="252"/>
      <c r="CJ51" s="252"/>
      <c r="CK51" s="252"/>
      <c r="CL51" s="252"/>
      <c r="CM51" s="252"/>
      <c r="CN51" s="252"/>
      <c r="CO51" s="252"/>
    </row>
    <row r="52" spans="1:93" ht="1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  <c r="AT52" s="252"/>
      <c r="AU52" s="252"/>
      <c r="AV52" s="252"/>
      <c r="AW52" s="252"/>
      <c r="AX52" s="252"/>
      <c r="AY52" s="252"/>
      <c r="AZ52" s="252"/>
      <c r="BA52" s="252"/>
      <c r="BB52" s="252"/>
      <c r="BC52" s="252"/>
      <c r="BD52" s="252"/>
      <c r="BE52" s="252"/>
      <c r="BF52" s="252"/>
      <c r="BG52" s="252"/>
      <c r="BH52" s="252"/>
      <c r="BI52" s="252"/>
      <c r="BJ52" s="252"/>
      <c r="BK52" s="252"/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</row>
    <row r="53" spans="1:93" ht="1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  <c r="AU53" s="252"/>
      <c r="AV53" s="252"/>
      <c r="AW53" s="252"/>
      <c r="AX53" s="252"/>
      <c r="AY53" s="252"/>
      <c r="AZ53" s="252"/>
      <c r="BA53" s="252"/>
      <c r="BB53" s="252"/>
      <c r="BC53" s="252"/>
      <c r="BD53" s="252"/>
      <c r="BE53" s="252"/>
      <c r="BF53" s="252"/>
      <c r="BG53" s="252"/>
      <c r="BH53" s="252"/>
      <c r="BI53" s="252"/>
      <c r="BJ53" s="252"/>
      <c r="BK53" s="252"/>
      <c r="BL53" s="252"/>
      <c r="BM53" s="252"/>
      <c r="BN53" s="252"/>
      <c r="BO53" s="252"/>
      <c r="BP53" s="252"/>
      <c r="BQ53" s="252"/>
      <c r="BR53" s="252"/>
      <c r="BS53" s="252"/>
      <c r="BT53" s="252"/>
      <c r="BU53" s="252"/>
      <c r="BV53" s="252"/>
      <c r="BW53" s="252"/>
      <c r="BX53" s="252"/>
      <c r="BY53" s="252"/>
      <c r="BZ53" s="252"/>
      <c r="CA53" s="252"/>
      <c r="CB53" s="252"/>
      <c r="CC53" s="252"/>
      <c r="CD53" s="252"/>
      <c r="CE53" s="252"/>
      <c r="CF53" s="252"/>
      <c r="CG53" s="252"/>
      <c r="CH53" s="252"/>
      <c r="CI53" s="252"/>
      <c r="CJ53" s="252"/>
      <c r="CK53" s="252"/>
      <c r="CL53" s="252"/>
      <c r="CM53" s="252"/>
      <c r="CN53" s="252"/>
      <c r="CO53" s="252"/>
    </row>
    <row r="54" spans="1:93" ht="1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  <c r="AX54" s="252"/>
      <c r="AY54" s="252"/>
      <c r="AZ54" s="252"/>
      <c r="BA54" s="252"/>
      <c r="BB54" s="252"/>
      <c r="BC54" s="252"/>
      <c r="BD54" s="252"/>
      <c r="BE54" s="252"/>
      <c r="BF54" s="252"/>
      <c r="BG54" s="252"/>
      <c r="BH54" s="252"/>
      <c r="BI54" s="252"/>
      <c r="BJ54" s="252"/>
      <c r="BK54" s="252"/>
      <c r="BL54" s="252"/>
      <c r="BM54" s="252"/>
      <c r="BN54" s="252"/>
      <c r="BO54" s="252"/>
      <c r="BP54" s="252"/>
      <c r="BQ54" s="252"/>
      <c r="BR54" s="252"/>
      <c r="BS54" s="252"/>
      <c r="BT54" s="252"/>
      <c r="BU54" s="252"/>
      <c r="BV54" s="252"/>
      <c r="BW54" s="252"/>
      <c r="BX54" s="252"/>
      <c r="BY54" s="252"/>
      <c r="BZ54" s="252"/>
      <c r="CA54" s="252"/>
      <c r="CB54" s="252"/>
      <c r="CC54" s="252"/>
      <c r="CD54" s="252"/>
      <c r="CE54" s="252"/>
      <c r="CF54" s="252"/>
      <c r="CG54" s="252"/>
      <c r="CH54" s="252"/>
      <c r="CI54" s="252"/>
      <c r="CJ54" s="252"/>
      <c r="CK54" s="252"/>
      <c r="CL54" s="252"/>
      <c r="CM54" s="252"/>
      <c r="CN54" s="252"/>
      <c r="CO54" s="252"/>
    </row>
    <row r="55" spans="1:93" ht="1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</row>
    <row r="56" spans="1:93" ht="1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  <c r="AU56" s="252"/>
      <c r="AV56" s="252"/>
      <c r="AW56" s="252"/>
      <c r="AX56" s="252"/>
      <c r="AY56" s="252"/>
      <c r="AZ56" s="252"/>
      <c r="BA56" s="252"/>
      <c r="BB56" s="252"/>
      <c r="BC56" s="252"/>
      <c r="BD56" s="252"/>
      <c r="BE56" s="252"/>
      <c r="BF56" s="252"/>
      <c r="BG56" s="252"/>
      <c r="BH56" s="252"/>
      <c r="BI56" s="252"/>
      <c r="BJ56" s="252"/>
      <c r="BK56" s="252"/>
      <c r="BL56" s="252"/>
      <c r="BM56" s="252"/>
      <c r="BN56" s="252"/>
      <c r="BO56" s="252"/>
      <c r="BP56" s="252"/>
      <c r="BQ56" s="252"/>
      <c r="BR56" s="252"/>
      <c r="BS56" s="252"/>
      <c r="BT56" s="252"/>
      <c r="BU56" s="252"/>
      <c r="BV56" s="252"/>
      <c r="BW56" s="252"/>
      <c r="BX56" s="252"/>
      <c r="BY56" s="252"/>
      <c r="BZ56" s="252"/>
      <c r="CA56" s="252"/>
      <c r="CB56" s="252"/>
      <c r="CC56" s="252"/>
      <c r="CD56" s="252"/>
      <c r="CE56" s="252"/>
      <c r="CF56" s="252"/>
      <c r="CG56" s="252"/>
      <c r="CH56" s="252"/>
      <c r="CI56" s="252"/>
      <c r="CJ56" s="252"/>
      <c r="CK56" s="252"/>
      <c r="CL56" s="252"/>
      <c r="CM56" s="252"/>
      <c r="CN56" s="252"/>
      <c r="CO56" s="252"/>
    </row>
    <row r="57" spans="1:93" ht="1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2"/>
      <c r="AV57" s="252"/>
      <c r="AW57" s="252"/>
      <c r="AX57" s="252"/>
      <c r="AY57" s="252"/>
      <c r="AZ57" s="252"/>
      <c r="BA57" s="252"/>
      <c r="BB57" s="252"/>
      <c r="BC57" s="252"/>
      <c r="BD57" s="252"/>
      <c r="BE57" s="252"/>
      <c r="BF57" s="252"/>
      <c r="BG57" s="252"/>
      <c r="BH57" s="252"/>
      <c r="BI57" s="252"/>
      <c r="BJ57" s="252"/>
      <c r="BK57" s="252"/>
      <c r="BL57" s="252"/>
      <c r="BM57" s="252"/>
      <c r="BN57" s="252"/>
      <c r="BO57" s="252"/>
      <c r="BP57" s="252"/>
      <c r="BQ57" s="252"/>
      <c r="BR57" s="252"/>
      <c r="BS57" s="252"/>
      <c r="BT57" s="252"/>
      <c r="BU57" s="252"/>
      <c r="BV57" s="252"/>
      <c r="BW57" s="252"/>
      <c r="BX57" s="252"/>
      <c r="BY57" s="252"/>
      <c r="BZ57" s="252"/>
      <c r="CA57" s="252"/>
      <c r="CB57" s="252"/>
      <c r="CC57" s="252"/>
      <c r="CD57" s="252"/>
      <c r="CE57" s="252"/>
      <c r="CF57" s="252"/>
      <c r="CG57" s="252"/>
      <c r="CH57" s="252"/>
      <c r="CI57" s="252"/>
      <c r="CJ57" s="252"/>
      <c r="CK57" s="252"/>
      <c r="CL57" s="252"/>
      <c r="CM57" s="252"/>
      <c r="CN57" s="252"/>
      <c r="CO57" s="252"/>
    </row>
    <row r="58" spans="1:93" ht="1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2"/>
      <c r="AV58" s="252"/>
      <c r="AW58" s="252"/>
      <c r="AX58" s="252"/>
      <c r="AY58" s="252"/>
      <c r="AZ58" s="252"/>
      <c r="BA58" s="252"/>
      <c r="BB58" s="252"/>
      <c r="BC58" s="252"/>
      <c r="BD58" s="252"/>
      <c r="BE58" s="252"/>
      <c r="BF58" s="252"/>
      <c r="BG58" s="252"/>
      <c r="BH58" s="252"/>
      <c r="BI58" s="252"/>
      <c r="BJ58" s="252"/>
      <c r="BK58" s="252"/>
      <c r="BL58" s="252"/>
      <c r="BM58" s="252"/>
      <c r="BN58" s="252"/>
      <c r="BO58" s="252"/>
      <c r="BP58" s="252"/>
      <c r="BQ58" s="252"/>
      <c r="BR58" s="252"/>
      <c r="BS58" s="252"/>
      <c r="BT58" s="252"/>
      <c r="BU58" s="252"/>
      <c r="BV58" s="252"/>
      <c r="BW58" s="252"/>
      <c r="BX58" s="252"/>
      <c r="BY58" s="252"/>
      <c r="BZ58" s="252"/>
      <c r="CA58" s="252"/>
      <c r="CB58" s="252"/>
      <c r="CC58" s="252"/>
      <c r="CD58" s="252"/>
      <c r="CE58" s="252"/>
      <c r="CF58" s="252"/>
      <c r="CG58" s="252"/>
      <c r="CH58" s="252"/>
      <c r="CI58" s="252"/>
      <c r="CJ58" s="252"/>
      <c r="CK58" s="252"/>
      <c r="CL58" s="252"/>
      <c r="CM58" s="252"/>
      <c r="CN58" s="252"/>
      <c r="CO58" s="252"/>
    </row>
    <row r="59" spans="1:93" ht="1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252"/>
      <c r="AY59" s="252"/>
      <c r="AZ59" s="252"/>
      <c r="BA59" s="252"/>
      <c r="BB59" s="252"/>
      <c r="BC59" s="252"/>
      <c r="BD59" s="252"/>
      <c r="BE59" s="252"/>
      <c r="BF59" s="252"/>
      <c r="BG59" s="252"/>
      <c r="BH59" s="252"/>
      <c r="BI59" s="252"/>
      <c r="BJ59" s="252"/>
      <c r="BK59" s="252"/>
      <c r="BL59" s="252"/>
      <c r="BM59" s="252"/>
      <c r="BN59" s="252"/>
      <c r="BO59" s="252"/>
      <c r="BP59" s="252"/>
      <c r="BQ59" s="252"/>
      <c r="BR59" s="252"/>
      <c r="BS59" s="252"/>
      <c r="BT59" s="252"/>
      <c r="BU59" s="252"/>
      <c r="BV59" s="252"/>
      <c r="BW59" s="252"/>
      <c r="BX59" s="252"/>
      <c r="BY59" s="252"/>
      <c r="BZ59" s="252"/>
      <c r="CA59" s="252"/>
      <c r="CB59" s="252"/>
      <c r="CC59" s="252"/>
      <c r="CD59" s="252"/>
      <c r="CE59" s="252"/>
      <c r="CF59" s="252"/>
      <c r="CG59" s="252"/>
      <c r="CH59" s="252"/>
      <c r="CI59" s="252"/>
      <c r="CJ59" s="252"/>
      <c r="CK59" s="252"/>
      <c r="CL59" s="252"/>
      <c r="CM59" s="252"/>
      <c r="CN59" s="252"/>
      <c r="CO59" s="252"/>
    </row>
    <row r="60" spans="1:93" ht="15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  <c r="CA60" s="252"/>
      <c r="CB60" s="252"/>
      <c r="CC60" s="252"/>
      <c r="CD60" s="252"/>
      <c r="CE60" s="252"/>
      <c r="CF60" s="252"/>
      <c r="CG60" s="252"/>
      <c r="CH60" s="252"/>
      <c r="CI60" s="252"/>
      <c r="CJ60" s="252"/>
      <c r="CK60" s="252"/>
      <c r="CL60" s="252"/>
      <c r="CM60" s="252"/>
      <c r="CN60" s="252"/>
      <c r="CO60" s="252"/>
    </row>
    <row r="61" spans="1:93" ht="15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252"/>
      <c r="AU61" s="252"/>
      <c r="AV61" s="252"/>
      <c r="AW61" s="252"/>
      <c r="AX61" s="252"/>
      <c r="AY61" s="252"/>
      <c r="AZ61" s="252"/>
      <c r="BA61" s="252"/>
      <c r="BB61" s="252"/>
      <c r="BC61" s="252"/>
      <c r="BD61" s="252"/>
      <c r="BE61" s="252"/>
      <c r="BF61" s="252"/>
      <c r="BG61" s="252"/>
      <c r="BH61" s="252"/>
      <c r="BI61" s="252"/>
      <c r="BJ61" s="252"/>
      <c r="BK61" s="252"/>
      <c r="BL61" s="252"/>
      <c r="BM61" s="252"/>
      <c r="BN61" s="252"/>
      <c r="BO61" s="252"/>
      <c r="BP61" s="252"/>
      <c r="BQ61" s="252"/>
      <c r="BR61" s="252"/>
      <c r="BS61" s="252"/>
      <c r="BT61" s="252"/>
      <c r="BU61" s="252"/>
      <c r="BV61" s="252"/>
      <c r="BW61" s="252"/>
      <c r="BX61" s="252"/>
      <c r="BY61" s="252"/>
      <c r="BZ61" s="252"/>
      <c r="CA61" s="252"/>
      <c r="CB61" s="252"/>
      <c r="CC61" s="252"/>
      <c r="CD61" s="252"/>
      <c r="CE61" s="252"/>
      <c r="CF61" s="252"/>
      <c r="CG61" s="252"/>
      <c r="CH61" s="252"/>
      <c r="CI61" s="252"/>
      <c r="CJ61" s="252"/>
      <c r="CK61" s="252"/>
      <c r="CL61" s="252"/>
      <c r="CM61" s="252"/>
      <c r="CN61" s="252"/>
      <c r="CO61" s="252"/>
    </row>
    <row r="62" spans="1:93" ht="15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  <c r="AP62" s="252"/>
      <c r="AQ62" s="252"/>
      <c r="AR62" s="252"/>
      <c r="AS62" s="252"/>
      <c r="AT62" s="252"/>
      <c r="AU62" s="252"/>
      <c r="AV62" s="252"/>
      <c r="AW62" s="252"/>
      <c r="AX62" s="252"/>
      <c r="AY62" s="252"/>
      <c r="AZ62" s="252"/>
      <c r="BA62" s="252"/>
      <c r="BB62" s="252"/>
      <c r="BC62" s="252"/>
      <c r="BD62" s="252"/>
      <c r="BE62" s="252"/>
      <c r="BF62" s="252"/>
      <c r="BG62" s="252"/>
      <c r="BH62" s="252"/>
      <c r="BI62" s="252"/>
      <c r="BJ62" s="252"/>
      <c r="BK62" s="252"/>
      <c r="BL62" s="252"/>
      <c r="BM62" s="252"/>
      <c r="BN62" s="252"/>
      <c r="BO62" s="252"/>
      <c r="BP62" s="252"/>
      <c r="BQ62" s="252"/>
      <c r="BR62" s="252"/>
      <c r="BS62" s="252"/>
      <c r="BT62" s="252"/>
      <c r="BU62" s="252"/>
      <c r="BV62" s="252"/>
      <c r="BW62" s="252"/>
      <c r="BX62" s="252"/>
      <c r="BY62" s="252"/>
      <c r="BZ62" s="252"/>
      <c r="CA62" s="252"/>
      <c r="CB62" s="252"/>
      <c r="CC62" s="252"/>
      <c r="CD62" s="252"/>
      <c r="CE62" s="252"/>
      <c r="CF62" s="252"/>
      <c r="CG62" s="252"/>
      <c r="CH62" s="252"/>
      <c r="CI62" s="252"/>
      <c r="CJ62" s="252"/>
      <c r="CK62" s="252"/>
      <c r="CL62" s="252"/>
      <c r="CM62" s="252"/>
      <c r="CN62" s="252"/>
      <c r="CO62" s="252"/>
    </row>
    <row r="63" spans="1:93" ht="15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  <c r="AP63" s="252"/>
      <c r="AQ63" s="252"/>
      <c r="AR63" s="252"/>
      <c r="AS63" s="252"/>
      <c r="AT63" s="252"/>
      <c r="AU63" s="252"/>
      <c r="AV63" s="252"/>
      <c r="AW63" s="252"/>
      <c r="AX63" s="252"/>
      <c r="AY63" s="252"/>
      <c r="AZ63" s="252"/>
      <c r="BA63" s="252"/>
      <c r="BB63" s="252"/>
      <c r="BC63" s="252"/>
      <c r="BD63" s="252"/>
      <c r="BE63" s="252"/>
      <c r="BF63" s="252"/>
      <c r="BG63" s="252"/>
      <c r="BH63" s="252"/>
      <c r="BI63" s="252"/>
      <c r="BJ63" s="252"/>
      <c r="BK63" s="252"/>
      <c r="BL63" s="252"/>
      <c r="BM63" s="252"/>
      <c r="BN63" s="252"/>
      <c r="BO63" s="252"/>
      <c r="BP63" s="252"/>
      <c r="BQ63" s="252"/>
      <c r="BR63" s="252"/>
      <c r="BS63" s="252"/>
      <c r="BT63" s="252"/>
      <c r="BU63" s="252"/>
      <c r="BV63" s="252"/>
      <c r="BW63" s="252"/>
      <c r="BX63" s="252"/>
      <c r="BY63" s="252"/>
      <c r="BZ63" s="252"/>
      <c r="CA63" s="252"/>
      <c r="CB63" s="252"/>
      <c r="CC63" s="252"/>
      <c r="CD63" s="252"/>
      <c r="CE63" s="252"/>
      <c r="CF63" s="252"/>
      <c r="CG63" s="252"/>
      <c r="CH63" s="252"/>
      <c r="CI63" s="252"/>
      <c r="CJ63" s="252"/>
      <c r="CK63" s="252"/>
      <c r="CL63" s="252"/>
      <c r="CM63" s="252"/>
      <c r="CN63" s="252"/>
      <c r="CO63" s="252"/>
    </row>
    <row r="64" spans="1:93" ht="15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2"/>
      <c r="CM64" s="252"/>
      <c r="CN64" s="252"/>
      <c r="CO64" s="252"/>
    </row>
    <row r="65" spans="1:93" ht="15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52"/>
      <c r="BZ65" s="252"/>
      <c r="CA65" s="252"/>
      <c r="CB65" s="252"/>
      <c r="CC65" s="252"/>
      <c r="CD65" s="252"/>
      <c r="CE65" s="252"/>
      <c r="CF65" s="252"/>
      <c r="CG65" s="252"/>
      <c r="CH65" s="252"/>
      <c r="CI65" s="252"/>
      <c r="CJ65" s="252"/>
      <c r="CK65" s="252"/>
      <c r="CL65" s="252"/>
      <c r="CM65" s="252"/>
      <c r="CN65" s="252"/>
      <c r="CO65" s="252"/>
    </row>
    <row r="66" spans="1:93" ht="15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52"/>
      <c r="BZ66" s="252"/>
      <c r="CA66" s="252"/>
      <c r="CB66" s="252"/>
      <c r="CC66" s="252"/>
      <c r="CD66" s="252"/>
      <c r="CE66" s="252"/>
      <c r="CF66" s="252"/>
      <c r="CG66" s="252"/>
      <c r="CH66" s="252"/>
      <c r="CI66" s="252"/>
      <c r="CJ66" s="252"/>
      <c r="CK66" s="252"/>
      <c r="CL66" s="252"/>
      <c r="CM66" s="252"/>
      <c r="CN66" s="252"/>
      <c r="CO66" s="252"/>
    </row>
    <row r="67" spans="1:93" ht="15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52"/>
      <c r="BZ67" s="252"/>
      <c r="CA67" s="252"/>
      <c r="CB67" s="252"/>
      <c r="CC67" s="252"/>
      <c r="CD67" s="252"/>
      <c r="CE67" s="252"/>
      <c r="CF67" s="252"/>
      <c r="CG67" s="252"/>
      <c r="CH67" s="252"/>
      <c r="CI67" s="252"/>
      <c r="CJ67" s="252"/>
      <c r="CK67" s="252"/>
      <c r="CL67" s="252"/>
      <c r="CM67" s="252"/>
      <c r="CN67" s="252"/>
      <c r="CO67" s="252"/>
    </row>
    <row r="68" spans="1:93" ht="1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52"/>
      <c r="BZ68" s="252"/>
      <c r="CA68" s="252"/>
      <c r="CB68" s="252"/>
      <c r="CC68" s="252"/>
      <c r="CD68" s="252"/>
      <c r="CE68" s="252"/>
      <c r="CF68" s="252"/>
      <c r="CG68" s="252"/>
      <c r="CH68" s="252"/>
      <c r="CI68" s="252"/>
      <c r="CJ68" s="252"/>
      <c r="CK68" s="252"/>
      <c r="CL68" s="252"/>
      <c r="CM68" s="252"/>
      <c r="CN68" s="252"/>
      <c r="CO68" s="252"/>
    </row>
    <row r="69" spans="1:93" ht="1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</row>
    <row r="70" spans="1:93" ht="1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52"/>
      <c r="BZ70" s="252"/>
      <c r="CA70" s="252"/>
      <c r="CB70" s="252"/>
      <c r="CC70" s="252"/>
      <c r="CD70" s="252"/>
      <c r="CE70" s="252"/>
      <c r="CF70" s="252"/>
      <c r="CG70" s="252"/>
      <c r="CH70" s="252"/>
      <c r="CI70" s="252"/>
      <c r="CJ70" s="252"/>
      <c r="CK70" s="252"/>
      <c r="CL70" s="252"/>
      <c r="CM70" s="252"/>
      <c r="CN70" s="252"/>
      <c r="CO70" s="252"/>
    </row>
    <row r="71" spans="1:93" ht="1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52"/>
      <c r="BZ71" s="252"/>
      <c r="CA71" s="252"/>
      <c r="CB71" s="252"/>
      <c r="CC71" s="252"/>
      <c r="CD71" s="252"/>
      <c r="CE71" s="252"/>
      <c r="CF71" s="252"/>
      <c r="CG71" s="252"/>
      <c r="CH71" s="252"/>
      <c r="CI71" s="252"/>
      <c r="CJ71" s="252"/>
      <c r="CK71" s="252"/>
      <c r="CL71" s="252"/>
      <c r="CM71" s="252"/>
      <c r="CN71" s="252"/>
      <c r="CO71" s="252"/>
    </row>
    <row r="72" spans="1:93" ht="1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52"/>
      <c r="BZ72" s="252"/>
      <c r="CA72" s="252"/>
      <c r="CB72" s="252"/>
      <c r="CC72" s="252"/>
      <c r="CD72" s="252"/>
      <c r="CE72" s="252"/>
      <c r="CF72" s="252"/>
      <c r="CG72" s="252"/>
      <c r="CH72" s="252"/>
      <c r="CI72" s="252"/>
      <c r="CJ72" s="252"/>
      <c r="CK72" s="252"/>
      <c r="CL72" s="252"/>
      <c r="CM72" s="252"/>
      <c r="CN72" s="252"/>
      <c r="CO72" s="252"/>
    </row>
    <row r="73" spans="1:93" ht="1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52"/>
      <c r="BZ73" s="252"/>
      <c r="CA73" s="252"/>
      <c r="CB73" s="252"/>
      <c r="CC73" s="252"/>
      <c r="CD73" s="252"/>
      <c r="CE73" s="252"/>
      <c r="CF73" s="252"/>
      <c r="CG73" s="252"/>
      <c r="CH73" s="252"/>
      <c r="CI73" s="252"/>
      <c r="CJ73" s="252"/>
      <c r="CK73" s="252"/>
      <c r="CL73" s="252"/>
      <c r="CM73" s="252"/>
      <c r="CN73" s="252"/>
      <c r="CO73" s="252"/>
    </row>
    <row r="74" spans="1:93" ht="15">
      <c r="A74" s="252"/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52"/>
      <c r="BZ74" s="252"/>
      <c r="CA74" s="252"/>
      <c r="CB74" s="252"/>
      <c r="CC74" s="252"/>
      <c r="CD74" s="252"/>
      <c r="CE74" s="252"/>
      <c r="CF74" s="252"/>
      <c r="CG74" s="252"/>
      <c r="CH74" s="252"/>
      <c r="CI74" s="252"/>
      <c r="CJ74" s="252"/>
      <c r="CK74" s="252"/>
      <c r="CL74" s="252"/>
      <c r="CM74" s="252"/>
      <c r="CN74" s="252"/>
      <c r="CO74" s="252"/>
    </row>
    <row r="75" spans="1:93" ht="15">
      <c r="A75" s="252"/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52"/>
      <c r="BZ75" s="252"/>
      <c r="CA75" s="252"/>
      <c r="CB75" s="252"/>
      <c r="CC75" s="252"/>
      <c r="CD75" s="252"/>
      <c r="CE75" s="252"/>
      <c r="CF75" s="252"/>
      <c r="CG75" s="252"/>
      <c r="CH75" s="252"/>
      <c r="CI75" s="252"/>
      <c r="CJ75" s="252"/>
      <c r="CK75" s="252"/>
      <c r="CL75" s="252"/>
      <c r="CM75" s="252"/>
      <c r="CN75" s="252"/>
      <c r="CO75" s="252"/>
    </row>
    <row r="76" spans="1:93" ht="15">
      <c r="A76" s="252"/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52"/>
      <c r="BZ76" s="252"/>
      <c r="CA76" s="252"/>
      <c r="CB76" s="252"/>
      <c r="CC76" s="252"/>
      <c r="CD76" s="252"/>
      <c r="CE76" s="252"/>
      <c r="CF76" s="252"/>
      <c r="CG76" s="252"/>
      <c r="CH76" s="252"/>
      <c r="CI76" s="252"/>
      <c r="CJ76" s="252"/>
      <c r="CK76" s="252"/>
      <c r="CL76" s="252"/>
      <c r="CM76" s="252"/>
      <c r="CN76" s="252"/>
      <c r="CO76" s="252"/>
    </row>
    <row r="77" spans="1:93" ht="15">
      <c r="A77" s="252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52"/>
      <c r="BZ77" s="252"/>
      <c r="CA77" s="252"/>
      <c r="CB77" s="252"/>
      <c r="CC77" s="252"/>
      <c r="CD77" s="252"/>
      <c r="CE77" s="252"/>
      <c r="CF77" s="252"/>
      <c r="CG77" s="252"/>
      <c r="CH77" s="252"/>
      <c r="CI77" s="252"/>
      <c r="CJ77" s="252"/>
      <c r="CK77" s="252"/>
      <c r="CL77" s="252"/>
      <c r="CM77" s="252"/>
      <c r="CN77" s="252"/>
      <c r="CO77" s="252"/>
    </row>
    <row r="78" spans="1:93" ht="15">
      <c r="A78" s="252"/>
      <c r="B78" s="252"/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52"/>
      <c r="BZ78" s="252"/>
      <c r="CA78" s="252"/>
      <c r="CB78" s="252"/>
      <c r="CC78" s="252"/>
      <c r="CD78" s="252"/>
      <c r="CE78" s="252"/>
      <c r="CF78" s="252"/>
      <c r="CG78" s="252"/>
      <c r="CH78" s="252"/>
      <c r="CI78" s="252"/>
      <c r="CJ78" s="252"/>
      <c r="CK78" s="252"/>
      <c r="CL78" s="252"/>
      <c r="CM78" s="252"/>
      <c r="CN78" s="252"/>
      <c r="CO78" s="252"/>
    </row>
    <row r="79" spans="1:93" ht="15">
      <c r="A79" s="252"/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52"/>
      <c r="BZ79" s="252"/>
      <c r="CA79" s="252"/>
      <c r="CB79" s="252"/>
      <c r="CC79" s="252"/>
      <c r="CD79" s="252"/>
      <c r="CE79" s="252"/>
      <c r="CF79" s="252"/>
      <c r="CG79" s="252"/>
      <c r="CH79" s="252"/>
      <c r="CI79" s="252"/>
      <c r="CJ79" s="252"/>
      <c r="CK79" s="252"/>
      <c r="CL79" s="252"/>
      <c r="CM79" s="252"/>
      <c r="CN79" s="252"/>
      <c r="CO79" s="252"/>
    </row>
    <row r="80" spans="1:93" ht="15">
      <c r="A80" s="252"/>
      <c r="B80" s="252"/>
      <c r="H80" s="2"/>
      <c r="I80" s="51"/>
      <c r="J80" s="51"/>
      <c r="K80" s="51"/>
      <c r="L80" s="51"/>
      <c r="M80" s="51"/>
      <c r="N80" s="51"/>
      <c r="O80" s="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52"/>
      <c r="BZ80" s="252"/>
      <c r="CA80" s="252"/>
      <c r="CB80" s="252"/>
      <c r="CC80" s="252"/>
      <c r="CD80" s="252"/>
      <c r="CE80" s="252"/>
      <c r="CF80" s="252"/>
      <c r="CG80" s="252"/>
      <c r="CH80" s="252"/>
      <c r="CI80" s="252"/>
      <c r="CJ80" s="252"/>
      <c r="CK80" s="252"/>
      <c r="CL80" s="252"/>
      <c r="CM80" s="252"/>
      <c r="CN80" s="252"/>
      <c r="CO80" s="252"/>
    </row>
    <row r="81" spans="1:93" ht="15">
      <c r="A81" s="252"/>
      <c r="B81" s="252"/>
      <c r="H81" s="2"/>
      <c r="I81" s="51"/>
      <c r="J81" s="51"/>
      <c r="K81" s="51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52"/>
      <c r="BZ81" s="252"/>
      <c r="CA81" s="252"/>
      <c r="CB81" s="252"/>
      <c r="CC81" s="252"/>
      <c r="CD81" s="252"/>
      <c r="CE81" s="252"/>
      <c r="CF81" s="252"/>
      <c r="CG81" s="252"/>
      <c r="CH81" s="252"/>
      <c r="CI81" s="252"/>
      <c r="CJ81" s="252"/>
      <c r="CK81" s="252"/>
      <c r="CL81" s="252"/>
      <c r="CM81" s="252"/>
      <c r="CN81" s="252"/>
      <c r="CO81" s="252"/>
    </row>
    <row r="82" spans="1:93" ht="15">
      <c r="A82" s="252"/>
      <c r="B82" s="252"/>
      <c r="H82" s="2"/>
      <c r="I82" s="51"/>
      <c r="J82" s="51"/>
      <c r="K82" s="51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  <c r="AX82" s="252"/>
      <c r="AY82" s="252"/>
      <c r="AZ82" s="252"/>
      <c r="BA82" s="252"/>
      <c r="BB82" s="252"/>
      <c r="BC82" s="252"/>
      <c r="BD82" s="252"/>
      <c r="BE82" s="252"/>
      <c r="BF82" s="252"/>
      <c r="BG82" s="252"/>
      <c r="BH82" s="252"/>
      <c r="BI82" s="252"/>
      <c r="BJ82" s="252"/>
      <c r="BK82" s="252"/>
      <c r="BL82" s="252"/>
      <c r="BM82" s="252"/>
      <c r="BN82" s="252"/>
      <c r="BO82" s="252"/>
      <c r="BP82" s="252"/>
      <c r="BQ82" s="252"/>
      <c r="BR82" s="252"/>
      <c r="BS82" s="252"/>
      <c r="BT82" s="252"/>
      <c r="BU82" s="252"/>
      <c r="BV82" s="252"/>
      <c r="BW82" s="252"/>
      <c r="BX82" s="252"/>
      <c r="BY82" s="252"/>
      <c r="BZ82" s="252"/>
      <c r="CA82" s="252"/>
      <c r="CB82" s="252"/>
      <c r="CC82" s="252"/>
      <c r="CD82" s="252"/>
      <c r="CE82" s="252"/>
      <c r="CF82" s="252"/>
      <c r="CG82" s="252"/>
      <c r="CH82" s="252"/>
      <c r="CI82" s="252"/>
      <c r="CJ82" s="252"/>
      <c r="CK82" s="252"/>
      <c r="CL82" s="252"/>
      <c r="CM82" s="252"/>
      <c r="CN82" s="252"/>
      <c r="CO82" s="252"/>
    </row>
    <row r="83" spans="1:93" ht="15">
      <c r="A83" s="252"/>
      <c r="B83" s="252"/>
      <c r="H83" s="2"/>
      <c r="I83" s="51"/>
      <c r="J83" s="51"/>
      <c r="K83" s="51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  <c r="AP83" s="252"/>
      <c r="AQ83" s="252"/>
      <c r="AR83" s="252"/>
      <c r="AS83" s="252"/>
      <c r="AT83" s="252"/>
      <c r="AU83" s="252"/>
      <c r="AV83" s="252"/>
      <c r="AW83" s="252"/>
      <c r="AX83" s="252"/>
      <c r="AY83" s="252"/>
      <c r="AZ83" s="252"/>
      <c r="BA83" s="252"/>
      <c r="BB83" s="252"/>
      <c r="BC83" s="252"/>
      <c r="BD83" s="252"/>
      <c r="BE83" s="252"/>
      <c r="BF83" s="252"/>
      <c r="BG83" s="252"/>
      <c r="BH83" s="252"/>
      <c r="BI83" s="252"/>
      <c r="BJ83" s="252"/>
      <c r="BK83" s="252"/>
      <c r="BL83" s="252"/>
      <c r="BM83" s="252"/>
      <c r="BN83" s="252"/>
      <c r="BO83" s="252"/>
      <c r="BP83" s="252"/>
      <c r="BQ83" s="252"/>
      <c r="BR83" s="252"/>
      <c r="BS83" s="252"/>
      <c r="BT83" s="252"/>
      <c r="BU83" s="252"/>
      <c r="BV83" s="252"/>
      <c r="BW83" s="252"/>
      <c r="BX83" s="252"/>
      <c r="BY83" s="252"/>
      <c r="BZ83" s="252"/>
      <c r="CA83" s="252"/>
      <c r="CB83" s="252"/>
      <c r="CC83" s="252"/>
      <c r="CD83" s="252"/>
      <c r="CE83" s="252"/>
      <c r="CF83" s="252"/>
      <c r="CG83" s="252"/>
      <c r="CH83" s="252"/>
      <c r="CI83" s="252"/>
      <c r="CJ83" s="252"/>
      <c r="CK83" s="252"/>
      <c r="CL83" s="252"/>
      <c r="CM83" s="252"/>
      <c r="CN83" s="252"/>
      <c r="CO83" s="252"/>
    </row>
    <row r="84" spans="1:93" ht="15">
      <c r="A84" s="252"/>
      <c r="B84" s="252"/>
      <c r="H84" s="2"/>
      <c r="I84" s="51"/>
      <c r="J84" s="51"/>
      <c r="K84" s="51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  <c r="AX84" s="252"/>
      <c r="AY84" s="252"/>
      <c r="AZ84" s="252"/>
      <c r="BA84" s="252"/>
      <c r="BB84" s="252"/>
      <c r="BC84" s="252"/>
      <c r="BD84" s="252"/>
      <c r="BE84" s="252"/>
      <c r="BF84" s="252"/>
      <c r="BG84" s="252"/>
      <c r="BH84" s="252"/>
      <c r="BI84" s="252"/>
      <c r="BJ84" s="252"/>
      <c r="BK84" s="252"/>
      <c r="BL84" s="252"/>
      <c r="BM84" s="252"/>
      <c r="BN84" s="252"/>
      <c r="BO84" s="252"/>
      <c r="BP84" s="252"/>
      <c r="BQ84" s="252"/>
      <c r="BR84" s="252"/>
      <c r="BS84" s="252"/>
      <c r="BT84" s="252"/>
      <c r="BU84" s="252"/>
      <c r="BV84" s="252"/>
      <c r="BW84" s="252"/>
      <c r="BX84" s="252"/>
      <c r="BY84" s="252"/>
      <c r="BZ84" s="252"/>
      <c r="CA84" s="252"/>
      <c r="CB84" s="252"/>
      <c r="CC84" s="252"/>
      <c r="CD84" s="252"/>
      <c r="CE84" s="252"/>
      <c r="CF84" s="252"/>
      <c r="CG84" s="252"/>
      <c r="CH84" s="252"/>
      <c r="CI84" s="252"/>
      <c r="CJ84" s="252"/>
      <c r="CK84" s="252"/>
      <c r="CL84" s="252"/>
      <c r="CM84" s="252"/>
      <c r="CN84" s="252"/>
      <c r="CO84" s="252"/>
    </row>
    <row r="85" spans="1:93" ht="15">
      <c r="A85" s="252"/>
      <c r="B85" s="252"/>
      <c r="H85" s="2"/>
      <c r="I85" s="571"/>
      <c r="J85" s="51"/>
      <c r="K85" s="51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252"/>
      <c r="AU85" s="252"/>
      <c r="AV85" s="252"/>
      <c r="AW85" s="252"/>
      <c r="AX85" s="252"/>
      <c r="BP85" s="252"/>
      <c r="BQ85" s="252"/>
      <c r="BR85" s="252"/>
      <c r="BS85" s="252"/>
      <c r="BT85" s="252"/>
      <c r="BU85" s="252"/>
      <c r="BV85" s="252"/>
      <c r="BW85" s="252"/>
      <c r="BX85" s="252"/>
      <c r="BY85" s="252"/>
      <c r="BZ85" s="252"/>
      <c r="CA85" s="252"/>
      <c r="CB85" s="252"/>
      <c r="CC85" s="252"/>
      <c r="CD85" s="252"/>
      <c r="CE85" s="252"/>
      <c r="CF85" s="252"/>
      <c r="CG85" s="252"/>
      <c r="CH85" s="252"/>
      <c r="CI85" s="252"/>
      <c r="CJ85" s="252"/>
      <c r="CK85" s="252"/>
      <c r="CL85" s="252"/>
      <c r="CM85" s="252"/>
      <c r="CN85" s="252"/>
      <c r="CO85" s="252"/>
    </row>
    <row r="86" spans="1:93" ht="15">
      <c r="A86" s="252"/>
      <c r="B86" s="252"/>
      <c r="H86" s="2"/>
      <c r="I86" s="572"/>
      <c r="J86" s="51"/>
      <c r="K86" s="51"/>
      <c r="L86" s="51"/>
      <c r="M86" s="51"/>
      <c r="N86" s="51"/>
      <c r="O86" s="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  <c r="AX86" s="252"/>
      <c r="BQ86" s="252"/>
      <c r="BR86" s="252"/>
      <c r="BS86" s="252"/>
      <c r="BT86" s="252"/>
      <c r="BU86" s="252"/>
      <c r="BV86" s="252"/>
      <c r="BW86" s="252"/>
      <c r="BX86" s="252"/>
      <c r="BY86" s="252"/>
      <c r="BZ86" s="252"/>
      <c r="CA86" s="252"/>
      <c r="CB86" s="252"/>
      <c r="CC86" s="252"/>
      <c r="CD86" s="252"/>
      <c r="CE86" s="252"/>
      <c r="CF86" s="252"/>
      <c r="CG86" s="252"/>
      <c r="CH86" s="252"/>
      <c r="CI86" s="252"/>
      <c r="CJ86" s="252"/>
      <c r="CK86" s="252"/>
      <c r="CL86" s="252"/>
      <c r="CM86" s="252"/>
      <c r="CN86" s="252"/>
      <c r="CO86" s="252"/>
    </row>
    <row r="87" spans="1:93" ht="15">
      <c r="A87" s="252"/>
      <c r="B87" s="252"/>
      <c r="H87" s="2"/>
      <c r="I87" s="2"/>
      <c r="J87" s="2"/>
      <c r="K87" s="2"/>
      <c r="L87" s="2"/>
      <c r="M87" s="2"/>
      <c r="N87" s="2"/>
      <c r="O87" s="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  <c r="AX87" s="252"/>
      <c r="BQ87" s="252"/>
      <c r="BR87" s="252"/>
      <c r="BS87" s="252"/>
      <c r="BT87" s="252"/>
      <c r="BU87" s="252"/>
      <c r="BV87" s="252"/>
      <c r="BW87" s="252"/>
      <c r="BX87" s="252"/>
      <c r="BY87" s="252"/>
      <c r="BZ87" s="252"/>
      <c r="CA87" s="252"/>
      <c r="CB87" s="252"/>
      <c r="CC87" s="252"/>
      <c r="CD87" s="252"/>
      <c r="CE87" s="252"/>
      <c r="CF87" s="252"/>
      <c r="CG87" s="252"/>
      <c r="CH87" s="252"/>
      <c r="CI87" s="252"/>
      <c r="CJ87" s="252"/>
      <c r="CK87" s="252"/>
      <c r="CL87" s="252"/>
      <c r="CM87" s="252"/>
      <c r="CN87" s="252"/>
      <c r="CO87" s="252"/>
    </row>
    <row r="88" spans="1:93" ht="15">
      <c r="A88" s="252"/>
      <c r="B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  <c r="AX88" s="252"/>
      <c r="BQ88" s="252"/>
      <c r="BR88" s="252"/>
      <c r="BS88" s="252"/>
      <c r="BT88" s="252"/>
      <c r="BU88" s="252"/>
      <c r="BV88" s="252"/>
      <c r="BW88" s="252"/>
      <c r="BX88" s="252"/>
      <c r="BY88" s="252"/>
      <c r="BZ88" s="252"/>
      <c r="CA88" s="252"/>
      <c r="CB88" s="252"/>
      <c r="CC88" s="252"/>
      <c r="CD88" s="252"/>
      <c r="CE88" s="252"/>
      <c r="CF88" s="252"/>
      <c r="CG88" s="252"/>
      <c r="CH88" s="252"/>
      <c r="CI88" s="252"/>
      <c r="CJ88" s="252"/>
      <c r="CK88" s="252"/>
      <c r="CL88" s="252"/>
      <c r="CM88" s="252"/>
      <c r="CN88" s="252"/>
      <c r="CO88" s="252"/>
    </row>
    <row r="89" spans="1:93" ht="15">
      <c r="A89" s="252"/>
      <c r="B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252"/>
      <c r="AU89" s="252"/>
      <c r="AV89" s="252"/>
      <c r="AW89" s="252"/>
      <c r="AX89" s="252"/>
      <c r="BQ89" s="252"/>
      <c r="BR89" s="252"/>
      <c r="BS89" s="252"/>
      <c r="BT89" s="252"/>
      <c r="BU89" s="252"/>
      <c r="BV89" s="252"/>
      <c r="BW89" s="252"/>
      <c r="BX89" s="252"/>
      <c r="BY89" s="252"/>
      <c r="BZ89" s="252"/>
      <c r="CA89" s="252"/>
      <c r="CB89" s="252"/>
      <c r="CC89" s="252"/>
      <c r="CD89" s="252"/>
      <c r="CE89" s="252"/>
      <c r="CF89" s="252"/>
      <c r="CG89" s="252"/>
      <c r="CH89" s="252"/>
      <c r="CI89" s="252"/>
      <c r="CJ89" s="252"/>
      <c r="CK89" s="252"/>
      <c r="CL89" s="252"/>
      <c r="CM89" s="252"/>
      <c r="CN89" s="252"/>
      <c r="CO89" s="252"/>
    </row>
    <row r="90" spans="1:93" ht="15">
      <c r="A90" s="252"/>
      <c r="B90" s="252"/>
      <c r="T90" s="252"/>
      <c r="U90" s="252"/>
      <c r="V90" s="252"/>
      <c r="W90" s="252"/>
      <c r="X90" s="252"/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52"/>
      <c r="AN90" s="252"/>
      <c r="AO90" s="252"/>
      <c r="AP90" s="252"/>
      <c r="AQ90" s="252"/>
      <c r="AR90" s="252"/>
      <c r="AS90" s="252"/>
      <c r="AT90" s="252"/>
      <c r="AU90" s="252"/>
      <c r="AV90" s="252"/>
      <c r="AW90" s="252"/>
      <c r="AX90" s="252"/>
      <c r="BQ90" s="252"/>
      <c r="BR90" s="252"/>
      <c r="BS90" s="252"/>
      <c r="BT90" s="252"/>
      <c r="BU90" s="252"/>
      <c r="BV90" s="252"/>
      <c r="BW90" s="252"/>
      <c r="BX90" s="252"/>
      <c r="BY90" s="252"/>
      <c r="BZ90" s="252"/>
      <c r="CA90" s="252"/>
      <c r="CB90" s="252"/>
      <c r="CC90" s="252"/>
      <c r="CD90" s="252"/>
      <c r="CE90" s="252"/>
      <c r="CF90" s="252"/>
      <c r="CG90" s="252"/>
      <c r="CH90" s="252"/>
      <c r="CI90" s="252"/>
      <c r="CJ90" s="252"/>
      <c r="CK90" s="252"/>
      <c r="CL90" s="252"/>
      <c r="CM90" s="252"/>
      <c r="CN90" s="252"/>
      <c r="CO90" s="252"/>
    </row>
    <row r="91" spans="1:93" ht="15">
      <c r="A91" s="252"/>
      <c r="B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  <c r="AX91" s="252"/>
      <c r="BQ91" s="252"/>
      <c r="BR91" s="252"/>
      <c r="BS91" s="252"/>
      <c r="BT91" s="252"/>
      <c r="BU91" s="252"/>
      <c r="BV91" s="252"/>
      <c r="BW91" s="252"/>
      <c r="BX91" s="252"/>
      <c r="BY91" s="252"/>
      <c r="BZ91" s="252"/>
      <c r="CA91" s="252"/>
      <c r="CB91" s="252"/>
      <c r="CC91" s="252"/>
      <c r="CD91" s="252"/>
      <c r="CE91" s="252"/>
      <c r="CF91" s="252"/>
      <c r="CG91" s="252"/>
      <c r="CH91" s="252"/>
      <c r="CI91" s="252"/>
      <c r="CJ91" s="252"/>
      <c r="CK91" s="252"/>
      <c r="CL91" s="252"/>
      <c r="CM91" s="252"/>
      <c r="CN91" s="252"/>
      <c r="CO91" s="252"/>
    </row>
    <row r="92" spans="1:93" ht="15">
      <c r="A92" s="252"/>
      <c r="B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  <c r="AX92" s="252"/>
      <c r="BQ92" s="252"/>
      <c r="BR92" s="252"/>
      <c r="BS92" s="252"/>
      <c r="BT92" s="252"/>
      <c r="BU92" s="252"/>
      <c r="BV92" s="252"/>
      <c r="BW92" s="252"/>
      <c r="BX92" s="252"/>
      <c r="BY92" s="252"/>
      <c r="BZ92" s="252"/>
      <c r="CA92" s="252"/>
      <c r="CB92" s="252"/>
      <c r="CC92" s="252"/>
      <c r="CD92" s="252"/>
      <c r="CE92" s="252"/>
      <c r="CF92" s="252"/>
      <c r="CG92" s="252"/>
      <c r="CH92" s="252"/>
      <c r="CI92" s="252"/>
      <c r="CJ92" s="252"/>
      <c r="CK92" s="252"/>
      <c r="CL92" s="252"/>
      <c r="CM92" s="252"/>
      <c r="CN92" s="252"/>
      <c r="CO92" s="252"/>
    </row>
    <row r="93" spans="1:93" ht="15">
      <c r="A93" s="252"/>
      <c r="B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  <c r="AX93" s="252"/>
      <c r="BQ93" s="252"/>
      <c r="BR93" s="252"/>
      <c r="BS93" s="252"/>
      <c r="BT93" s="252"/>
      <c r="BU93" s="252"/>
      <c r="BV93" s="252"/>
      <c r="BW93" s="252"/>
      <c r="BX93" s="252"/>
      <c r="BY93" s="252"/>
      <c r="BZ93" s="252"/>
      <c r="CA93" s="252"/>
      <c r="CB93" s="252"/>
      <c r="CC93" s="252"/>
      <c r="CD93" s="252"/>
      <c r="CE93" s="252"/>
      <c r="CF93" s="252"/>
      <c r="CG93" s="252"/>
      <c r="CH93" s="252"/>
      <c r="CI93" s="252"/>
      <c r="CJ93" s="252"/>
      <c r="CK93" s="252"/>
      <c r="CL93" s="252"/>
      <c r="CM93" s="252"/>
      <c r="CN93" s="252"/>
      <c r="CO93" s="252"/>
    </row>
    <row r="94" spans="1:93" ht="15">
      <c r="A94" s="252"/>
      <c r="B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  <c r="AX94" s="252"/>
      <c r="BQ94" s="252"/>
      <c r="BR94" s="252"/>
      <c r="BS94" s="252"/>
      <c r="BT94" s="252"/>
      <c r="BU94" s="252"/>
      <c r="BV94" s="252"/>
      <c r="BW94" s="252"/>
      <c r="BX94" s="252"/>
      <c r="BY94" s="252"/>
      <c r="BZ94" s="252"/>
      <c r="CA94" s="252"/>
      <c r="CB94" s="252"/>
      <c r="CC94" s="252"/>
      <c r="CD94" s="252"/>
      <c r="CE94" s="252"/>
      <c r="CF94" s="252"/>
      <c r="CG94" s="252"/>
      <c r="CH94" s="252"/>
      <c r="CI94" s="252"/>
      <c r="CJ94" s="252"/>
      <c r="CK94" s="252"/>
      <c r="CL94" s="252"/>
      <c r="CM94" s="252"/>
      <c r="CN94" s="252"/>
      <c r="CO94" s="252"/>
    </row>
    <row r="95" spans="1:93" ht="15">
      <c r="A95" s="252"/>
      <c r="B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  <c r="AX95" s="252"/>
      <c r="BQ95" s="252"/>
      <c r="BR95" s="252"/>
      <c r="BS95" s="252"/>
      <c r="BT95" s="252"/>
      <c r="BU95" s="252"/>
      <c r="BV95" s="252"/>
      <c r="BW95" s="252"/>
      <c r="BX95" s="252"/>
      <c r="BY95" s="252"/>
      <c r="BZ95" s="252"/>
      <c r="CA95" s="252"/>
      <c r="CB95" s="252"/>
      <c r="CC95" s="252"/>
      <c r="CD95" s="252"/>
      <c r="CE95" s="252"/>
      <c r="CF95" s="252"/>
      <c r="CG95" s="252"/>
      <c r="CH95" s="252"/>
      <c r="CI95" s="252"/>
      <c r="CJ95" s="252"/>
      <c r="CK95" s="252"/>
      <c r="CL95" s="252"/>
      <c r="CM95" s="252"/>
      <c r="CN95" s="252"/>
      <c r="CO95" s="252"/>
    </row>
    <row r="96" spans="1:93" ht="15">
      <c r="A96" s="252"/>
      <c r="B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  <c r="AX96" s="252"/>
      <c r="BQ96" s="252"/>
      <c r="BR96" s="252"/>
      <c r="BS96" s="252"/>
      <c r="BT96" s="252"/>
      <c r="BU96" s="252"/>
      <c r="BV96" s="252"/>
      <c r="BW96" s="252"/>
      <c r="BX96" s="252"/>
      <c r="BY96" s="252"/>
      <c r="BZ96" s="252"/>
      <c r="CA96" s="252"/>
      <c r="CB96" s="252"/>
      <c r="CC96" s="252"/>
      <c r="CD96" s="252"/>
      <c r="CE96" s="252"/>
      <c r="CF96" s="252"/>
      <c r="CG96" s="252"/>
      <c r="CH96" s="252"/>
      <c r="CI96" s="252"/>
      <c r="CJ96" s="252"/>
      <c r="CK96" s="252"/>
      <c r="CL96" s="252"/>
      <c r="CM96" s="252"/>
      <c r="CN96" s="252"/>
      <c r="CO96" s="252"/>
    </row>
    <row r="97" spans="1:93" ht="15">
      <c r="A97" s="252"/>
      <c r="B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  <c r="AX97" s="252"/>
      <c r="BQ97" s="252"/>
      <c r="BR97" s="252"/>
      <c r="BS97" s="252"/>
      <c r="BT97" s="252"/>
      <c r="BU97" s="252"/>
      <c r="BV97" s="252"/>
      <c r="BW97" s="252"/>
      <c r="BX97" s="252"/>
      <c r="BY97" s="252"/>
      <c r="BZ97" s="252"/>
      <c r="CA97" s="252"/>
      <c r="CB97" s="252"/>
      <c r="CC97" s="252"/>
      <c r="CD97" s="252"/>
      <c r="CE97" s="252"/>
      <c r="CF97" s="252"/>
      <c r="CG97" s="252"/>
      <c r="CH97" s="252"/>
      <c r="CI97" s="252"/>
      <c r="CJ97" s="252"/>
      <c r="CK97" s="252"/>
      <c r="CL97" s="252"/>
      <c r="CM97" s="252"/>
      <c r="CN97" s="252"/>
      <c r="CO97" s="252"/>
    </row>
    <row r="98" spans="1:93" ht="15">
      <c r="A98" s="252"/>
      <c r="B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  <c r="AX98" s="252"/>
      <c r="BQ98" s="252"/>
      <c r="BR98" s="252"/>
      <c r="BS98" s="252"/>
      <c r="BT98" s="252"/>
      <c r="BU98" s="252"/>
      <c r="BV98" s="252"/>
      <c r="BW98" s="252"/>
      <c r="BX98" s="252"/>
      <c r="BY98" s="252"/>
      <c r="BZ98" s="252"/>
      <c r="CA98" s="252"/>
      <c r="CB98" s="252"/>
      <c r="CC98" s="252"/>
      <c r="CD98" s="252"/>
      <c r="CE98" s="252"/>
      <c r="CF98" s="252"/>
      <c r="CG98" s="252"/>
      <c r="CH98" s="252"/>
      <c r="CI98" s="252"/>
      <c r="CJ98" s="252"/>
      <c r="CK98" s="252"/>
      <c r="CL98" s="252"/>
      <c r="CM98" s="252"/>
      <c r="CN98" s="252"/>
      <c r="CO98" s="252"/>
    </row>
    <row r="99" spans="1:93" ht="15">
      <c r="A99" s="252"/>
      <c r="B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  <c r="AX99" s="252"/>
      <c r="BQ99" s="252"/>
      <c r="BR99" s="252"/>
      <c r="BS99" s="252"/>
      <c r="BT99" s="252"/>
      <c r="BU99" s="252"/>
      <c r="BV99" s="252"/>
      <c r="BW99" s="252"/>
      <c r="BX99" s="252"/>
      <c r="BY99" s="252"/>
      <c r="BZ99" s="252"/>
      <c r="CA99" s="252"/>
      <c r="CB99" s="252"/>
      <c r="CC99" s="252"/>
      <c r="CD99" s="252"/>
      <c r="CE99" s="252"/>
      <c r="CF99" s="252"/>
      <c r="CG99" s="252"/>
      <c r="CH99" s="252"/>
      <c r="CI99" s="252"/>
      <c r="CJ99" s="252"/>
      <c r="CK99" s="252"/>
      <c r="CL99" s="252"/>
      <c r="CM99" s="252"/>
      <c r="CN99" s="252"/>
      <c r="CO99" s="252"/>
    </row>
    <row r="100" spans="1:93" ht="15">
      <c r="A100" s="252"/>
      <c r="B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  <c r="AX100" s="252"/>
      <c r="BQ100" s="252"/>
      <c r="BR100" s="252"/>
      <c r="BS100" s="252"/>
      <c r="BT100" s="252"/>
      <c r="BU100" s="252"/>
      <c r="BV100" s="252"/>
      <c r="BW100" s="252"/>
      <c r="BX100" s="252"/>
      <c r="BY100" s="252"/>
      <c r="BZ100" s="252"/>
      <c r="CA100" s="252"/>
      <c r="CB100" s="252"/>
      <c r="CC100" s="252"/>
      <c r="CD100" s="252"/>
      <c r="CE100" s="252"/>
      <c r="CF100" s="252"/>
      <c r="CG100" s="252"/>
      <c r="CH100" s="252"/>
      <c r="CI100" s="252"/>
      <c r="CJ100" s="252"/>
      <c r="CK100" s="252"/>
      <c r="CL100" s="252"/>
      <c r="CM100" s="252"/>
      <c r="CN100" s="252"/>
      <c r="CO100" s="252"/>
    </row>
    <row r="101" spans="1:93" ht="15">
      <c r="A101" s="252"/>
      <c r="B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  <c r="AX101" s="252"/>
      <c r="BQ101" s="252"/>
      <c r="BR101" s="252"/>
      <c r="BS101" s="252"/>
      <c r="BT101" s="252"/>
      <c r="BU101" s="252"/>
      <c r="BV101" s="252"/>
      <c r="BW101" s="252"/>
      <c r="BX101" s="252"/>
      <c r="BY101" s="252"/>
      <c r="BZ101" s="252"/>
      <c r="CA101" s="252"/>
      <c r="CB101" s="252"/>
      <c r="CC101" s="252"/>
      <c r="CD101" s="252"/>
      <c r="CE101" s="252"/>
      <c r="CF101" s="252"/>
      <c r="CG101" s="252"/>
      <c r="CH101" s="252"/>
      <c r="CI101" s="252"/>
      <c r="CJ101" s="252"/>
      <c r="CK101" s="252"/>
      <c r="CL101" s="252"/>
      <c r="CM101" s="252"/>
      <c r="CN101" s="252"/>
      <c r="CO101" s="252"/>
    </row>
    <row r="102" spans="1:93" ht="15">
      <c r="A102" s="252"/>
      <c r="B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  <c r="AX102" s="252"/>
      <c r="BQ102" s="252"/>
      <c r="BR102" s="252"/>
      <c r="BS102" s="252"/>
      <c r="BT102" s="252"/>
      <c r="BU102" s="252"/>
      <c r="BV102" s="252"/>
      <c r="BW102" s="252"/>
      <c r="BX102" s="252"/>
      <c r="BY102" s="252"/>
      <c r="BZ102" s="252"/>
      <c r="CA102" s="252"/>
      <c r="CB102" s="252"/>
      <c r="CC102" s="252"/>
      <c r="CD102" s="252"/>
      <c r="CE102" s="252"/>
      <c r="CF102" s="252"/>
      <c r="CG102" s="252"/>
      <c r="CH102" s="252"/>
      <c r="CI102" s="252"/>
      <c r="CJ102" s="252"/>
      <c r="CK102" s="252"/>
      <c r="CL102" s="252"/>
      <c r="CM102" s="252"/>
      <c r="CN102" s="252"/>
      <c r="CO102" s="252"/>
    </row>
    <row r="103" spans="1:93" ht="15">
      <c r="A103" s="252"/>
      <c r="B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  <c r="AX103" s="252"/>
      <c r="BQ103" s="252"/>
      <c r="BR103" s="252"/>
      <c r="BS103" s="252"/>
      <c r="BT103" s="252"/>
      <c r="BU103" s="252"/>
      <c r="BV103" s="252"/>
      <c r="BW103" s="252"/>
      <c r="BX103" s="252"/>
      <c r="BY103" s="252"/>
      <c r="BZ103" s="252"/>
      <c r="CA103" s="252"/>
      <c r="CB103" s="252"/>
      <c r="CC103" s="252"/>
      <c r="CD103" s="252"/>
      <c r="CE103" s="252"/>
      <c r="CF103" s="252"/>
      <c r="CG103" s="252"/>
      <c r="CH103" s="252"/>
      <c r="CI103" s="252"/>
      <c r="CJ103" s="252"/>
      <c r="CK103" s="252"/>
      <c r="CL103" s="252"/>
      <c r="CM103" s="252"/>
      <c r="CN103" s="252"/>
      <c r="CO103" s="252"/>
    </row>
    <row r="104" spans="1:93" ht="15">
      <c r="A104" s="252"/>
      <c r="B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  <c r="AX104" s="252"/>
      <c r="BQ104" s="252"/>
      <c r="BR104" s="252"/>
      <c r="BS104" s="252"/>
      <c r="BT104" s="252"/>
      <c r="BU104" s="252"/>
      <c r="BV104" s="252"/>
      <c r="BW104" s="252"/>
      <c r="BX104" s="252"/>
      <c r="BY104" s="252"/>
      <c r="BZ104" s="252"/>
      <c r="CA104" s="252"/>
      <c r="CB104" s="252"/>
      <c r="CC104" s="252"/>
      <c r="CD104" s="252"/>
      <c r="CE104" s="252"/>
      <c r="CF104" s="252"/>
      <c r="CG104" s="252"/>
      <c r="CH104" s="252"/>
      <c r="CI104" s="252"/>
      <c r="CJ104" s="252"/>
      <c r="CK104" s="252"/>
      <c r="CL104" s="252"/>
      <c r="CM104" s="252"/>
      <c r="CN104" s="252"/>
      <c r="CO104" s="252"/>
    </row>
    <row r="105" spans="1:93" ht="15">
      <c r="A105" s="252"/>
      <c r="B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  <c r="AX105" s="252"/>
      <c r="BQ105" s="252"/>
      <c r="BR105" s="252"/>
      <c r="BS105" s="252"/>
      <c r="BT105" s="252"/>
      <c r="BU105" s="252"/>
      <c r="BV105" s="252"/>
      <c r="BW105" s="252"/>
      <c r="BX105" s="252"/>
      <c r="BY105" s="252"/>
      <c r="BZ105" s="252"/>
      <c r="CA105" s="252"/>
      <c r="CB105" s="252"/>
      <c r="CC105" s="252"/>
      <c r="CD105" s="252"/>
      <c r="CE105" s="252"/>
      <c r="CF105" s="252"/>
      <c r="CG105" s="252"/>
      <c r="CH105" s="252"/>
      <c r="CI105" s="252"/>
      <c r="CJ105" s="252"/>
      <c r="CK105" s="252"/>
      <c r="CL105" s="252"/>
      <c r="CM105" s="252"/>
      <c r="CN105" s="252"/>
      <c r="CO105" s="252"/>
    </row>
    <row r="106" spans="1:93" ht="15">
      <c r="A106" s="252"/>
      <c r="B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  <c r="AX106" s="252"/>
      <c r="BQ106" s="252"/>
      <c r="BR106" s="252"/>
      <c r="BS106" s="252"/>
      <c r="BT106" s="252"/>
      <c r="BU106" s="252"/>
      <c r="BV106" s="252"/>
      <c r="BW106" s="252"/>
      <c r="BX106" s="252"/>
      <c r="BY106" s="252"/>
      <c r="BZ106" s="252"/>
      <c r="CA106" s="252"/>
      <c r="CB106" s="252"/>
      <c r="CC106" s="252"/>
      <c r="CD106" s="252"/>
      <c r="CE106" s="252"/>
      <c r="CF106" s="252"/>
      <c r="CG106" s="252"/>
      <c r="CH106" s="252"/>
      <c r="CI106" s="252"/>
      <c r="CJ106" s="252"/>
      <c r="CK106" s="252"/>
      <c r="CL106" s="252"/>
      <c r="CM106" s="252"/>
      <c r="CN106" s="252"/>
      <c r="CO106" s="252"/>
    </row>
    <row r="107" spans="1:93" ht="15">
      <c r="A107" s="252"/>
      <c r="B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  <c r="AX107" s="252"/>
      <c r="BQ107" s="252"/>
      <c r="BR107" s="252"/>
      <c r="BS107" s="252"/>
      <c r="BT107" s="252"/>
      <c r="BU107" s="252"/>
      <c r="BV107" s="252"/>
      <c r="BW107" s="252"/>
      <c r="BX107" s="252"/>
      <c r="BY107" s="252"/>
      <c r="BZ107" s="252"/>
      <c r="CA107" s="252"/>
      <c r="CB107" s="252"/>
      <c r="CC107" s="252"/>
      <c r="CD107" s="252"/>
      <c r="CE107" s="252"/>
      <c r="CF107" s="252"/>
      <c r="CG107" s="252"/>
      <c r="CH107" s="252"/>
      <c r="CI107" s="252"/>
      <c r="CJ107" s="252"/>
      <c r="CK107" s="252"/>
      <c r="CL107" s="252"/>
      <c r="CM107" s="252"/>
      <c r="CN107" s="252"/>
      <c r="CO107" s="252"/>
    </row>
    <row r="108" spans="1:93" ht="15">
      <c r="A108" s="252"/>
      <c r="B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  <c r="AX108" s="252"/>
      <c r="BQ108" s="252"/>
      <c r="BR108" s="252"/>
      <c r="BS108" s="252"/>
      <c r="BT108" s="252"/>
      <c r="BU108" s="252"/>
      <c r="BV108" s="252"/>
      <c r="BW108" s="252"/>
      <c r="BX108" s="252"/>
      <c r="BY108" s="252"/>
      <c r="BZ108" s="252"/>
      <c r="CA108" s="252"/>
      <c r="CB108" s="252"/>
      <c r="CC108" s="252"/>
      <c r="CD108" s="252"/>
      <c r="CE108" s="252"/>
      <c r="CF108" s="252"/>
      <c r="CG108" s="252"/>
      <c r="CH108" s="252"/>
      <c r="CI108" s="252"/>
      <c r="CJ108" s="252"/>
      <c r="CK108" s="252"/>
      <c r="CL108" s="252"/>
      <c r="CM108" s="252"/>
      <c r="CN108" s="252"/>
      <c r="CO108" s="252"/>
    </row>
    <row r="109" spans="1:93" ht="15">
      <c r="A109" s="252"/>
      <c r="B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52"/>
      <c r="AN109" s="252"/>
      <c r="AO109" s="252"/>
      <c r="AP109" s="252"/>
      <c r="AQ109" s="252"/>
      <c r="AR109" s="252"/>
      <c r="AS109" s="252"/>
      <c r="AT109" s="252"/>
      <c r="AU109" s="252"/>
      <c r="AV109" s="252"/>
      <c r="AW109" s="252"/>
      <c r="AX109" s="252"/>
      <c r="BQ109" s="252"/>
      <c r="BR109" s="252"/>
      <c r="BS109" s="252"/>
      <c r="BT109" s="252"/>
      <c r="BU109" s="252"/>
      <c r="BV109" s="252"/>
      <c r="BW109" s="252"/>
      <c r="BX109" s="252"/>
      <c r="BY109" s="252"/>
      <c r="BZ109" s="252"/>
      <c r="CA109" s="252"/>
      <c r="CB109" s="252"/>
      <c r="CC109" s="252"/>
      <c r="CD109" s="252"/>
      <c r="CE109" s="252"/>
      <c r="CF109" s="252"/>
      <c r="CG109" s="252"/>
      <c r="CH109" s="252"/>
      <c r="CI109" s="252"/>
      <c r="CJ109" s="252"/>
      <c r="CK109" s="252"/>
      <c r="CL109" s="252"/>
      <c r="CM109" s="252"/>
      <c r="CN109" s="252"/>
      <c r="CO109" s="252"/>
    </row>
    <row r="110" spans="1:93" ht="15">
      <c r="A110" s="252"/>
      <c r="B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  <c r="AS110" s="252"/>
      <c r="AT110" s="252"/>
      <c r="AU110" s="252"/>
      <c r="AV110" s="252"/>
      <c r="AW110" s="252"/>
      <c r="AX110" s="252"/>
      <c r="BQ110" s="252"/>
      <c r="BR110" s="252"/>
      <c r="BS110" s="252"/>
      <c r="BT110" s="252"/>
      <c r="BU110" s="252"/>
      <c r="BV110" s="252"/>
      <c r="BW110" s="252"/>
      <c r="BX110" s="252"/>
      <c r="BY110" s="252"/>
      <c r="BZ110" s="252"/>
      <c r="CA110" s="252"/>
      <c r="CB110" s="252"/>
      <c r="CC110" s="252"/>
      <c r="CD110" s="252"/>
      <c r="CE110" s="252"/>
      <c r="CF110" s="252"/>
      <c r="CG110" s="252"/>
      <c r="CH110" s="252"/>
      <c r="CI110" s="252"/>
      <c r="CJ110" s="252"/>
      <c r="CK110" s="252"/>
      <c r="CL110" s="252"/>
      <c r="CM110" s="252"/>
      <c r="CN110" s="252"/>
      <c r="CO110" s="252"/>
    </row>
    <row r="111" spans="1:93" ht="15">
      <c r="A111" s="252"/>
      <c r="B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  <c r="AQ111" s="252"/>
      <c r="AR111" s="252"/>
      <c r="AS111" s="252"/>
      <c r="AT111" s="252"/>
      <c r="AU111" s="252"/>
      <c r="AV111" s="252"/>
      <c r="AW111" s="252"/>
      <c r="AX111" s="252"/>
      <c r="BQ111" s="252"/>
      <c r="BR111" s="252"/>
      <c r="BS111" s="252"/>
      <c r="BT111" s="252"/>
      <c r="BU111" s="252"/>
      <c r="BV111" s="252"/>
      <c r="BW111" s="252"/>
      <c r="BX111" s="252"/>
      <c r="BY111" s="252"/>
      <c r="BZ111" s="252"/>
      <c r="CA111" s="252"/>
      <c r="CB111" s="252"/>
      <c r="CC111" s="252"/>
      <c r="CD111" s="252"/>
      <c r="CE111" s="252"/>
      <c r="CF111" s="252"/>
      <c r="CG111" s="252"/>
      <c r="CH111" s="252"/>
      <c r="CI111" s="252"/>
      <c r="CJ111" s="252"/>
      <c r="CK111" s="252"/>
      <c r="CL111" s="252"/>
      <c r="CM111" s="252"/>
      <c r="CN111" s="252"/>
      <c r="CO111" s="252"/>
    </row>
    <row r="112" spans="1:93" ht="15">
      <c r="A112" s="252"/>
      <c r="B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52"/>
      <c r="AR112" s="252"/>
      <c r="AS112" s="252"/>
      <c r="AT112" s="252"/>
      <c r="AU112" s="252"/>
      <c r="AV112" s="252"/>
      <c r="AW112" s="252"/>
      <c r="AX112" s="252"/>
      <c r="BQ112" s="252"/>
      <c r="BR112" s="252"/>
      <c r="BS112" s="252"/>
      <c r="BT112" s="252"/>
      <c r="BU112" s="252"/>
      <c r="BV112" s="252"/>
      <c r="BW112" s="252"/>
      <c r="BX112" s="252"/>
      <c r="BY112" s="252"/>
      <c r="BZ112" s="252"/>
      <c r="CA112" s="252"/>
      <c r="CB112" s="252"/>
      <c r="CC112" s="252"/>
      <c r="CD112" s="252"/>
      <c r="CE112" s="252"/>
      <c r="CF112" s="252"/>
      <c r="CG112" s="252"/>
      <c r="CH112" s="252"/>
      <c r="CI112" s="252"/>
      <c r="CJ112" s="252"/>
      <c r="CK112" s="252"/>
      <c r="CL112" s="252"/>
      <c r="CM112" s="252"/>
      <c r="CN112" s="252"/>
      <c r="CO112" s="252"/>
    </row>
    <row r="113" spans="1:93" ht="15">
      <c r="A113" s="252"/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  <c r="AP113" s="252"/>
      <c r="AQ113" s="252"/>
      <c r="AR113" s="252"/>
      <c r="AS113" s="252"/>
      <c r="AT113" s="252"/>
      <c r="AU113" s="252"/>
      <c r="AV113" s="252"/>
      <c r="AW113" s="252"/>
      <c r="AX113" s="252"/>
      <c r="BQ113" s="252"/>
      <c r="BR113" s="252"/>
      <c r="BS113" s="252"/>
      <c r="BT113" s="252"/>
      <c r="BU113" s="252"/>
      <c r="BV113" s="252"/>
      <c r="BW113" s="252"/>
      <c r="BX113" s="252"/>
      <c r="BY113" s="252"/>
      <c r="BZ113" s="252"/>
      <c r="CA113" s="252"/>
      <c r="CB113" s="252"/>
      <c r="CC113" s="252"/>
      <c r="CD113" s="252"/>
      <c r="CE113" s="252"/>
      <c r="CF113" s="252"/>
      <c r="CG113" s="252"/>
      <c r="CH113" s="252"/>
      <c r="CI113" s="252"/>
      <c r="CJ113" s="252"/>
      <c r="CK113" s="252"/>
      <c r="CL113" s="252"/>
      <c r="CM113" s="252"/>
      <c r="CN113" s="252"/>
      <c r="CO113" s="252"/>
    </row>
    <row r="114" spans="1:93" ht="15">
      <c r="A114" s="252"/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  <c r="AP114" s="252"/>
      <c r="AQ114" s="252"/>
      <c r="AR114" s="252"/>
      <c r="AS114" s="252"/>
      <c r="AT114" s="252"/>
      <c r="AU114" s="252"/>
      <c r="AV114" s="252"/>
      <c r="AW114" s="252"/>
      <c r="AX114" s="252"/>
      <c r="BQ114" s="252"/>
      <c r="BR114" s="252"/>
      <c r="BS114" s="252"/>
      <c r="BT114" s="252"/>
      <c r="BU114" s="252"/>
      <c r="BV114" s="252"/>
      <c r="BW114" s="252"/>
      <c r="BX114" s="252"/>
      <c r="BY114" s="252"/>
      <c r="BZ114" s="252"/>
      <c r="CA114" s="252"/>
      <c r="CB114" s="252"/>
      <c r="CC114" s="252"/>
      <c r="CD114" s="252"/>
      <c r="CE114" s="252"/>
      <c r="CF114" s="252"/>
      <c r="CG114" s="252"/>
      <c r="CH114" s="252"/>
      <c r="CI114" s="252"/>
      <c r="CJ114" s="252"/>
      <c r="CK114" s="252"/>
      <c r="CL114" s="252"/>
      <c r="CM114" s="252"/>
      <c r="CN114" s="252"/>
      <c r="CO114" s="252"/>
    </row>
    <row r="115" spans="1:93" ht="15">
      <c r="A115" s="252"/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2"/>
      <c r="AO115" s="252"/>
      <c r="AP115" s="252"/>
      <c r="AQ115" s="252"/>
      <c r="AR115" s="252"/>
      <c r="AS115" s="252"/>
      <c r="AT115" s="252"/>
      <c r="AU115" s="252"/>
      <c r="AV115" s="252"/>
      <c r="AW115" s="252"/>
      <c r="AX115" s="252"/>
      <c r="BQ115" s="252"/>
      <c r="BR115" s="252"/>
      <c r="BS115" s="252"/>
      <c r="BT115" s="252"/>
      <c r="BU115" s="252"/>
      <c r="BV115" s="252"/>
      <c r="BW115" s="252"/>
      <c r="BX115" s="252"/>
      <c r="BY115" s="252"/>
      <c r="BZ115" s="252"/>
      <c r="CA115" s="252"/>
      <c r="CB115" s="252"/>
      <c r="CC115" s="252"/>
      <c r="CD115" s="252"/>
      <c r="CE115" s="252"/>
      <c r="CF115" s="252"/>
      <c r="CG115" s="252"/>
      <c r="CH115" s="252"/>
      <c r="CI115" s="252"/>
      <c r="CJ115" s="252"/>
      <c r="CK115" s="252"/>
      <c r="CL115" s="252"/>
      <c r="CM115" s="252"/>
      <c r="CN115" s="252"/>
      <c r="CO115" s="252"/>
    </row>
    <row r="116" spans="1:93" ht="15">
      <c r="A116" s="252"/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52"/>
      <c r="AN116" s="252"/>
      <c r="AO116" s="252"/>
      <c r="AP116" s="252"/>
      <c r="AQ116" s="252"/>
      <c r="AR116" s="252"/>
      <c r="AS116" s="252"/>
      <c r="AT116" s="252"/>
      <c r="AU116" s="252"/>
      <c r="AV116" s="252"/>
      <c r="AW116" s="252"/>
      <c r="AX116" s="252"/>
      <c r="BQ116" s="252"/>
      <c r="BR116" s="252"/>
      <c r="BS116" s="252"/>
      <c r="BT116" s="252"/>
      <c r="BU116" s="252"/>
      <c r="BV116" s="252"/>
      <c r="BW116" s="252"/>
      <c r="BX116" s="252"/>
      <c r="BY116" s="252"/>
      <c r="BZ116" s="252"/>
      <c r="CA116" s="252"/>
      <c r="CB116" s="252"/>
      <c r="CC116" s="252"/>
      <c r="CD116" s="252"/>
      <c r="CE116" s="252"/>
      <c r="CF116" s="252"/>
      <c r="CG116" s="252"/>
      <c r="CH116" s="252"/>
      <c r="CI116" s="252"/>
      <c r="CJ116" s="252"/>
      <c r="CK116" s="252"/>
      <c r="CL116" s="252"/>
      <c r="CM116" s="252"/>
      <c r="CN116" s="252"/>
      <c r="CO116" s="252"/>
    </row>
    <row r="117" spans="1:93" ht="15">
      <c r="A117" s="252"/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  <c r="AP117" s="252"/>
      <c r="AQ117" s="252"/>
      <c r="AR117" s="252"/>
      <c r="AS117" s="252"/>
      <c r="AT117" s="252"/>
      <c r="AU117" s="252"/>
      <c r="AV117" s="252"/>
      <c r="AW117" s="252"/>
      <c r="AX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</row>
    <row r="118" spans="1:93" ht="15">
      <c r="A118" s="252"/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52"/>
      <c r="AN118" s="252"/>
      <c r="AO118" s="252"/>
      <c r="AP118" s="252"/>
      <c r="AQ118" s="252"/>
      <c r="AR118" s="252"/>
      <c r="AS118" s="252"/>
      <c r="AT118" s="252"/>
      <c r="AU118" s="252"/>
      <c r="AV118" s="252"/>
      <c r="AW118" s="252"/>
      <c r="AX118" s="252"/>
      <c r="BQ118" s="252"/>
      <c r="BR118" s="252"/>
      <c r="BS118" s="252"/>
      <c r="BT118" s="252"/>
      <c r="BU118" s="252"/>
      <c r="BV118" s="252"/>
      <c r="BW118" s="252"/>
      <c r="BX118" s="252"/>
      <c r="BY118" s="252"/>
      <c r="BZ118" s="252"/>
      <c r="CA118" s="252"/>
      <c r="CB118" s="252"/>
      <c r="CC118" s="252"/>
      <c r="CD118" s="252"/>
      <c r="CE118" s="252"/>
      <c r="CF118" s="252"/>
      <c r="CG118" s="252"/>
      <c r="CH118" s="252"/>
      <c r="CI118" s="252"/>
      <c r="CJ118" s="252"/>
      <c r="CK118" s="252"/>
      <c r="CL118" s="252"/>
      <c r="CM118" s="252"/>
      <c r="CN118" s="252"/>
      <c r="CO118" s="252"/>
    </row>
    <row r="119" spans="1:93" ht="15">
      <c r="A119" s="252"/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  <c r="AP119" s="252"/>
      <c r="AQ119" s="252"/>
      <c r="AR119" s="252"/>
      <c r="AS119" s="252"/>
      <c r="AT119" s="252"/>
      <c r="AU119" s="252"/>
      <c r="AV119" s="252"/>
      <c r="AW119" s="252"/>
      <c r="AX119" s="252"/>
      <c r="BP119" s="252"/>
      <c r="BQ119" s="252"/>
      <c r="BR119" s="252"/>
      <c r="BS119" s="252"/>
      <c r="BT119" s="252"/>
      <c r="BU119" s="252"/>
      <c r="BV119" s="252"/>
      <c r="BW119" s="252"/>
      <c r="BX119" s="252"/>
      <c r="BY119" s="252"/>
      <c r="BZ119" s="252"/>
      <c r="CA119" s="252"/>
      <c r="CB119" s="252"/>
      <c r="CC119" s="252"/>
      <c r="CD119" s="252"/>
      <c r="CE119" s="252"/>
      <c r="CF119" s="252"/>
      <c r="CG119" s="252"/>
      <c r="CH119" s="252"/>
      <c r="CI119" s="252"/>
      <c r="CJ119" s="252"/>
      <c r="CK119" s="252"/>
      <c r="CL119" s="252"/>
      <c r="CM119" s="252"/>
      <c r="CN119" s="252"/>
      <c r="CO119" s="252"/>
    </row>
    <row r="120" spans="1:93" ht="15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P120" s="252"/>
      <c r="AQ120" s="252"/>
      <c r="AR120" s="252"/>
      <c r="AS120" s="252"/>
      <c r="AT120" s="252"/>
      <c r="AU120" s="252"/>
      <c r="AV120" s="252"/>
      <c r="AW120" s="252"/>
      <c r="AX120" s="252"/>
      <c r="BP120" s="252"/>
      <c r="BQ120" s="252"/>
      <c r="BR120" s="252"/>
      <c r="BS120" s="252"/>
      <c r="BT120" s="252"/>
      <c r="BU120" s="252"/>
      <c r="BV120" s="252"/>
      <c r="BW120" s="252"/>
      <c r="BX120" s="252"/>
      <c r="BY120" s="252"/>
      <c r="BZ120" s="252"/>
      <c r="CA120" s="252"/>
      <c r="CB120" s="252"/>
      <c r="CC120" s="252"/>
      <c r="CD120" s="252"/>
      <c r="CE120" s="252"/>
      <c r="CF120" s="252"/>
      <c r="CG120" s="252"/>
      <c r="CH120" s="252"/>
      <c r="CI120" s="252"/>
      <c r="CJ120" s="252"/>
      <c r="CK120" s="252"/>
      <c r="CL120" s="252"/>
      <c r="CM120" s="252"/>
      <c r="CN120" s="252"/>
      <c r="CO120" s="252"/>
    </row>
    <row r="121" spans="1:93" ht="15">
      <c r="A121" s="252"/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52"/>
      <c r="AR121" s="252"/>
      <c r="AS121" s="252"/>
      <c r="AT121" s="252"/>
      <c r="AU121" s="252"/>
      <c r="AV121" s="252"/>
      <c r="AW121" s="252"/>
      <c r="AX121" s="252"/>
      <c r="AY121" s="252"/>
      <c r="AZ121" s="252"/>
      <c r="BA121" s="252"/>
      <c r="BB121" s="252"/>
      <c r="BC121" s="252"/>
      <c r="BD121" s="252"/>
      <c r="BE121" s="252"/>
      <c r="BF121" s="252"/>
      <c r="BG121" s="252"/>
      <c r="BH121" s="252"/>
      <c r="BI121" s="252"/>
      <c r="BJ121" s="252"/>
      <c r="BK121" s="252"/>
      <c r="BL121" s="252"/>
      <c r="BM121" s="252"/>
      <c r="BN121" s="252"/>
      <c r="BO121" s="252"/>
      <c r="BP121" s="252"/>
      <c r="BQ121" s="252"/>
      <c r="BR121" s="252"/>
      <c r="BS121" s="252"/>
      <c r="BT121" s="252"/>
      <c r="BU121" s="252"/>
      <c r="BV121" s="252"/>
      <c r="BW121" s="252"/>
      <c r="BX121" s="252"/>
      <c r="BY121" s="252"/>
      <c r="BZ121" s="252"/>
      <c r="CA121" s="252"/>
      <c r="CB121" s="252"/>
      <c r="CC121" s="252"/>
      <c r="CD121" s="252"/>
      <c r="CE121" s="252"/>
      <c r="CF121" s="252"/>
      <c r="CG121" s="252"/>
      <c r="CH121" s="252"/>
      <c r="CI121" s="252"/>
      <c r="CJ121" s="252"/>
      <c r="CK121" s="252"/>
      <c r="CL121" s="252"/>
      <c r="CM121" s="252"/>
      <c r="CN121" s="252"/>
      <c r="CO121" s="252"/>
    </row>
    <row r="122" spans="1:93" ht="15">
      <c r="A122" s="252"/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  <c r="AT122" s="252"/>
      <c r="AU122" s="252"/>
      <c r="AV122" s="252"/>
      <c r="AW122" s="252"/>
      <c r="AX122" s="252"/>
      <c r="AY122" s="252"/>
      <c r="AZ122" s="252"/>
      <c r="BA122" s="252"/>
      <c r="BB122" s="252"/>
      <c r="BC122" s="252"/>
      <c r="BD122" s="252"/>
      <c r="BE122" s="252"/>
      <c r="BF122" s="252"/>
      <c r="BG122" s="252"/>
      <c r="BH122" s="252"/>
      <c r="BI122" s="252"/>
      <c r="BJ122" s="252"/>
      <c r="BK122" s="252"/>
      <c r="BL122" s="252"/>
      <c r="BM122" s="252"/>
      <c r="BN122" s="252"/>
      <c r="BO122" s="252"/>
      <c r="BP122" s="252"/>
      <c r="BQ122" s="252"/>
      <c r="BR122" s="252"/>
      <c r="BS122" s="252"/>
      <c r="BT122" s="252"/>
      <c r="BU122" s="252"/>
      <c r="BV122" s="252"/>
      <c r="BW122" s="252"/>
      <c r="BX122" s="252"/>
      <c r="BY122" s="252"/>
      <c r="BZ122" s="252"/>
      <c r="CA122" s="252"/>
      <c r="CB122" s="252"/>
      <c r="CC122" s="252"/>
      <c r="CD122" s="252"/>
      <c r="CE122" s="252"/>
      <c r="CF122" s="252"/>
      <c r="CG122" s="252"/>
      <c r="CH122" s="252"/>
      <c r="CI122" s="252"/>
      <c r="CJ122" s="252"/>
      <c r="CK122" s="252"/>
      <c r="CL122" s="252"/>
      <c r="CM122" s="252"/>
      <c r="CN122" s="252"/>
      <c r="CO122" s="252"/>
    </row>
    <row r="123" spans="1:93" ht="15">
      <c r="A123" s="252"/>
      <c r="B123" s="252"/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  <c r="AT123" s="252"/>
      <c r="AU123" s="252"/>
      <c r="AV123" s="252"/>
      <c r="AW123" s="252"/>
      <c r="AX123" s="252"/>
      <c r="AY123" s="252"/>
      <c r="AZ123" s="252"/>
      <c r="BA123" s="252"/>
      <c r="BB123" s="252"/>
      <c r="BC123" s="252"/>
      <c r="BD123" s="252"/>
      <c r="BE123" s="252"/>
      <c r="BF123" s="252"/>
      <c r="BG123" s="252"/>
      <c r="BH123" s="252"/>
      <c r="BI123" s="252"/>
      <c r="BJ123" s="252"/>
      <c r="BK123" s="252"/>
      <c r="BL123" s="252"/>
      <c r="BM123" s="252"/>
      <c r="BN123" s="252"/>
      <c r="BO123" s="252"/>
      <c r="BP123" s="252"/>
      <c r="BQ123" s="252"/>
      <c r="BR123" s="252"/>
      <c r="BS123" s="252"/>
      <c r="BT123" s="252"/>
      <c r="BU123" s="252"/>
      <c r="BV123" s="252"/>
      <c r="BW123" s="252"/>
      <c r="BX123" s="252"/>
      <c r="BY123" s="252"/>
      <c r="BZ123" s="252"/>
      <c r="CA123" s="252"/>
      <c r="CB123" s="252"/>
      <c r="CC123" s="252"/>
      <c r="CD123" s="252"/>
      <c r="CE123" s="252"/>
      <c r="CF123" s="252"/>
      <c r="CG123" s="252"/>
      <c r="CH123" s="252"/>
      <c r="CI123" s="252"/>
      <c r="CJ123" s="252"/>
      <c r="CK123" s="252"/>
      <c r="CL123" s="252"/>
      <c r="CM123" s="252"/>
      <c r="CN123" s="252"/>
      <c r="CO123" s="252"/>
    </row>
    <row r="124" spans="1:93" ht="15">
      <c r="A124" s="252"/>
      <c r="B124" s="252"/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  <c r="AT124" s="252"/>
      <c r="AU124" s="252"/>
      <c r="AV124" s="252"/>
      <c r="AW124" s="252"/>
      <c r="AX124" s="252"/>
      <c r="AY124" s="252"/>
      <c r="AZ124" s="252"/>
      <c r="BA124" s="252"/>
      <c r="BB124" s="252"/>
      <c r="BC124" s="252"/>
      <c r="BD124" s="252"/>
      <c r="BE124" s="252"/>
      <c r="BF124" s="252"/>
      <c r="BG124" s="252"/>
      <c r="BH124" s="252"/>
      <c r="BI124" s="252"/>
      <c r="BJ124" s="252"/>
      <c r="BK124" s="252"/>
      <c r="BL124" s="252"/>
      <c r="BM124" s="252"/>
      <c r="BN124" s="252"/>
      <c r="BO124" s="252"/>
      <c r="BP124" s="252"/>
      <c r="BQ124" s="252"/>
      <c r="BR124" s="252"/>
      <c r="BS124" s="252"/>
      <c r="BT124" s="252"/>
      <c r="BU124" s="252"/>
      <c r="BV124" s="252"/>
      <c r="BW124" s="252"/>
      <c r="BX124" s="252"/>
      <c r="BY124" s="252"/>
      <c r="BZ124" s="252"/>
      <c r="CA124" s="252"/>
      <c r="CB124" s="252"/>
      <c r="CC124" s="252"/>
      <c r="CD124" s="252"/>
      <c r="CE124" s="252"/>
      <c r="CF124" s="252"/>
      <c r="CG124" s="252"/>
      <c r="CH124" s="252"/>
      <c r="CI124" s="252"/>
      <c r="CJ124" s="252"/>
      <c r="CK124" s="252"/>
      <c r="CL124" s="252"/>
      <c r="CM124" s="252"/>
      <c r="CN124" s="252"/>
      <c r="CO124" s="252"/>
    </row>
    <row r="125" spans="1:93" ht="15">
      <c r="A125" s="252"/>
      <c r="B125" s="252"/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  <c r="AT125" s="252"/>
      <c r="AU125" s="252"/>
      <c r="AV125" s="252"/>
      <c r="AW125" s="252"/>
      <c r="AX125" s="252"/>
      <c r="AY125" s="252"/>
      <c r="AZ125" s="252"/>
      <c r="BA125" s="252"/>
      <c r="BB125" s="252"/>
      <c r="BC125" s="252"/>
      <c r="BD125" s="252"/>
      <c r="BE125" s="252"/>
      <c r="BF125" s="252"/>
      <c r="BG125" s="252"/>
      <c r="BH125" s="252"/>
      <c r="BI125" s="252"/>
      <c r="BJ125" s="252"/>
      <c r="BK125" s="252"/>
      <c r="BL125" s="252"/>
      <c r="BM125" s="252"/>
      <c r="BN125" s="252"/>
      <c r="BO125" s="252"/>
      <c r="BP125" s="252"/>
      <c r="BQ125" s="252"/>
      <c r="BR125" s="252"/>
      <c r="BS125" s="252"/>
      <c r="BT125" s="252"/>
      <c r="BU125" s="252"/>
      <c r="BV125" s="252"/>
      <c r="BW125" s="252"/>
      <c r="BX125" s="252"/>
      <c r="BY125" s="252"/>
      <c r="BZ125" s="252"/>
      <c r="CA125" s="252"/>
      <c r="CB125" s="252"/>
      <c r="CC125" s="252"/>
      <c r="CD125" s="252"/>
      <c r="CE125" s="252"/>
      <c r="CF125" s="252"/>
      <c r="CG125" s="252"/>
      <c r="CH125" s="252"/>
      <c r="CI125" s="252"/>
      <c r="CJ125" s="252"/>
      <c r="CK125" s="252"/>
      <c r="CL125" s="252"/>
      <c r="CM125" s="252"/>
      <c r="CN125" s="252"/>
      <c r="CO125" s="252"/>
    </row>
    <row r="126" spans="1:93" ht="15">
      <c r="A126" s="252"/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  <c r="AT126" s="252"/>
      <c r="AU126" s="252"/>
      <c r="AV126" s="252"/>
      <c r="AW126" s="252"/>
      <c r="AX126" s="252"/>
      <c r="AY126" s="252"/>
      <c r="AZ126" s="252"/>
      <c r="BA126" s="252"/>
      <c r="BB126" s="252"/>
      <c r="BC126" s="252"/>
      <c r="BD126" s="252"/>
      <c r="BE126" s="252"/>
      <c r="BF126" s="252"/>
      <c r="BG126" s="252"/>
      <c r="BH126" s="252"/>
      <c r="BI126" s="252"/>
      <c r="BJ126" s="252"/>
      <c r="BK126" s="252"/>
      <c r="BL126" s="252"/>
      <c r="BM126" s="252"/>
      <c r="BN126" s="252"/>
      <c r="BO126" s="252"/>
      <c r="BP126" s="252"/>
      <c r="BQ126" s="252"/>
      <c r="BR126" s="252"/>
      <c r="BS126" s="252"/>
      <c r="BT126" s="252"/>
      <c r="BU126" s="252"/>
      <c r="BV126" s="252"/>
      <c r="BW126" s="252"/>
      <c r="BX126" s="252"/>
      <c r="BY126" s="252"/>
      <c r="BZ126" s="252"/>
      <c r="CA126" s="252"/>
      <c r="CB126" s="252"/>
      <c r="CC126" s="252"/>
      <c r="CD126" s="252"/>
      <c r="CE126" s="252"/>
      <c r="CF126" s="252"/>
      <c r="CG126" s="252"/>
      <c r="CH126" s="252"/>
      <c r="CI126" s="252"/>
      <c r="CJ126" s="252"/>
      <c r="CK126" s="252"/>
      <c r="CL126" s="252"/>
      <c r="CM126" s="252"/>
      <c r="CN126" s="252"/>
      <c r="CO126" s="252"/>
    </row>
    <row r="127" spans="1:93" ht="15">
      <c r="A127" s="252"/>
      <c r="B127" s="252"/>
      <c r="C127" s="252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  <c r="AT127" s="252"/>
      <c r="AU127" s="252"/>
      <c r="AV127" s="252"/>
      <c r="AW127" s="252"/>
      <c r="AX127" s="252"/>
      <c r="AY127" s="252"/>
      <c r="AZ127" s="252"/>
      <c r="BA127" s="252"/>
      <c r="BB127" s="252"/>
      <c r="BC127" s="252"/>
      <c r="BD127" s="252"/>
      <c r="BE127" s="252"/>
      <c r="BF127" s="252"/>
      <c r="BG127" s="252"/>
      <c r="BH127" s="252"/>
      <c r="BI127" s="252"/>
      <c r="BJ127" s="252"/>
      <c r="BK127" s="252"/>
      <c r="BL127" s="252"/>
      <c r="BM127" s="252"/>
      <c r="BN127" s="252"/>
      <c r="BO127" s="252"/>
      <c r="BP127" s="252"/>
      <c r="BQ127" s="252"/>
      <c r="BR127" s="252"/>
      <c r="BS127" s="252"/>
      <c r="BT127" s="252"/>
      <c r="BU127" s="252"/>
      <c r="BV127" s="252"/>
      <c r="BW127" s="252"/>
      <c r="BX127" s="252"/>
      <c r="BY127" s="252"/>
      <c r="BZ127" s="252"/>
      <c r="CA127" s="252"/>
      <c r="CB127" s="252"/>
      <c r="CC127" s="252"/>
      <c r="CD127" s="252"/>
      <c r="CE127" s="252"/>
      <c r="CF127" s="252"/>
      <c r="CG127" s="252"/>
      <c r="CH127" s="252"/>
      <c r="CI127" s="252"/>
      <c r="CJ127" s="252"/>
      <c r="CK127" s="252"/>
      <c r="CL127" s="252"/>
      <c r="CM127" s="252"/>
      <c r="CN127" s="252"/>
      <c r="CO127" s="252"/>
    </row>
    <row r="128" spans="1:93" ht="15">
      <c r="A128" s="252"/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  <c r="AT128" s="252"/>
      <c r="AU128" s="252"/>
      <c r="AV128" s="252"/>
      <c r="AW128" s="252"/>
      <c r="AX128" s="252"/>
      <c r="AY128" s="252"/>
      <c r="AZ128" s="252"/>
      <c r="BA128" s="252"/>
      <c r="BB128" s="252"/>
      <c r="BC128" s="252"/>
      <c r="BD128" s="252"/>
      <c r="BE128" s="252"/>
      <c r="BF128" s="252"/>
      <c r="BG128" s="252"/>
      <c r="BH128" s="252"/>
      <c r="BI128" s="252"/>
      <c r="BJ128" s="252"/>
      <c r="BK128" s="252"/>
      <c r="BL128" s="252"/>
      <c r="BM128" s="252"/>
      <c r="BN128" s="252"/>
      <c r="BO128" s="252"/>
      <c r="BP128" s="252"/>
      <c r="BQ128" s="252"/>
      <c r="BR128" s="252"/>
      <c r="BS128" s="252"/>
      <c r="BT128" s="252"/>
      <c r="BU128" s="252"/>
      <c r="BV128" s="252"/>
      <c r="BW128" s="252"/>
      <c r="BX128" s="252"/>
      <c r="BY128" s="252"/>
      <c r="BZ128" s="252"/>
      <c r="CA128" s="252"/>
      <c r="CB128" s="252"/>
      <c r="CC128" s="252"/>
      <c r="CD128" s="252"/>
      <c r="CE128" s="252"/>
      <c r="CF128" s="252"/>
      <c r="CG128" s="252"/>
      <c r="CH128" s="252"/>
      <c r="CI128" s="252"/>
      <c r="CJ128" s="252"/>
      <c r="CK128" s="252"/>
      <c r="CL128" s="252"/>
      <c r="CM128" s="252"/>
      <c r="CN128" s="252"/>
      <c r="CO128" s="252"/>
    </row>
    <row r="129" spans="1:93" ht="15">
      <c r="A129" s="252"/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  <c r="AT129" s="252"/>
      <c r="AU129" s="252"/>
      <c r="AV129" s="252"/>
      <c r="AW129" s="252"/>
      <c r="AX129" s="252"/>
      <c r="AY129" s="252"/>
      <c r="AZ129" s="252"/>
      <c r="BA129" s="252"/>
      <c r="BB129" s="252"/>
      <c r="BC129" s="252"/>
      <c r="BD129" s="252"/>
      <c r="BE129" s="252"/>
      <c r="BF129" s="252"/>
      <c r="BG129" s="252"/>
      <c r="BH129" s="252"/>
      <c r="BI129" s="252"/>
      <c r="BJ129" s="252"/>
      <c r="BK129" s="252"/>
      <c r="BL129" s="252"/>
      <c r="BM129" s="252"/>
      <c r="BN129" s="252"/>
      <c r="BO129" s="252"/>
      <c r="BP129" s="252"/>
      <c r="BQ129" s="252"/>
      <c r="BR129" s="252"/>
      <c r="BS129" s="252"/>
      <c r="BT129" s="252"/>
      <c r="BU129" s="252"/>
      <c r="BV129" s="252"/>
      <c r="BW129" s="252"/>
      <c r="BX129" s="252"/>
      <c r="BY129" s="252"/>
      <c r="BZ129" s="252"/>
      <c r="CA129" s="252"/>
      <c r="CB129" s="252"/>
      <c r="CC129" s="252"/>
      <c r="CD129" s="252"/>
      <c r="CE129" s="252"/>
      <c r="CF129" s="252"/>
      <c r="CG129" s="252"/>
      <c r="CH129" s="252"/>
      <c r="CI129" s="252"/>
      <c r="CJ129" s="252"/>
      <c r="CK129" s="252"/>
      <c r="CL129" s="252"/>
      <c r="CM129" s="252"/>
      <c r="CN129" s="252"/>
      <c r="CO129" s="252"/>
    </row>
    <row r="130" spans="1:93" ht="15">
      <c r="A130" s="252"/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  <c r="AT130" s="252"/>
      <c r="AU130" s="252"/>
      <c r="AV130" s="252"/>
      <c r="AW130" s="252"/>
      <c r="AX130" s="252"/>
      <c r="AY130" s="252"/>
      <c r="AZ130" s="252"/>
      <c r="BA130" s="252"/>
      <c r="BB130" s="252"/>
      <c r="BC130" s="252"/>
      <c r="BD130" s="252"/>
      <c r="BE130" s="252"/>
      <c r="BF130" s="252"/>
      <c r="BG130" s="252"/>
      <c r="BH130" s="252"/>
      <c r="BI130" s="252"/>
      <c r="BJ130" s="252"/>
      <c r="BK130" s="252"/>
      <c r="BL130" s="252"/>
      <c r="BM130" s="252"/>
      <c r="BN130" s="252"/>
      <c r="BO130" s="252"/>
      <c r="BP130" s="252"/>
      <c r="BQ130" s="252"/>
      <c r="BR130" s="252"/>
      <c r="BS130" s="252"/>
      <c r="BT130" s="252"/>
      <c r="BU130" s="252"/>
      <c r="BV130" s="252"/>
      <c r="BW130" s="252"/>
      <c r="BX130" s="252"/>
      <c r="BY130" s="252"/>
      <c r="BZ130" s="252"/>
      <c r="CA130" s="252"/>
      <c r="CB130" s="252"/>
      <c r="CC130" s="252"/>
      <c r="CD130" s="252"/>
      <c r="CE130" s="252"/>
      <c r="CF130" s="252"/>
      <c r="CG130" s="252"/>
      <c r="CH130" s="252"/>
      <c r="CI130" s="252"/>
      <c r="CJ130" s="252"/>
      <c r="CK130" s="252"/>
      <c r="CL130" s="252"/>
      <c r="CM130" s="252"/>
      <c r="CN130" s="252"/>
      <c r="CO130" s="252"/>
    </row>
    <row r="131" spans="1:93" ht="15">
      <c r="A131" s="252"/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52"/>
      <c r="AR131" s="252"/>
      <c r="AS131" s="252"/>
      <c r="AT131" s="252"/>
      <c r="AU131" s="252"/>
      <c r="AV131" s="252"/>
      <c r="AW131" s="252"/>
      <c r="AX131" s="252"/>
      <c r="AY131" s="252"/>
      <c r="AZ131" s="252"/>
      <c r="BA131" s="252"/>
      <c r="BB131" s="252"/>
      <c r="BC131" s="252"/>
      <c r="BD131" s="252"/>
      <c r="BE131" s="252"/>
      <c r="BF131" s="252"/>
      <c r="BG131" s="252"/>
      <c r="BH131" s="252"/>
      <c r="BI131" s="252"/>
      <c r="BJ131" s="252"/>
      <c r="BK131" s="252"/>
      <c r="BL131" s="252"/>
      <c r="BM131" s="252"/>
      <c r="BN131" s="252"/>
      <c r="BO131" s="252"/>
      <c r="BP131" s="252"/>
      <c r="BQ131" s="252"/>
      <c r="BR131" s="252"/>
      <c r="BS131" s="252"/>
      <c r="BT131" s="252"/>
      <c r="BU131" s="252"/>
      <c r="BV131" s="252"/>
      <c r="BW131" s="252"/>
      <c r="BX131" s="252"/>
      <c r="BY131" s="252"/>
      <c r="BZ131" s="252"/>
      <c r="CA131" s="252"/>
      <c r="CB131" s="252"/>
      <c r="CC131" s="252"/>
      <c r="CD131" s="252"/>
      <c r="CE131" s="252"/>
      <c r="CF131" s="252"/>
      <c r="CG131" s="252"/>
      <c r="CH131" s="252"/>
      <c r="CI131" s="252"/>
      <c r="CJ131" s="252"/>
      <c r="CK131" s="252"/>
      <c r="CL131" s="252"/>
      <c r="CM131" s="252"/>
      <c r="CN131" s="252"/>
      <c r="CO131" s="252"/>
    </row>
    <row r="132" spans="1:93" ht="15">
      <c r="A132" s="252"/>
      <c r="B132" s="252"/>
      <c r="C132" s="252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52"/>
      <c r="AR132" s="252"/>
      <c r="AS132" s="252"/>
      <c r="AT132" s="252"/>
      <c r="AU132" s="252"/>
      <c r="AV132" s="252"/>
      <c r="AW132" s="252"/>
      <c r="AX132" s="252"/>
      <c r="AY132" s="252"/>
      <c r="AZ132" s="252"/>
      <c r="BA132" s="252"/>
      <c r="BB132" s="252"/>
      <c r="BC132" s="252"/>
      <c r="BD132" s="252"/>
      <c r="BE132" s="252"/>
      <c r="BF132" s="252"/>
      <c r="BG132" s="252"/>
      <c r="BH132" s="252"/>
      <c r="BI132" s="252"/>
      <c r="BJ132" s="252"/>
      <c r="BK132" s="252"/>
      <c r="BL132" s="252"/>
      <c r="BM132" s="252"/>
      <c r="BN132" s="252"/>
      <c r="BO132" s="252"/>
      <c r="BP132" s="252"/>
      <c r="BQ132" s="252"/>
      <c r="BR132" s="252"/>
      <c r="BS132" s="252"/>
      <c r="BT132" s="252"/>
      <c r="BU132" s="252"/>
      <c r="BV132" s="252"/>
      <c r="BW132" s="252"/>
      <c r="BX132" s="252"/>
      <c r="BY132" s="252"/>
      <c r="BZ132" s="252"/>
      <c r="CA132" s="252"/>
      <c r="CB132" s="252"/>
      <c r="CC132" s="252"/>
      <c r="CD132" s="252"/>
      <c r="CE132" s="252"/>
      <c r="CF132" s="252"/>
      <c r="CG132" s="252"/>
      <c r="CH132" s="252"/>
      <c r="CI132" s="252"/>
      <c r="CJ132" s="252"/>
      <c r="CK132" s="252"/>
      <c r="CL132" s="252"/>
      <c r="CM132" s="252"/>
      <c r="CN132" s="252"/>
      <c r="CO132" s="252"/>
    </row>
    <row r="133" spans="1:93" ht="15">
      <c r="A133" s="252"/>
      <c r="B133" s="252"/>
      <c r="C133" s="252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52"/>
      <c r="AR133" s="252"/>
      <c r="AS133" s="252"/>
      <c r="AT133" s="252"/>
      <c r="AU133" s="252"/>
      <c r="AV133" s="252"/>
      <c r="AW133" s="252"/>
      <c r="AX133" s="252"/>
      <c r="AY133" s="252"/>
      <c r="AZ133" s="252"/>
      <c r="BA133" s="252"/>
      <c r="BB133" s="252"/>
      <c r="BC133" s="252"/>
      <c r="BD133" s="252"/>
      <c r="BE133" s="252"/>
      <c r="BF133" s="252"/>
      <c r="BG133" s="252"/>
      <c r="BH133" s="252"/>
      <c r="BI133" s="252"/>
      <c r="BJ133" s="252"/>
      <c r="BK133" s="252"/>
      <c r="BL133" s="252"/>
      <c r="BM133" s="252"/>
      <c r="BN133" s="252"/>
      <c r="BO133" s="252"/>
      <c r="BP133" s="252"/>
      <c r="BQ133" s="252"/>
      <c r="BR133" s="252"/>
      <c r="BS133" s="252"/>
      <c r="BT133" s="252"/>
      <c r="BU133" s="252"/>
      <c r="BV133" s="252"/>
      <c r="BW133" s="252"/>
      <c r="BX133" s="252"/>
      <c r="BY133" s="252"/>
      <c r="BZ133" s="252"/>
      <c r="CA133" s="252"/>
      <c r="CB133" s="252"/>
      <c r="CC133" s="252"/>
      <c r="CD133" s="252"/>
      <c r="CE133" s="252"/>
      <c r="CF133" s="252"/>
      <c r="CG133" s="252"/>
      <c r="CH133" s="252"/>
      <c r="CI133" s="252"/>
      <c r="CJ133" s="252"/>
      <c r="CK133" s="252"/>
      <c r="CL133" s="252"/>
      <c r="CM133" s="252"/>
      <c r="CN133" s="252"/>
      <c r="CO133" s="252"/>
    </row>
    <row r="134" spans="1:93" ht="15">
      <c r="A134" s="252"/>
      <c r="B134" s="252"/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52"/>
      <c r="AR134" s="252"/>
      <c r="AS134" s="252"/>
      <c r="AT134" s="252"/>
      <c r="AU134" s="252"/>
      <c r="AV134" s="252"/>
      <c r="AW134" s="252"/>
      <c r="AX134" s="252"/>
      <c r="AY134" s="252"/>
      <c r="AZ134" s="252"/>
      <c r="BA134" s="252"/>
      <c r="BB134" s="252"/>
      <c r="BC134" s="252"/>
      <c r="BD134" s="252"/>
      <c r="BE134" s="252"/>
      <c r="BF134" s="252"/>
      <c r="BG134" s="252"/>
      <c r="BH134" s="252"/>
      <c r="BI134" s="252"/>
      <c r="BJ134" s="252"/>
      <c r="BK134" s="252"/>
      <c r="BL134" s="252"/>
      <c r="BM134" s="252"/>
      <c r="BN134" s="252"/>
      <c r="BO134" s="252"/>
      <c r="BP134" s="252"/>
      <c r="BQ134" s="252"/>
      <c r="BR134" s="252"/>
      <c r="BS134" s="252"/>
      <c r="BT134" s="252"/>
      <c r="BU134" s="252"/>
      <c r="BV134" s="252"/>
      <c r="BW134" s="252"/>
      <c r="BX134" s="252"/>
      <c r="BY134" s="252"/>
      <c r="BZ134" s="252"/>
      <c r="CA134" s="252"/>
      <c r="CB134" s="252"/>
      <c r="CC134" s="252"/>
      <c r="CD134" s="252"/>
      <c r="CE134" s="252"/>
      <c r="CF134" s="252"/>
      <c r="CG134" s="252"/>
      <c r="CH134" s="252"/>
      <c r="CI134" s="252"/>
      <c r="CJ134" s="252"/>
      <c r="CK134" s="252"/>
      <c r="CL134" s="252"/>
      <c r="CM134" s="252"/>
      <c r="CN134" s="252"/>
      <c r="CO134" s="252"/>
    </row>
    <row r="135" spans="1:93" ht="15">
      <c r="A135" s="252"/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52"/>
      <c r="AR135" s="252"/>
      <c r="AS135" s="252"/>
      <c r="AT135" s="252"/>
      <c r="AU135" s="252"/>
      <c r="AV135" s="252"/>
      <c r="AW135" s="252"/>
      <c r="AX135" s="252"/>
      <c r="AY135" s="252"/>
      <c r="AZ135" s="252"/>
      <c r="BA135" s="252"/>
      <c r="BB135" s="252"/>
      <c r="BC135" s="252"/>
      <c r="BD135" s="252"/>
      <c r="BE135" s="252"/>
      <c r="BF135" s="252"/>
      <c r="BG135" s="252"/>
      <c r="BH135" s="252"/>
      <c r="BI135" s="252"/>
      <c r="BJ135" s="252"/>
      <c r="BK135" s="252"/>
      <c r="BL135" s="252"/>
      <c r="BM135" s="252"/>
      <c r="BN135" s="252"/>
      <c r="BO135" s="252"/>
      <c r="BP135" s="252"/>
      <c r="BQ135" s="252"/>
      <c r="BR135" s="252"/>
      <c r="BS135" s="252"/>
      <c r="BT135" s="252"/>
      <c r="BU135" s="252"/>
      <c r="BV135" s="252"/>
      <c r="BW135" s="252"/>
      <c r="BX135" s="252"/>
      <c r="BY135" s="252"/>
      <c r="BZ135" s="252"/>
      <c r="CA135" s="252"/>
      <c r="CB135" s="252"/>
      <c r="CC135" s="252"/>
      <c r="CD135" s="252"/>
      <c r="CE135" s="252"/>
      <c r="CF135" s="252"/>
      <c r="CG135" s="252"/>
      <c r="CH135" s="252"/>
      <c r="CI135" s="252"/>
      <c r="CJ135" s="252"/>
      <c r="CK135" s="252"/>
      <c r="CL135" s="252"/>
      <c r="CM135" s="252"/>
      <c r="CN135" s="252"/>
      <c r="CO135" s="252"/>
    </row>
    <row r="136" spans="1:93" ht="15">
      <c r="A136" s="252"/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52"/>
      <c r="AR136" s="252"/>
      <c r="AS136" s="252"/>
      <c r="AT136" s="252"/>
      <c r="AU136" s="252"/>
      <c r="AV136" s="252"/>
      <c r="AW136" s="252"/>
      <c r="AX136" s="252"/>
      <c r="AY136" s="252"/>
      <c r="AZ136" s="252"/>
      <c r="BA136" s="252"/>
      <c r="BB136" s="252"/>
      <c r="BC136" s="252"/>
      <c r="BD136" s="252"/>
      <c r="BE136" s="252"/>
      <c r="BF136" s="252"/>
      <c r="BG136" s="252"/>
      <c r="BH136" s="252"/>
      <c r="BI136" s="252"/>
      <c r="BJ136" s="252"/>
      <c r="BK136" s="252"/>
      <c r="BL136" s="252"/>
      <c r="BM136" s="252"/>
      <c r="BN136" s="252"/>
      <c r="BO136" s="252"/>
      <c r="BP136" s="252"/>
      <c r="BQ136" s="252"/>
      <c r="BR136" s="252"/>
      <c r="BS136" s="252"/>
      <c r="BT136" s="252"/>
      <c r="BU136" s="252"/>
      <c r="BV136" s="252"/>
      <c r="BW136" s="252"/>
      <c r="BX136" s="252"/>
      <c r="BY136" s="252"/>
      <c r="BZ136" s="252"/>
      <c r="CA136" s="252"/>
      <c r="CB136" s="252"/>
      <c r="CC136" s="252"/>
      <c r="CD136" s="252"/>
      <c r="CE136" s="252"/>
      <c r="CF136" s="252"/>
      <c r="CG136" s="252"/>
      <c r="CH136" s="252"/>
      <c r="CI136" s="252"/>
      <c r="CJ136" s="252"/>
      <c r="CK136" s="252"/>
      <c r="CL136" s="252"/>
      <c r="CM136" s="252"/>
      <c r="CN136" s="252"/>
      <c r="CO136" s="252"/>
    </row>
    <row r="137" spans="1:93" ht="15">
      <c r="A137" s="252"/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52"/>
      <c r="AR137" s="252"/>
      <c r="AS137" s="252"/>
      <c r="AT137" s="252"/>
      <c r="AU137" s="252"/>
      <c r="AV137" s="252"/>
      <c r="AW137" s="252"/>
      <c r="AX137" s="252"/>
      <c r="AY137" s="252"/>
      <c r="AZ137" s="252"/>
      <c r="BA137" s="252"/>
      <c r="BB137" s="252"/>
      <c r="BC137" s="252"/>
      <c r="BD137" s="252"/>
      <c r="BE137" s="252"/>
      <c r="BF137" s="252"/>
      <c r="BG137" s="252"/>
      <c r="BH137" s="252"/>
      <c r="BI137" s="252"/>
      <c r="BJ137" s="252"/>
      <c r="BK137" s="252"/>
      <c r="BL137" s="252"/>
      <c r="BM137" s="252"/>
      <c r="BN137" s="252"/>
      <c r="BO137" s="252"/>
      <c r="BP137" s="252"/>
      <c r="BQ137" s="252"/>
      <c r="BR137" s="252"/>
      <c r="BS137" s="252"/>
      <c r="BT137" s="252"/>
      <c r="BU137" s="252"/>
      <c r="BV137" s="252"/>
      <c r="BW137" s="252"/>
      <c r="BX137" s="252"/>
      <c r="BY137" s="252"/>
      <c r="BZ137" s="252"/>
      <c r="CA137" s="252"/>
      <c r="CB137" s="252"/>
      <c r="CC137" s="252"/>
      <c r="CD137" s="252"/>
      <c r="CE137" s="252"/>
      <c r="CF137" s="252"/>
      <c r="CG137" s="252"/>
      <c r="CH137" s="252"/>
      <c r="CI137" s="252"/>
      <c r="CJ137" s="252"/>
      <c r="CK137" s="252"/>
      <c r="CL137" s="252"/>
      <c r="CM137" s="252"/>
      <c r="CN137" s="252"/>
      <c r="CO137" s="252"/>
    </row>
    <row r="138" spans="1:93" ht="15">
      <c r="A138" s="252"/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52"/>
      <c r="AR138" s="252"/>
      <c r="AS138" s="252"/>
      <c r="AT138" s="252"/>
      <c r="AU138" s="252"/>
      <c r="AV138" s="252"/>
      <c r="AW138" s="252"/>
      <c r="AX138" s="252"/>
      <c r="AY138" s="252"/>
      <c r="AZ138" s="252"/>
      <c r="BA138" s="252"/>
      <c r="BB138" s="252"/>
      <c r="BC138" s="252"/>
      <c r="BD138" s="252"/>
      <c r="BE138" s="252"/>
      <c r="BF138" s="252"/>
      <c r="BG138" s="252"/>
      <c r="BH138" s="252"/>
      <c r="BI138" s="252"/>
      <c r="BJ138" s="252"/>
      <c r="BK138" s="252"/>
      <c r="BL138" s="252"/>
      <c r="BM138" s="252"/>
      <c r="BN138" s="252"/>
      <c r="BO138" s="252"/>
      <c r="BP138" s="252"/>
      <c r="BQ138" s="252"/>
      <c r="BR138" s="252"/>
      <c r="BS138" s="252"/>
      <c r="BT138" s="252"/>
      <c r="BU138" s="252"/>
      <c r="BV138" s="252"/>
      <c r="BW138" s="252"/>
      <c r="BX138" s="252"/>
      <c r="BY138" s="252"/>
      <c r="BZ138" s="252"/>
      <c r="CA138" s="252"/>
      <c r="CB138" s="252"/>
      <c r="CC138" s="252"/>
      <c r="CD138" s="252"/>
      <c r="CE138" s="252"/>
      <c r="CF138" s="252"/>
      <c r="CG138" s="252"/>
      <c r="CH138" s="252"/>
      <c r="CI138" s="252"/>
      <c r="CJ138" s="252"/>
      <c r="CK138" s="252"/>
      <c r="CL138" s="252"/>
      <c r="CM138" s="252"/>
      <c r="CN138" s="252"/>
      <c r="CO138" s="252"/>
    </row>
    <row r="139" spans="1:93" ht="15">
      <c r="A139" s="252"/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52"/>
      <c r="AR139" s="252"/>
      <c r="AS139" s="252"/>
      <c r="AT139" s="252"/>
      <c r="AU139" s="252"/>
      <c r="AV139" s="252"/>
      <c r="AW139" s="252"/>
      <c r="AX139" s="252"/>
      <c r="AY139" s="252"/>
      <c r="AZ139" s="252"/>
      <c r="BA139" s="252"/>
      <c r="BB139" s="252"/>
      <c r="BC139" s="252"/>
      <c r="BD139" s="252"/>
      <c r="BE139" s="252"/>
      <c r="BF139" s="252"/>
      <c r="BG139" s="252"/>
      <c r="BH139" s="252"/>
      <c r="BI139" s="252"/>
      <c r="BJ139" s="252"/>
      <c r="BK139" s="252"/>
      <c r="BL139" s="252"/>
      <c r="BM139" s="252"/>
      <c r="BN139" s="252"/>
      <c r="BO139" s="252"/>
      <c r="BP139" s="252"/>
      <c r="BQ139" s="252"/>
      <c r="BR139" s="252"/>
      <c r="BS139" s="252"/>
      <c r="BT139" s="252"/>
      <c r="BU139" s="252"/>
      <c r="BV139" s="252"/>
      <c r="BW139" s="252"/>
      <c r="BX139" s="252"/>
      <c r="BY139" s="252"/>
      <c r="BZ139" s="252"/>
      <c r="CA139" s="252"/>
      <c r="CB139" s="252"/>
      <c r="CC139" s="252"/>
      <c r="CD139" s="252"/>
      <c r="CE139" s="252"/>
      <c r="CF139" s="252"/>
      <c r="CG139" s="252"/>
      <c r="CH139" s="252"/>
      <c r="CI139" s="252"/>
      <c r="CJ139" s="252"/>
      <c r="CK139" s="252"/>
      <c r="CL139" s="252"/>
      <c r="CM139" s="252"/>
      <c r="CN139" s="252"/>
      <c r="CO139" s="252"/>
    </row>
    <row r="140" spans="1:93" ht="15">
      <c r="A140" s="252"/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52"/>
      <c r="AR140" s="252"/>
      <c r="AS140" s="252"/>
      <c r="AT140" s="252"/>
      <c r="AU140" s="252"/>
      <c r="AV140" s="252"/>
      <c r="AW140" s="252"/>
      <c r="AX140" s="252"/>
      <c r="AY140" s="252"/>
      <c r="AZ140" s="252"/>
      <c r="BA140" s="252"/>
      <c r="BB140" s="252"/>
      <c r="BC140" s="252"/>
      <c r="BD140" s="252"/>
      <c r="BE140" s="252"/>
      <c r="BF140" s="252"/>
      <c r="BG140" s="252"/>
      <c r="BH140" s="252"/>
      <c r="BI140" s="252"/>
      <c r="BJ140" s="252"/>
      <c r="BK140" s="252"/>
      <c r="BL140" s="252"/>
      <c r="BM140" s="252"/>
      <c r="BN140" s="252"/>
      <c r="BO140" s="252"/>
      <c r="BP140" s="252"/>
      <c r="BQ140" s="252"/>
      <c r="BR140" s="252"/>
      <c r="BS140" s="252"/>
      <c r="BT140" s="252"/>
      <c r="BU140" s="252"/>
      <c r="BV140" s="252"/>
      <c r="BW140" s="252"/>
      <c r="BX140" s="252"/>
      <c r="BY140" s="252"/>
      <c r="BZ140" s="252"/>
      <c r="CA140" s="252"/>
      <c r="CB140" s="252"/>
      <c r="CC140" s="252"/>
      <c r="CD140" s="252"/>
      <c r="CE140" s="252"/>
      <c r="CF140" s="252"/>
      <c r="CG140" s="252"/>
      <c r="CH140" s="252"/>
      <c r="CI140" s="252"/>
      <c r="CJ140" s="252"/>
      <c r="CK140" s="252"/>
      <c r="CL140" s="252"/>
      <c r="CM140" s="252"/>
      <c r="CN140" s="252"/>
      <c r="CO140" s="252"/>
    </row>
    <row r="141" spans="1:93" ht="15">
      <c r="A141" s="252"/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2"/>
      <c r="AN141" s="252"/>
      <c r="AO141" s="252"/>
      <c r="AP141" s="252"/>
      <c r="AQ141" s="252"/>
      <c r="AR141" s="252"/>
      <c r="AS141" s="252"/>
      <c r="AT141" s="252"/>
      <c r="AU141" s="252"/>
      <c r="AV141" s="252"/>
      <c r="AW141" s="252"/>
      <c r="AX141" s="252"/>
      <c r="AY141" s="252"/>
      <c r="AZ141" s="252"/>
      <c r="BA141" s="252"/>
      <c r="BB141" s="252"/>
      <c r="BC141" s="252"/>
      <c r="BD141" s="252"/>
      <c r="BE141" s="252"/>
      <c r="BF141" s="252"/>
      <c r="BG141" s="252"/>
      <c r="BH141" s="252"/>
      <c r="BI141" s="252"/>
      <c r="BJ141" s="252"/>
      <c r="BK141" s="252"/>
      <c r="BL141" s="252"/>
      <c r="BM141" s="252"/>
      <c r="BN141" s="252"/>
      <c r="BO141" s="252"/>
      <c r="BP141" s="252"/>
      <c r="BQ141" s="252"/>
      <c r="BR141" s="252"/>
      <c r="BS141" s="252"/>
      <c r="BT141" s="252"/>
      <c r="BU141" s="252"/>
      <c r="BV141" s="252"/>
      <c r="BW141" s="252"/>
      <c r="BX141" s="252"/>
      <c r="BY141" s="252"/>
      <c r="BZ141" s="252"/>
      <c r="CA141" s="252"/>
      <c r="CB141" s="252"/>
      <c r="CC141" s="252"/>
      <c r="CD141" s="252"/>
      <c r="CE141" s="252"/>
      <c r="CF141" s="252"/>
      <c r="CG141" s="252"/>
      <c r="CH141" s="252"/>
      <c r="CI141" s="252"/>
      <c r="CJ141" s="252"/>
      <c r="CK141" s="252"/>
      <c r="CL141" s="252"/>
      <c r="CM141" s="252"/>
      <c r="CN141" s="252"/>
      <c r="CO141" s="252"/>
    </row>
    <row r="142" spans="1:93" ht="15">
      <c r="A142" s="252"/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  <c r="AA142" s="252"/>
      <c r="AB142" s="252"/>
      <c r="AC142" s="252"/>
      <c r="AD142" s="252"/>
      <c r="AE142" s="252"/>
      <c r="AF142" s="252"/>
      <c r="AG142" s="252"/>
      <c r="AH142" s="252"/>
      <c r="AI142" s="252"/>
      <c r="AJ142" s="252"/>
      <c r="AK142" s="252"/>
      <c r="AL142" s="252"/>
      <c r="AM142" s="252"/>
      <c r="AN142" s="252"/>
      <c r="AO142" s="252"/>
      <c r="AP142" s="252"/>
      <c r="AQ142" s="252"/>
      <c r="AR142" s="252"/>
      <c r="AS142" s="252"/>
      <c r="AT142" s="252"/>
      <c r="AU142" s="252"/>
      <c r="AV142" s="252"/>
      <c r="AW142" s="252"/>
      <c r="AX142" s="252"/>
      <c r="AY142" s="252"/>
      <c r="AZ142" s="252"/>
      <c r="BA142" s="252"/>
      <c r="BB142" s="252"/>
      <c r="BC142" s="252"/>
      <c r="BD142" s="252"/>
      <c r="BE142" s="252"/>
      <c r="BF142" s="252"/>
      <c r="BG142" s="252"/>
      <c r="BH142" s="252"/>
      <c r="BI142" s="252"/>
      <c r="BJ142" s="252"/>
      <c r="BK142" s="252"/>
      <c r="BL142" s="252"/>
      <c r="BM142" s="252"/>
      <c r="BN142" s="252"/>
      <c r="BO142" s="252"/>
      <c r="BP142" s="252"/>
      <c r="BQ142" s="252"/>
      <c r="BR142" s="252"/>
      <c r="BS142" s="252"/>
      <c r="BT142" s="252"/>
      <c r="BU142" s="252"/>
      <c r="BV142" s="252"/>
      <c r="BW142" s="252"/>
      <c r="BX142" s="252"/>
      <c r="BY142" s="252"/>
      <c r="BZ142" s="252"/>
      <c r="CA142" s="252"/>
      <c r="CB142" s="252"/>
      <c r="CC142" s="252"/>
      <c r="CD142" s="252"/>
      <c r="CE142" s="252"/>
      <c r="CF142" s="252"/>
      <c r="CG142" s="252"/>
      <c r="CH142" s="252"/>
      <c r="CI142" s="252"/>
      <c r="CJ142" s="252"/>
      <c r="CK142" s="252"/>
      <c r="CL142" s="252"/>
      <c r="CM142" s="252"/>
      <c r="CN142" s="252"/>
      <c r="CO142" s="252"/>
    </row>
    <row r="143" spans="1:93" ht="15">
      <c r="A143" s="252"/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  <c r="AP143" s="252"/>
      <c r="AQ143" s="252"/>
      <c r="AR143" s="252"/>
      <c r="AS143" s="252"/>
      <c r="AT143" s="252"/>
      <c r="AU143" s="252"/>
      <c r="AV143" s="252"/>
      <c r="AW143" s="252"/>
      <c r="AX143" s="252"/>
      <c r="AY143" s="252"/>
      <c r="AZ143" s="252"/>
      <c r="BA143" s="252"/>
      <c r="BB143" s="252"/>
      <c r="BC143" s="252"/>
      <c r="BD143" s="252"/>
      <c r="BE143" s="252"/>
      <c r="BF143" s="252"/>
      <c r="BG143" s="252"/>
      <c r="BH143" s="252"/>
      <c r="BI143" s="252"/>
      <c r="BJ143" s="252"/>
      <c r="BK143" s="252"/>
      <c r="BL143" s="252"/>
      <c r="BM143" s="252"/>
      <c r="BN143" s="252"/>
      <c r="BO143" s="252"/>
      <c r="BP143" s="252"/>
      <c r="BQ143" s="252"/>
      <c r="BR143" s="252"/>
      <c r="BS143" s="252"/>
      <c r="BT143" s="252"/>
      <c r="BU143" s="252"/>
      <c r="BV143" s="252"/>
      <c r="BW143" s="252"/>
      <c r="BX143" s="252"/>
      <c r="BY143" s="252"/>
      <c r="BZ143" s="252"/>
      <c r="CA143" s="252"/>
      <c r="CB143" s="252"/>
      <c r="CC143" s="252"/>
      <c r="CD143" s="252"/>
      <c r="CE143" s="252"/>
      <c r="CF143" s="252"/>
      <c r="CG143" s="252"/>
      <c r="CH143" s="252"/>
      <c r="CI143" s="252"/>
      <c r="CJ143" s="252"/>
      <c r="CK143" s="252"/>
      <c r="CL143" s="252"/>
      <c r="CM143" s="252"/>
      <c r="CN143" s="252"/>
      <c r="CO143" s="252"/>
    </row>
    <row r="144" spans="1:93" ht="15">
      <c r="A144" s="252"/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  <c r="AE144" s="252"/>
      <c r="AF144" s="252"/>
      <c r="AG144" s="252"/>
      <c r="AH144" s="252"/>
      <c r="AI144" s="252"/>
      <c r="AJ144" s="252"/>
      <c r="AK144" s="252"/>
      <c r="AL144" s="252"/>
      <c r="AM144" s="252"/>
      <c r="AN144" s="252"/>
      <c r="AO144" s="252"/>
      <c r="AP144" s="252"/>
      <c r="AQ144" s="252"/>
      <c r="AR144" s="252"/>
      <c r="AS144" s="252"/>
      <c r="AT144" s="252"/>
      <c r="AU144" s="252"/>
      <c r="AV144" s="252"/>
      <c r="AW144" s="252"/>
      <c r="AX144" s="252"/>
      <c r="AY144" s="252"/>
      <c r="AZ144" s="252"/>
      <c r="BA144" s="252"/>
      <c r="BB144" s="252"/>
      <c r="BC144" s="252"/>
      <c r="BD144" s="252"/>
      <c r="BE144" s="252"/>
      <c r="BF144" s="252"/>
      <c r="BG144" s="252"/>
      <c r="BH144" s="252"/>
      <c r="BI144" s="252"/>
      <c r="BJ144" s="252"/>
      <c r="BK144" s="252"/>
      <c r="BL144" s="252"/>
      <c r="BM144" s="252"/>
      <c r="BN144" s="252"/>
      <c r="BO144" s="252"/>
      <c r="BP144" s="252"/>
      <c r="BQ144" s="252"/>
      <c r="BR144" s="252"/>
      <c r="BS144" s="252"/>
      <c r="BT144" s="252"/>
      <c r="BU144" s="252"/>
      <c r="BV144" s="252"/>
      <c r="BW144" s="252"/>
      <c r="BX144" s="252"/>
      <c r="BY144" s="252"/>
      <c r="BZ144" s="252"/>
      <c r="CA144" s="252"/>
      <c r="CB144" s="252"/>
      <c r="CC144" s="252"/>
      <c r="CD144" s="252"/>
      <c r="CE144" s="252"/>
      <c r="CF144" s="252"/>
      <c r="CG144" s="252"/>
      <c r="CH144" s="252"/>
      <c r="CI144" s="252"/>
      <c r="CJ144" s="252"/>
      <c r="CK144" s="252"/>
      <c r="CL144" s="252"/>
      <c r="CM144" s="252"/>
      <c r="CN144" s="252"/>
      <c r="CO144" s="252"/>
    </row>
    <row r="145" spans="1:93" ht="15">
      <c r="A145" s="252"/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  <c r="AA145" s="252"/>
      <c r="AB145" s="252"/>
      <c r="AC145" s="252"/>
      <c r="AD145" s="252"/>
      <c r="AE145" s="252"/>
      <c r="AF145" s="252"/>
      <c r="AG145" s="252"/>
      <c r="AH145" s="252"/>
      <c r="AI145" s="252"/>
      <c r="AJ145" s="252"/>
      <c r="AK145" s="252"/>
      <c r="AL145" s="252"/>
      <c r="AM145" s="252"/>
      <c r="AN145" s="252"/>
      <c r="AO145" s="252"/>
      <c r="AP145" s="252"/>
      <c r="AQ145" s="252"/>
      <c r="AR145" s="252"/>
      <c r="AS145" s="252"/>
      <c r="AT145" s="252"/>
      <c r="AU145" s="252"/>
      <c r="AV145" s="252"/>
      <c r="AW145" s="252"/>
      <c r="AX145" s="252"/>
      <c r="AY145" s="252"/>
      <c r="AZ145" s="252"/>
      <c r="BA145" s="252"/>
      <c r="BB145" s="252"/>
      <c r="BC145" s="252"/>
      <c r="BD145" s="252"/>
      <c r="BE145" s="252"/>
      <c r="BF145" s="252"/>
      <c r="BG145" s="252"/>
      <c r="BH145" s="252"/>
      <c r="BI145" s="252"/>
      <c r="BJ145" s="252"/>
      <c r="BK145" s="252"/>
      <c r="BL145" s="252"/>
      <c r="BM145" s="252"/>
      <c r="BN145" s="252"/>
      <c r="BO145" s="252"/>
      <c r="BP145" s="252"/>
      <c r="BQ145" s="252"/>
      <c r="BR145" s="252"/>
      <c r="BS145" s="252"/>
      <c r="BT145" s="252"/>
      <c r="BU145" s="252"/>
      <c r="BV145" s="252"/>
      <c r="BW145" s="252"/>
      <c r="BX145" s="252"/>
      <c r="BY145" s="252"/>
      <c r="BZ145" s="252"/>
      <c r="CA145" s="252"/>
      <c r="CB145" s="252"/>
      <c r="CC145" s="252"/>
      <c r="CD145" s="252"/>
      <c r="CE145" s="252"/>
      <c r="CF145" s="252"/>
      <c r="CG145" s="252"/>
      <c r="CH145" s="252"/>
      <c r="CI145" s="252"/>
      <c r="CJ145" s="252"/>
      <c r="CK145" s="252"/>
      <c r="CL145" s="252"/>
      <c r="CM145" s="252"/>
      <c r="CN145" s="252"/>
      <c r="CO145" s="252"/>
    </row>
  </sheetData>
  <pageMargins left="0.7" right="0.7" top="0.75" bottom="0.75" header="0.3" footer="0.3"/>
  <pageSetup paperSize="9" orientation="portrait" verticalDpi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113"/>
  <sheetViews>
    <sheetView topLeftCell="A49" zoomScale="70" zoomScaleNormal="70" zoomScalePageLayoutView="70" workbookViewId="0">
      <selection activeCell="U76" sqref="U76"/>
    </sheetView>
  </sheetViews>
  <sheetFormatPr defaultColWidth="8.85546875" defaultRowHeight="12.75"/>
  <cols>
    <col min="2" max="2" width="31.28515625" customWidth="1"/>
    <col min="5" max="5" width="11.42578125" customWidth="1"/>
    <col min="6" max="6" width="11.85546875" customWidth="1"/>
    <col min="7" max="7" width="9.85546875" bestFit="1" customWidth="1"/>
    <col min="8" max="8" width="9.7109375" customWidth="1"/>
    <col min="9" max="9" width="9.42578125" customWidth="1"/>
    <col min="25" max="25" width="9" bestFit="1" customWidth="1"/>
    <col min="26" max="26" width="11.42578125" customWidth="1"/>
    <col min="29" max="29" width="13" bestFit="1" customWidth="1"/>
  </cols>
  <sheetData>
    <row r="2" spans="2:26">
      <c r="Z2" s="13"/>
    </row>
    <row r="4" spans="2:26">
      <c r="B4" s="59"/>
      <c r="C4" s="149">
        <v>2011</v>
      </c>
      <c r="D4" s="147">
        <v>2010</v>
      </c>
      <c r="E4" s="147">
        <v>2009</v>
      </c>
    </row>
    <row r="5" spans="2:26">
      <c r="B5" s="148" t="s">
        <v>1537</v>
      </c>
      <c r="C5" s="61">
        <v>5000</v>
      </c>
      <c r="D5" s="56">
        <v>5000</v>
      </c>
      <c r="E5" s="57">
        <v>5000</v>
      </c>
    </row>
    <row r="6" spans="2:26">
      <c r="B6" s="147" t="s">
        <v>1538</v>
      </c>
      <c r="C6" s="62">
        <v>395</v>
      </c>
      <c r="D6" s="46">
        <v>177</v>
      </c>
      <c r="E6" s="60">
        <v>800</v>
      </c>
    </row>
    <row r="7" spans="2:26">
      <c r="B7" s="147" t="s">
        <v>1539</v>
      </c>
      <c r="C7" s="62">
        <v>15000</v>
      </c>
      <c r="D7" s="46">
        <v>12725</v>
      </c>
      <c r="E7" s="60">
        <v>17706</v>
      </c>
    </row>
    <row r="8" spans="2:26">
      <c r="B8" s="147" t="s">
        <v>1540</v>
      </c>
      <c r="C8" s="62">
        <v>7300000</v>
      </c>
      <c r="D8" s="46">
        <v>3000000</v>
      </c>
      <c r="E8" s="60">
        <v>25000000</v>
      </c>
      <c r="F8" s="26"/>
    </row>
    <row r="9" spans="2:26">
      <c r="B9" s="147" t="s">
        <v>1541</v>
      </c>
      <c r="C9" s="58">
        <v>101205</v>
      </c>
      <c r="D9" s="59">
        <v>49136.75</v>
      </c>
      <c r="E9" s="55">
        <v>71250</v>
      </c>
    </row>
    <row r="21" spans="1:19">
      <c r="C21" s="140" t="s">
        <v>1708</v>
      </c>
      <c r="D21" s="141"/>
      <c r="E21" s="141"/>
      <c r="F21" s="141"/>
      <c r="G21" s="141"/>
      <c r="H21" s="141"/>
      <c r="I21" s="141"/>
      <c r="J21" s="142"/>
      <c r="K21" s="140" t="s">
        <v>1709</v>
      </c>
      <c r="L21" s="141"/>
      <c r="M21" s="141"/>
      <c r="N21" s="141"/>
      <c r="O21" s="141"/>
      <c r="P21" s="141"/>
      <c r="Q21" s="141"/>
      <c r="R21" s="142"/>
    </row>
    <row r="22" spans="1:19">
      <c r="B22" s="139" t="s">
        <v>1707</v>
      </c>
      <c r="C22" s="143">
        <v>2004</v>
      </c>
      <c r="D22" s="144">
        <v>2005</v>
      </c>
      <c r="E22" s="144">
        <v>2006</v>
      </c>
      <c r="F22" s="144">
        <v>2007</v>
      </c>
      <c r="G22" s="144">
        <v>2008</v>
      </c>
      <c r="H22" s="144">
        <v>2009</v>
      </c>
      <c r="I22" s="145">
        <v>2010</v>
      </c>
      <c r="J22" s="145">
        <v>2011</v>
      </c>
      <c r="K22" s="143">
        <v>2004</v>
      </c>
      <c r="L22" s="144">
        <v>2005</v>
      </c>
      <c r="M22" s="144">
        <v>2006</v>
      </c>
      <c r="N22" s="144">
        <v>2007</v>
      </c>
      <c r="O22" s="144">
        <v>2008</v>
      </c>
      <c r="P22" s="144">
        <v>2009</v>
      </c>
      <c r="Q22" s="144">
        <v>2010</v>
      </c>
      <c r="R22" s="146">
        <v>2011</v>
      </c>
      <c r="S22" s="46"/>
    </row>
    <row r="23" spans="1:19">
      <c r="B23" s="45" t="s">
        <v>1502</v>
      </c>
      <c r="C23">
        <v>15</v>
      </c>
      <c r="D23">
        <v>22</v>
      </c>
      <c r="E23">
        <v>23</v>
      </c>
      <c r="F23">
        <v>33</v>
      </c>
      <c r="G23">
        <v>28</v>
      </c>
      <c r="H23">
        <v>30</v>
      </c>
      <c r="I23">
        <v>34</v>
      </c>
      <c r="J23" s="60">
        <v>28</v>
      </c>
      <c r="K23" s="61">
        <f t="shared" ref="K23:R23" si="0">C23/C27</f>
        <v>0.26315789473684209</v>
      </c>
      <c r="L23" s="56">
        <f t="shared" si="0"/>
        <v>0.23404255319148937</v>
      </c>
      <c r="M23" s="56">
        <f t="shared" si="0"/>
        <v>0.24210526315789474</v>
      </c>
      <c r="N23" s="56">
        <f t="shared" si="0"/>
        <v>0.3473684210526316</v>
      </c>
      <c r="O23" s="56">
        <f t="shared" si="0"/>
        <v>0.27722772277227725</v>
      </c>
      <c r="P23" s="56">
        <f t="shared" si="0"/>
        <v>0.32258064516129031</v>
      </c>
      <c r="Q23" s="56">
        <f t="shared" si="0"/>
        <v>0.265625</v>
      </c>
      <c r="R23" s="57">
        <f t="shared" si="0"/>
        <v>0.25225225225225223</v>
      </c>
    </row>
    <row r="24" spans="1:19">
      <c r="B24" s="48" t="s">
        <v>1501</v>
      </c>
      <c r="C24">
        <v>8</v>
      </c>
      <c r="D24">
        <v>12</v>
      </c>
      <c r="E24">
        <v>12</v>
      </c>
      <c r="F24">
        <v>8</v>
      </c>
      <c r="G24">
        <v>18</v>
      </c>
      <c r="H24">
        <v>11</v>
      </c>
      <c r="I24">
        <v>21</v>
      </c>
      <c r="J24" s="60">
        <v>19</v>
      </c>
      <c r="K24" s="62">
        <f t="shared" ref="K24:R24" si="1">C24/C27</f>
        <v>0.14035087719298245</v>
      </c>
      <c r="L24" s="46">
        <f t="shared" si="1"/>
        <v>0.1276595744680851</v>
      </c>
      <c r="M24" s="56">
        <f t="shared" si="1"/>
        <v>0.12631578947368421</v>
      </c>
      <c r="N24" s="46">
        <f t="shared" si="1"/>
        <v>8.4210526315789472E-2</v>
      </c>
      <c r="O24" s="46">
        <f t="shared" si="1"/>
        <v>0.17821782178217821</v>
      </c>
      <c r="P24" s="46">
        <f t="shared" si="1"/>
        <v>0.11827956989247312</v>
      </c>
      <c r="Q24" s="46">
        <f t="shared" si="1"/>
        <v>0.1640625</v>
      </c>
      <c r="R24" s="60">
        <f t="shared" si="1"/>
        <v>0.17117117117117117</v>
      </c>
    </row>
    <row r="25" spans="1:19">
      <c r="B25" s="45" t="s">
        <v>1567</v>
      </c>
      <c r="C25">
        <v>16</v>
      </c>
      <c r="D25">
        <v>18</v>
      </c>
      <c r="E25">
        <v>27</v>
      </c>
      <c r="F25">
        <v>31</v>
      </c>
      <c r="G25">
        <v>24</v>
      </c>
      <c r="H25">
        <v>27</v>
      </c>
      <c r="I25">
        <v>42</v>
      </c>
      <c r="J25" s="60">
        <v>22</v>
      </c>
      <c r="K25" s="62">
        <f t="shared" ref="K25:R25" si="2">C25/C27</f>
        <v>0.2807017543859649</v>
      </c>
      <c r="L25" s="46">
        <f t="shared" si="2"/>
        <v>0.19148936170212766</v>
      </c>
      <c r="M25" s="56">
        <f t="shared" si="2"/>
        <v>0.28421052631578947</v>
      </c>
      <c r="N25" s="46">
        <f t="shared" si="2"/>
        <v>0.32631578947368423</v>
      </c>
      <c r="O25" s="46">
        <f t="shared" si="2"/>
        <v>0.23762376237623761</v>
      </c>
      <c r="P25" s="46">
        <f t="shared" si="2"/>
        <v>0.29032258064516131</v>
      </c>
      <c r="Q25" s="46">
        <f t="shared" si="2"/>
        <v>0.328125</v>
      </c>
      <c r="R25" s="60">
        <f t="shared" si="2"/>
        <v>0.1981981981981982</v>
      </c>
    </row>
    <row r="26" spans="1:19">
      <c r="B26" s="45" t="s">
        <v>1568</v>
      </c>
      <c r="C26">
        <v>12</v>
      </c>
      <c r="D26">
        <v>18</v>
      </c>
      <c r="E26">
        <v>26</v>
      </c>
      <c r="F26">
        <v>32</v>
      </c>
      <c r="G26">
        <v>29</v>
      </c>
      <c r="H26">
        <v>27</v>
      </c>
      <c r="I26">
        <v>28</v>
      </c>
      <c r="J26" s="60">
        <v>40</v>
      </c>
      <c r="K26" s="62">
        <f t="shared" ref="K26:R26" si="3">C26/C27</f>
        <v>0.21052631578947367</v>
      </c>
      <c r="L26" s="46">
        <f t="shared" si="3"/>
        <v>0.19148936170212766</v>
      </c>
      <c r="M26" s="46">
        <f t="shared" si="3"/>
        <v>0.27368421052631581</v>
      </c>
      <c r="N26" s="46">
        <f t="shared" si="3"/>
        <v>0.33684210526315789</v>
      </c>
      <c r="O26" s="46">
        <f t="shared" si="3"/>
        <v>0.28712871287128711</v>
      </c>
      <c r="P26" s="46">
        <f t="shared" si="3"/>
        <v>0.29032258064516131</v>
      </c>
      <c r="Q26" s="46">
        <f t="shared" si="3"/>
        <v>0.21875</v>
      </c>
      <c r="R26" s="60">
        <f t="shared" si="3"/>
        <v>0.36036036036036034</v>
      </c>
    </row>
    <row r="27" spans="1:19">
      <c r="A27" s="46"/>
      <c r="B27" s="48" t="s">
        <v>1521</v>
      </c>
      <c r="C27" s="58">
        <v>57</v>
      </c>
      <c r="D27" s="59">
        <v>94</v>
      </c>
      <c r="E27" s="59">
        <v>95</v>
      </c>
      <c r="F27" s="59">
        <v>95</v>
      </c>
      <c r="G27" s="59">
        <v>101</v>
      </c>
      <c r="H27" s="59">
        <v>93</v>
      </c>
      <c r="I27" s="59">
        <v>128</v>
      </c>
      <c r="J27" s="55">
        <v>111</v>
      </c>
      <c r="K27" s="58"/>
      <c r="L27" s="59"/>
      <c r="M27" s="59"/>
      <c r="N27" s="59"/>
      <c r="O27" s="59"/>
      <c r="P27" s="59"/>
      <c r="Q27" s="59"/>
      <c r="R27" s="55"/>
    </row>
    <row r="51" spans="2:17">
      <c r="B51" s="473"/>
      <c r="C51" s="473"/>
      <c r="D51" s="51"/>
      <c r="E51" s="51"/>
      <c r="F51" s="51"/>
      <c r="G51" s="51"/>
      <c r="J51" s="2" t="s">
        <v>2300</v>
      </c>
    </row>
    <row r="52" spans="2:17">
      <c r="B52" s="51"/>
      <c r="C52" s="51"/>
      <c r="D52" s="51"/>
      <c r="E52" s="51"/>
      <c r="F52" s="51"/>
      <c r="G52" s="474"/>
      <c r="J52" s="150" t="s">
        <v>1503</v>
      </c>
      <c r="K52" s="151" t="s">
        <v>1501</v>
      </c>
      <c r="L52" s="151" t="s">
        <v>1567</v>
      </c>
      <c r="M52" s="152" t="s">
        <v>1568</v>
      </c>
      <c r="O52" s="34"/>
      <c r="P52" s="34"/>
      <c r="Q52" s="34"/>
    </row>
    <row r="53" spans="2:17">
      <c r="B53" s="473"/>
      <c r="C53" s="51"/>
      <c r="D53" s="51"/>
      <c r="E53" s="51"/>
      <c r="F53" s="51"/>
      <c r="G53" s="51"/>
      <c r="I53" s="155">
        <v>2011</v>
      </c>
      <c r="J53" s="61">
        <v>53</v>
      </c>
      <c r="K53" s="56">
        <v>31</v>
      </c>
      <c r="L53" s="56">
        <v>14</v>
      </c>
      <c r="M53" s="57">
        <v>8</v>
      </c>
    </row>
    <row r="54" spans="2:17">
      <c r="B54" s="51"/>
      <c r="C54" s="198"/>
      <c r="D54" s="198"/>
      <c r="E54" s="198"/>
      <c r="F54" s="198"/>
      <c r="G54" s="198"/>
      <c r="H54" s="13"/>
      <c r="I54" s="156">
        <v>2010</v>
      </c>
      <c r="J54" s="184">
        <v>85</v>
      </c>
      <c r="K54" s="185">
        <v>34</v>
      </c>
      <c r="L54" s="185">
        <v>21</v>
      </c>
      <c r="M54" s="186">
        <v>26</v>
      </c>
      <c r="N54" s="13"/>
      <c r="O54" s="13"/>
      <c r="P54" s="13"/>
      <c r="Q54" s="13"/>
    </row>
    <row r="55" spans="2:17">
      <c r="B55" s="51"/>
      <c r="C55" s="198"/>
      <c r="D55" s="198"/>
      <c r="E55" s="198"/>
      <c r="F55" s="198"/>
      <c r="G55" s="51"/>
      <c r="I55" s="156">
        <v>2009</v>
      </c>
      <c r="J55" s="62">
        <v>78</v>
      </c>
      <c r="K55" s="46">
        <v>33</v>
      </c>
      <c r="L55" s="185">
        <v>17</v>
      </c>
      <c r="M55" s="60">
        <v>9</v>
      </c>
      <c r="O55" s="13"/>
    </row>
    <row r="56" spans="2:17">
      <c r="B56" s="51"/>
      <c r="C56" s="51"/>
      <c r="D56" s="51"/>
      <c r="E56" s="51"/>
      <c r="F56" s="51"/>
      <c r="G56" s="51"/>
      <c r="I56" s="157">
        <v>2008</v>
      </c>
      <c r="J56" s="62">
        <v>103</v>
      </c>
      <c r="K56" s="46">
        <v>29</v>
      </c>
      <c r="L56" s="51">
        <v>39</v>
      </c>
      <c r="M56" s="187">
        <v>13</v>
      </c>
    </row>
    <row r="57" spans="2:17">
      <c r="B57" s="51"/>
      <c r="C57" s="51"/>
      <c r="D57" s="51"/>
      <c r="E57" s="51"/>
      <c r="F57" s="51"/>
      <c r="G57" s="51"/>
      <c r="I57" s="157">
        <v>2007</v>
      </c>
      <c r="J57" s="62">
        <v>46</v>
      </c>
      <c r="K57" s="46">
        <v>47</v>
      </c>
      <c r="L57" s="51">
        <v>27</v>
      </c>
      <c r="M57" s="187">
        <v>16</v>
      </c>
    </row>
    <row r="58" spans="2:17">
      <c r="B58" s="51"/>
      <c r="C58" s="51"/>
      <c r="D58" s="51"/>
      <c r="E58" s="51"/>
      <c r="F58" s="51"/>
      <c r="G58" s="51"/>
      <c r="I58" s="157">
        <v>2006</v>
      </c>
      <c r="J58" s="62">
        <v>38</v>
      </c>
      <c r="K58" s="46">
        <v>42</v>
      </c>
      <c r="L58" s="51">
        <v>21</v>
      </c>
      <c r="M58" s="187">
        <v>11</v>
      </c>
    </row>
    <row r="59" spans="2:17">
      <c r="B59" s="473"/>
      <c r="C59" s="51"/>
      <c r="D59" s="51"/>
      <c r="E59" s="51"/>
      <c r="F59" s="51"/>
      <c r="G59" s="51"/>
      <c r="I59" s="157">
        <v>2005</v>
      </c>
      <c r="J59" s="62">
        <v>50</v>
      </c>
      <c r="K59" s="46">
        <v>19</v>
      </c>
      <c r="L59" s="51">
        <v>24</v>
      </c>
      <c r="M59" s="187">
        <v>24</v>
      </c>
    </row>
    <row r="60" spans="2:17">
      <c r="B60" s="51"/>
      <c r="C60" s="51"/>
      <c r="D60" s="51"/>
      <c r="E60" s="51"/>
      <c r="F60" s="51"/>
      <c r="G60" s="474"/>
      <c r="I60" s="158">
        <v>2004</v>
      </c>
      <c r="J60" s="58">
        <v>62</v>
      </c>
      <c r="K60" s="59">
        <v>18</v>
      </c>
      <c r="L60" s="188">
        <v>31</v>
      </c>
      <c r="M60" s="189">
        <v>21</v>
      </c>
    </row>
    <row r="61" spans="2:17">
      <c r="B61" s="473"/>
      <c r="C61" s="51"/>
      <c r="D61" s="51"/>
      <c r="E61" s="51"/>
      <c r="F61" s="51"/>
      <c r="G61" s="51"/>
      <c r="I61" t="s">
        <v>2433</v>
      </c>
      <c r="J61">
        <f>AVERAGE(J53:J60)</f>
        <v>64.375</v>
      </c>
      <c r="K61">
        <f t="shared" ref="K61:M61" si="4">AVERAGE(K53:K60)</f>
        <v>31.625</v>
      </c>
      <c r="L61">
        <f t="shared" si="4"/>
        <v>24.25</v>
      </c>
      <c r="M61">
        <f t="shared" si="4"/>
        <v>16</v>
      </c>
      <c r="O61" s="34"/>
      <c r="P61" s="34"/>
      <c r="Q61" s="34"/>
    </row>
    <row r="62" spans="2:17">
      <c r="B62" s="51"/>
      <c r="C62" s="198"/>
      <c r="D62" s="198"/>
      <c r="E62" s="198"/>
      <c r="F62" s="198"/>
      <c r="G62" s="51"/>
    </row>
    <row r="63" spans="2:17">
      <c r="B63" s="51"/>
      <c r="C63" s="198"/>
      <c r="D63" s="198"/>
      <c r="E63" s="198"/>
      <c r="F63" s="198"/>
      <c r="G63" s="198"/>
      <c r="H63" s="13"/>
      <c r="I63" s="13"/>
      <c r="J63" s="13"/>
      <c r="K63" s="13"/>
      <c r="L63" s="13"/>
      <c r="M63" s="13"/>
      <c r="N63" s="13"/>
      <c r="O63" s="13"/>
      <c r="P63" s="13"/>
      <c r="Q63" s="13"/>
    </row>
    <row r="64" spans="2:17">
      <c r="B64" s="51"/>
      <c r="C64" s="198"/>
      <c r="D64" s="198"/>
      <c r="E64" s="198"/>
      <c r="F64" s="198"/>
      <c r="G64" s="51"/>
      <c r="I64" s="13"/>
      <c r="L64" s="13"/>
      <c r="O64" s="13"/>
    </row>
    <row r="65" spans="2:22">
      <c r="B65" s="51"/>
      <c r="C65" s="51"/>
      <c r="D65" s="51"/>
      <c r="E65" s="51"/>
      <c r="F65" s="51"/>
      <c r="G65" s="51"/>
      <c r="L65" s="2"/>
    </row>
    <row r="66" spans="2:22">
      <c r="B66" s="51"/>
      <c r="C66" s="51"/>
      <c r="D66" s="51"/>
      <c r="E66" s="51"/>
      <c r="F66" s="51"/>
      <c r="G66" s="51"/>
      <c r="L66" s="2"/>
    </row>
    <row r="67" spans="2:22">
      <c r="B67" s="51"/>
      <c r="C67" s="51"/>
      <c r="D67" s="51"/>
      <c r="E67" s="51"/>
      <c r="F67" s="51"/>
      <c r="G67" s="474"/>
      <c r="L67" s="2"/>
    </row>
    <row r="68" spans="2:22">
      <c r="B68" s="473"/>
      <c r="C68" s="51"/>
      <c r="D68" s="51"/>
      <c r="E68" s="51"/>
      <c r="F68" s="51"/>
      <c r="G68" s="51"/>
    </row>
    <row r="69" spans="2:22">
      <c r="B69" s="51"/>
      <c r="C69" s="198"/>
      <c r="D69" s="198"/>
      <c r="E69" s="198"/>
      <c r="F69" s="198"/>
      <c r="G69" s="198"/>
      <c r="O69" s="34"/>
      <c r="P69" s="34"/>
      <c r="Q69" s="34"/>
    </row>
    <row r="70" spans="2:22">
      <c r="B70" s="51"/>
      <c r="C70" s="198"/>
      <c r="D70" s="198"/>
      <c r="E70" s="198"/>
      <c r="F70" s="198"/>
      <c r="G70" s="51"/>
    </row>
    <row r="71" spans="2:22">
      <c r="B71" s="51"/>
      <c r="C71" s="198"/>
      <c r="D71" s="198"/>
      <c r="E71" s="198"/>
      <c r="F71" s="198"/>
      <c r="G71" s="198"/>
      <c r="H71" s="13"/>
      <c r="I71" s="13"/>
      <c r="J71" s="13"/>
      <c r="K71" s="13"/>
      <c r="L71" s="13"/>
      <c r="M71" s="13"/>
      <c r="N71" s="13"/>
      <c r="O71" s="13"/>
      <c r="P71" s="13"/>
      <c r="Q71" s="13"/>
    </row>
    <row r="72" spans="2:22">
      <c r="B72" s="51"/>
      <c r="C72" s="198"/>
      <c r="D72" s="51"/>
      <c r="E72" s="51"/>
      <c r="F72" s="198"/>
      <c r="G72" s="51"/>
      <c r="I72" s="13"/>
      <c r="L72" s="13"/>
      <c r="O72" s="13"/>
    </row>
    <row r="73" spans="2:22">
      <c r="B73" s="51"/>
      <c r="C73" s="51"/>
      <c r="D73" s="51"/>
      <c r="E73" s="51"/>
      <c r="F73" s="51"/>
      <c r="G73" s="51"/>
      <c r="L73" s="2"/>
    </row>
    <row r="74" spans="2:22">
      <c r="B74" s="51"/>
      <c r="C74" s="51"/>
      <c r="D74" s="51"/>
      <c r="E74" s="51"/>
      <c r="F74" s="51"/>
      <c r="G74" s="51"/>
      <c r="L74" s="2"/>
    </row>
    <row r="75" spans="2:22" ht="14.25">
      <c r="G75" s="2"/>
      <c r="V75" s="7"/>
    </row>
    <row r="76" spans="2:22" ht="14.25">
      <c r="V76" s="10"/>
    </row>
    <row r="77" spans="2:22" ht="14.25">
      <c r="V77" s="14"/>
    </row>
    <row r="78" spans="2:22" ht="14.25">
      <c r="V78" s="14"/>
    </row>
    <row r="79" spans="2:22" ht="14.25">
      <c r="V79" s="15"/>
    </row>
    <row r="80" spans="2:22" ht="14.25">
      <c r="V80" s="14"/>
    </row>
    <row r="81" spans="22:22" ht="14.25">
      <c r="V81" s="14"/>
    </row>
    <row r="113" spans="27:27">
      <c r="AA113" s="13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113"/>
  <sheetViews>
    <sheetView zoomScale="50" zoomScaleNormal="50" workbookViewId="0">
      <selection activeCell="BG47" sqref="BG47:BH47"/>
    </sheetView>
  </sheetViews>
  <sheetFormatPr defaultColWidth="8.85546875" defaultRowHeight="12.75"/>
  <cols>
    <col min="1" max="1" width="14" customWidth="1"/>
    <col min="2" max="2" width="17.7109375" customWidth="1"/>
    <col min="3" max="3" width="18.42578125" customWidth="1"/>
    <col min="4" max="4" width="19.140625" customWidth="1"/>
    <col min="5" max="5" width="18" customWidth="1"/>
    <col min="6" max="6" width="16" customWidth="1"/>
    <col min="7" max="7" width="13.42578125" customWidth="1"/>
    <col min="8" max="8" width="12.140625" customWidth="1"/>
    <col min="9" max="9" width="12" customWidth="1"/>
    <col min="11" max="11" width="12.140625" customWidth="1"/>
    <col min="12" max="12" width="12.42578125" customWidth="1"/>
    <col min="13" max="13" width="14" customWidth="1"/>
    <col min="14" max="14" width="12.140625" customWidth="1"/>
    <col min="15" max="15" width="14.7109375" customWidth="1"/>
    <col min="16" max="16" width="14.140625" customWidth="1"/>
    <col min="17" max="17" width="14.42578125" bestFit="1" customWidth="1"/>
    <col min="18" max="18" width="10.85546875" bestFit="1" customWidth="1"/>
    <col min="24" max="24" width="12.42578125" customWidth="1"/>
    <col min="36" max="36" width="11" customWidth="1"/>
    <col min="39" max="39" width="11" customWidth="1"/>
    <col min="51" max="51" width="10.42578125" customWidth="1"/>
    <col min="61" max="61" width="10.7109375" customWidth="1"/>
    <col min="67" max="67" width="11.28515625" customWidth="1"/>
    <col min="71" max="71" width="11.28515625" customWidth="1"/>
    <col min="82" max="82" width="9.85546875" customWidth="1"/>
    <col min="84" max="84" width="10.42578125" customWidth="1"/>
    <col min="86" max="86" width="12.28515625" customWidth="1"/>
    <col min="87" max="87" width="12.85546875" customWidth="1"/>
    <col min="88" max="88" width="11.7109375" customWidth="1"/>
    <col min="89" max="90" width="9" bestFit="1" customWidth="1"/>
    <col min="98" max="98" width="11.28515625" customWidth="1"/>
    <col min="99" max="99" width="11.7109375" customWidth="1"/>
    <col min="103" max="103" width="11.42578125" customWidth="1"/>
  </cols>
  <sheetData>
    <row r="1" spans="1:90">
      <c r="AW1" s="2"/>
      <c r="AX1" s="229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N1" s="2"/>
      <c r="BO1" s="2"/>
      <c r="BP1" s="229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</row>
    <row r="2" spans="1:90">
      <c r="R2" s="2"/>
      <c r="S2" s="35">
        <v>2011</v>
      </c>
      <c r="T2" s="18" t="s">
        <v>1506</v>
      </c>
      <c r="AJ2" s="18" t="s">
        <v>1507</v>
      </c>
      <c r="AP2" s="21" t="s">
        <v>1508</v>
      </c>
      <c r="AW2" s="2"/>
      <c r="AX2" s="183"/>
      <c r="AY2" s="2"/>
      <c r="AZ2" s="2"/>
      <c r="BA2" s="2"/>
      <c r="BB2" s="2"/>
      <c r="BC2" s="2"/>
      <c r="BD2" s="2"/>
      <c r="BE2" s="2"/>
      <c r="BF2" s="2"/>
      <c r="BG2" s="2"/>
      <c r="CG2" s="199" t="s">
        <v>2416</v>
      </c>
      <c r="CH2" s="176" t="s">
        <v>1038</v>
      </c>
    </row>
    <row r="3" spans="1:90">
      <c r="R3" s="2"/>
      <c r="S3" s="25" t="s">
        <v>1038</v>
      </c>
      <c r="T3" s="21" t="s">
        <v>1504</v>
      </c>
      <c r="U3" t="s">
        <v>1703</v>
      </c>
      <c r="V3" t="s">
        <v>1700</v>
      </c>
      <c r="W3" s="21" t="s">
        <v>1261</v>
      </c>
      <c r="X3" t="s">
        <v>1565</v>
      </c>
      <c r="Y3" t="s">
        <v>1566</v>
      </c>
      <c r="Z3" s="21" t="s">
        <v>1260</v>
      </c>
      <c r="AA3" t="s">
        <v>1565</v>
      </c>
      <c r="AB3" t="s">
        <v>1566</v>
      </c>
      <c r="AC3" s="21" t="s">
        <v>1693</v>
      </c>
      <c r="AD3" t="s">
        <v>1565</v>
      </c>
      <c r="AE3" t="s">
        <v>1566</v>
      </c>
      <c r="AF3" s="21" t="s">
        <v>1286</v>
      </c>
      <c r="AG3" t="s">
        <v>1565</v>
      </c>
      <c r="AH3" t="s">
        <v>1566</v>
      </c>
      <c r="AI3" s="2"/>
      <c r="AJ3" s="21" t="s">
        <v>1504</v>
      </c>
      <c r="AK3" s="21" t="s">
        <v>1261</v>
      </c>
      <c r="AL3" s="21" t="s">
        <v>1260</v>
      </c>
      <c r="AM3" s="21" t="s">
        <v>1693</v>
      </c>
      <c r="AN3" s="21" t="s">
        <v>1286</v>
      </c>
      <c r="AO3" s="21" t="s">
        <v>1521</v>
      </c>
      <c r="AP3" s="21" t="s">
        <v>1504</v>
      </c>
      <c r="AQ3" s="21" t="s">
        <v>1261</v>
      </c>
      <c r="AR3" s="21" t="s">
        <v>1260</v>
      </c>
      <c r="AS3" s="21" t="s">
        <v>1693</v>
      </c>
      <c r="AT3" s="21" t="s">
        <v>1286</v>
      </c>
      <c r="AU3" s="2"/>
      <c r="AW3" s="183"/>
      <c r="AX3" s="2"/>
      <c r="AY3" s="229"/>
      <c r="AZ3" s="2"/>
      <c r="BA3" s="2"/>
      <c r="BB3" s="229"/>
      <c r="BC3" s="2"/>
      <c r="BD3" s="2"/>
      <c r="BE3" s="229"/>
      <c r="BF3" s="2"/>
      <c r="BG3" s="2"/>
      <c r="BH3" s="35">
        <v>2011</v>
      </c>
      <c r="BI3" s="35" t="s">
        <v>5</v>
      </c>
      <c r="BP3" s="2"/>
      <c r="BQ3" s="2"/>
      <c r="BR3" s="2"/>
      <c r="BS3" s="2"/>
      <c r="BT3" s="41"/>
      <c r="BU3" s="2"/>
      <c r="BV3" s="2"/>
      <c r="BW3" s="2"/>
      <c r="BX3" s="2"/>
      <c r="BY3" s="2"/>
      <c r="CG3" s="203" t="s">
        <v>2316</v>
      </c>
      <c r="CH3" s="177" t="s">
        <v>1504</v>
      </c>
      <c r="CI3" s="177" t="s">
        <v>1286</v>
      </c>
      <c r="CJ3" s="177" t="s">
        <v>1261</v>
      </c>
      <c r="CK3" s="177" t="s">
        <v>1260</v>
      </c>
      <c r="CL3" s="234" t="s">
        <v>1693</v>
      </c>
    </row>
    <row r="4" spans="1:90">
      <c r="C4" s="193" t="s">
        <v>1551</v>
      </c>
      <c r="D4" s="194" t="s">
        <v>1037</v>
      </c>
      <c r="E4" s="194" t="s">
        <v>1215</v>
      </c>
      <c r="F4" s="194" t="s">
        <v>1548</v>
      </c>
      <c r="G4" s="194" t="s">
        <v>1549</v>
      </c>
      <c r="H4" s="194" t="s">
        <v>1550</v>
      </c>
      <c r="I4" s="195" t="s">
        <v>2359</v>
      </c>
      <c r="J4" s="196" t="s">
        <v>1712</v>
      </c>
      <c r="K4" s="195" t="s">
        <v>2413</v>
      </c>
      <c r="L4" s="195" t="s">
        <v>2514</v>
      </c>
      <c r="M4" s="529" t="s">
        <v>2414</v>
      </c>
      <c r="N4" s="197" t="s">
        <v>1714</v>
      </c>
      <c r="O4" s="529" t="s">
        <v>2415</v>
      </c>
      <c r="P4" s="530" t="s">
        <v>2293</v>
      </c>
      <c r="S4" t="s">
        <v>1452</v>
      </c>
      <c r="T4" s="35">
        <v>186250</v>
      </c>
      <c r="W4" s="35">
        <v>0</v>
      </c>
      <c r="Z4" s="35">
        <v>0</v>
      </c>
      <c r="AC4" s="35">
        <v>0</v>
      </c>
      <c r="AF4" s="35">
        <v>0</v>
      </c>
      <c r="AI4" s="35"/>
      <c r="AJ4" s="35">
        <v>82371</v>
      </c>
      <c r="AK4" s="35">
        <v>0</v>
      </c>
      <c r="AL4" s="35">
        <v>7754</v>
      </c>
      <c r="AM4" s="35">
        <v>358484</v>
      </c>
      <c r="AN4" s="35">
        <v>0</v>
      </c>
      <c r="AO4" s="35">
        <f>SUM(AJ4:AN4)</f>
        <v>448609</v>
      </c>
      <c r="AP4" s="35">
        <f>AJ4/T4</f>
        <v>0.44226040268456374</v>
      </c>
      <c r="AQ4" s="35" t="s">
        <v>66</v>
      </c>
      <c r="AR4" s="35" t="s">
        <v>66</v>
      </c>
      <c r="AS4" s="35" t="s">
        <v>66</v>
      </c>
      <c r="AT4" s="35" t="s">
        <v>66</v>
      </c>
      <c r="AU4" s="35"/>
      <c r="AW4" s="2"/>
      <c r="AX4" s="2"/>
      <c r="AY4" s="243"/>
      <c r="AZ4" s="2"/>
      <c r="BA4" s="2"/>
      <c r="BB4" s="230"/>
      <c r="BC4" s="2"/>
      <c r="BD4" s="2"/>
      <c r="BE4" s="229"/>
      <c r="BF4" s="2"/>
      <c r="BG4" s="2"/>
      <c r="BI4" s="34" t="s">
        <v>1214</v>
      </c>
      <c r="BJ4" s="20" t="s">
        <v>1503</v>
      </c>
      <c r="BK4" s="20" t="s">
        <v>1501</v>
      </c>
      <c r="BL4" s="20" t="s">
        <v>1567</v>
      </c>
      <c r="BM4" s="20" t="s">
        <v>1568</v>
      </c>
      <c r="BN4" s="47" t="s">
        <v>1214</v>
      </c>
      <c r="BO4" s="44" t="s">
        <v>1698</v>
      </c>
      <c r="BP4" s="2"/>
      <c r="BQ4" s="2"/>
      <c r="BR4" s="2"/>
      <c r="BS4" s="2"/>
      <c r="BT4" s="41"/>
      <c r="BU4" s="2"/>
      <c r="BV4" s="2"/>
      <c r="BW4" s="2"/>
      <c r="BX4" s="2"/>
      <c r="BY4" s="44"/>
      <c r="BZ4" s="2"/>
      <c r="CA4" s="2"/>
      <c r="CB4" s="2"/>
      <c r="CC4" s="2"/>
      <c r="CD4" s="2"/>
      <c r="CG4" s="175">
        <v>2011</v>
      </c>
      <c r="CH4" s="160">
        <v>3894221</v>
      </c>
      <c r="CI4" s="161">
        <v>232134</v>
      </c>
      <c r="CJ4" s="161">
        <v>491692</v>
      </c>
      <c r="CK4" s="161">
        <v>60961</v>
      </c>
      <c r="CL4" s="162">
        <v>374984</v>
      </c>
    </row>
    <row r="5" spans="1:90" ht="14.25">
      <c r="B5" s="190">
        <v>2011</v>
      </c>
      <c r="C5" s="517">
        <f>'2011'!R115</f>
        <v>1422918</v>
      </c>
      <c r="D5" s="517">
        <f>'2011'!W115</f>
        <v>5053991.51</v>
      </c>
      <c r="E5" s="518">
        <f>D5/C5</f>
        <v>3.5518501487787768</v>
      </c>
      <c r="F5" s="518">
        <f>'2011'!P115</f>
        <v>1348195</v>
      </c>
      <c r="G5" s="518">
        <f>'2011'!Q115</f>
        <v>567823</v>
      </c>
      <c r="H5" s="518">
        <f>'2011'!U115</f>
        <v>4997039</v>
      </c>
      <c r="I5" s="518">
        <f>'2011'!AJ115</f>
        <v>16920427</v>
      </c>
      <c r="J5" s="518">
        <f>F5/G5</f>
        <v>2.3743226322287052</v>
      </c>
      <c r="K5" s="518">
        <f>C5/P5</f>
        <v>12819.081081081082</v>
      </c>
      <c r="L5" s="518">
        <f>'2011'!AL115</f>
        <v>970721.39</v>
      </c>
      <c r="M5" s="518">
        <f>'2011'!M115</f>
        <v>68778362.911599994</v>
      </c>
      <c r="N5" s="518">
        <f>M5-L5-D5</f>
        <v>62753650.011599995</v>
      </c>
      <c r="O5" s="518">
        <f>'2011'!J115</f>
        <v>27446633</v>
      </c>
      <c r="P5" s="519">
        <v>111</v>
      </c>
      <c r="S5" t="s">
        <v>1518</v>
      </c>
      <c r="T5" s="42" t="e">
        <f>#REF!</f>
        <v>#REF!</v>
      </c>
      <c r="W5" s="39" t="e">
        <f>#REF!</f>
        <v>#REF!</v>
      </c>
      <c r="Z5" s="35">
        <v>0</v>
      </c>
      <c r="AC5" s="35">
        <v>0</v>
      </c>
      <c r="AF5" s="35">
        <v>89311</v>
      </c>
      <c r="AI5" s="35"/>
      <c r="AJ5" s="39" t="e">
        <f>#REF!</f>
        <v>#REF!</v>
      </c>
      <c r="AK5" s="39" t="e">
        <f>#REF!</f>
        <v>#REF!</v>
      </c>
      <c r="AL5" s="35">
        <v>0</v>
      </c>
      <c r="AM5" s="35">
        <v>0</v>
      </c>
      <c r="AN5" s="23">
        <v>7543</v>
      </c>
      <c r="AO5" s="35" t="e">
        <f>SUM(AJ5:AN5)</f>
        <v>#REF!</v>
      </c>
      <c r="AP5" s="43" t="e">
        <f>AJ5/T5</f>
        <v>#REF!</v>
      </c>
      <c r="AQ5" s="43" t="s">
        <v>66</v>
      </c>
      <c r="AR5" s="35" t="s">
        <v>66</v>
      </c>
      <c r="AS5" s="35" t="s">
        <v>66</v>
      </c>
      <c r="AT5" s="35">
        <f>AN5/AF5</f>
        <v>8.4457681584575242E-2</v>
      </c>
      <c r="AU5" s="35"/>
      <c r="AW5" s="2"/>
      <c r="AX5" s="2"/>
      <c r="AY5" s="24"/>
      <c r="AZ5" s="2"/>
      <c r="BA5" s="2"/>
      <c r="BB5" s="229"/>
      <c r="BC5" s="2"/>
      <c r="BD5" s="2"/>
      <c r="BE5" s="229"/>
      <c r="BF5" s="2"/>
      <c r="BG5" s="2"/>
      <c r="BI5" s="34" t="s">
        <v>1699</v>
      </c>
      <c r="BJ5">
        <v>14</v>
      </c>
      <c r="BK5">
        <v>12</v>
      </c>
      <c r="BL5">
        <v>9</v>
      </c>
      <c r="BM5">
        <v>5</v>
      </c>
      <c r="BN5">
        <f>SUM(BJ5:BM5)</f>
        <v>40</v>
      </c>
      <c r="BP5" s="2"/>
      <c r="BQ5" s="2"/>
      <c r="BR5" s="2"/>
      <c r="BS5" s="2"/>
      <c r="BT5" s="2"/>
      <c r="BU5" s="2"/>
      <c r="BV5" s="2"/>
      <c r="BW5" s="2"/>
      <c r="BX5" s="2"/>
      <c r="BY5" s="2"/>
      <c r="CG5" s="175">
        <v>2010</v>
      </c>
      <c r="CH5" s="163">
        <v>2067950</v>
      </c>
      <c r="CI5" s="164">
        <v>22492008</v>
      </c>
      <c r="CJ5" s="164">
        <v>2974351</v>
      </c>
      <c r="CK5" s="164">
        <v>160372</v>
      </c>
      <c r="CL5" s="165">
        <v>0</v>
      </c>
    </row>
    <row r="6" spans="1:90" ht="14.25">
      <c r="B6" s="191">
        <v>2010</v>
      </c>
      <c r="C6" s="520">
        <f>'2010'!R132</f>
        <v>2523041</v>
      </c>
      <c r="D6" s="521">
        <f>'2010'!W132</f>
        <v>27694680.520000003</v>
      </c>
      <c r="E6" s="521">
        <f t="shared" ref="E6:E12" si="0">D6/C6</f>
        <v>10.976706490302774</v>
      </c>
      <c r="F6" s="521">
        <f>'2010'!P132</f>
        <v>2308854</v>
      </c>
      <c r="G6" s="521">
        <f>'2010'!Q132</f>
        <v>890088</v>
      </c>
      <c r="H6" s="521">
        <f>'2010'!U132</f>
        <v>2600598</v>
      </c>
      <c r="I6" s="521">
        <f>'2010'!AJ132</f>
        <v>5300418</v>
      </c>
      <c r="J6" s="521">
        <f t="shared" ref="J6:J12" si="1">F6/G6</f>
        <v>2.5939614959419743</v>
      </c>
      <c r="K6" s="521">
        <f t="shared" ref="K6:K12" si="2">C6/P6</f>
        <v>19711.2578125</v>
      </c>
      <c r="L6" s="521">
        <f>'2010'!AL132</f>
        <v>4454019.75</v>
      </c>
      <c r="M6" s="521">
        <f>'2010'!M132</f>
        <v>305656574.18000001</v>
      </c>
      <c r="N6" s="521">
        <f>M6-L6-D6</f>
        <v>273507873.91000003</v>
      </c>
      <c r="O6" s="521">
        <f>'2010'!J132</f>
        <v>17039001</v>
      </c>
      <c r="P6" s="523">
        <v>128</v>
      </c>
      <c r="S6" s="40" t="s">
        <v>1519</v>
      </c>
      <c r="T6" s="24">
        <v>664828</v>
      </c>
      <c r="W6" s="35">
        <v>177010</v>
      </c>
      <c r="Z6" s="35">
        <v>1278</v>
      </c>
      <c r="AC6" s="35">
        <v>1000</v>
      </c>
      <c r="AF6" s="35">
        <v>35000</v>
      </c>
      <c r="AI6" s="35"/>
      <c r="AJ6" s="35">
        <v>7392397</v>
      </c>
      <c r="AK6" s="35">
        <v>59356</v>
      </c>
      <c r="AL6" s="35">
        <v>53207</v>
      </c>
      <c r="AM6" s="35">
        <v>16500</v>
      </c>
      <c r="AN6" s="35">
        <v>309320</v>
      </c>
      <c r="AO6" s="35">
        <f>SUM(AJ6:AN6)</f>
        <v>7830780</v>
      </c>
      <c r="AP6" s="35">
        <f>AJ6/T6</f>
        <v>11.119262425770275</v>
      </c>
      <c r="AQ6" s="35">
        <f>AK6/W6</f>
        <v>0.33532568781424776</v>
      </c>
      <c r="AR6" s="35">
        <f>AL6/Z6</f>
        <v>41.633020344287949</v>
      </c>
      <c r="AS6" s="35">
        <f>AM6/AC6</f>
        <v>16.5</v>
      </c>
      <c r="AT6" s="35">
        <f>AN6/AF6</f>
        <v>8.8377142857142861</v>
      </c>
      <c r="AU6" s="35"/>
      <c r="AW6" s="2"/>
      <c r="AY6" s="35"/>
      <c r="BB6" s="35"/>
      <c r="BE6" s="35"/>
      <c r="BI6" s="34" t="s">
        <v>1700</v>
      </c>
      <c r="BJ6">
        <v>5</v>
      </c>
      <c r="BK6">
        <v>4</v>
      </c>
      <c r="BL6">
        <v>5</v>
      </c>
      <c r="BM6">
        <v>3</v>
      </c>
      <c r="BN6">
        <f>SUM(BJ6:BM6)</f>
        <v>17</v>
      </c>
      <c r="BP6" s="2"/>
      <c r="BQ6" s="2"/>
      <c r="BR6" s="2"/>
      <c r="BS6" s="2"/>
      <c r="BT6" s="2"/>
      <c r="BU6" s="2"/>
      <c r="BV6" s="2"/>
      <c r="BW6" s="2"/>
      <c r="BX6" s="2"/>
      <c r="BY6" s="2"/>
      <c r="CG6" s="175">
        <v>2009</v>
      </c>
      <c r="CH6" s="163">
        <v>1285260</v>
      </c>
      <c r="CI6" s="164">
        <v>445493</v>
      </c>
      <c r="CJ6" s="164">
        <v>1628322</v>
      </c>
      <c r="CK6" s="164">
        <v>390688</v>
      </c>
      <c r="CL6" s="165">
        <v>572961</v>
      </c>
    </row>
    <row r="7" spans="1:90">
      <c r="B7" s="191">
        <v>2009</v>
      </c>
      <c r="C7" s="520">
        <f>'2009'!R97</f>
        <v>2568951</v>
      </c>
      <c r="D7" s="521">
        <f>'2009'!W97</f>
        <v>4323180.16</v>
      </c>
      <c r="E7" s="521">
        <f t="shared" si="0"/>
        <v>1.6828581627286781</v>
      </c>
      <c r="F7" s="521">
        <f>'2009'!P97</f>
        <v>2428623</v>
      </c>
      <c r="G7" s="521">
        <f>'2009'!Q97</f>
        <v>710693</v>
      </c>
      <c r="H7" s="521">
        <f>'2009'!U97</f>
        <v>4638770</v>
      </c>
      <c r="I7" s="521">
        <f>'2009'!AJ97</f>
        <v>12730576</v>
      </c>
      <c r="J7" s="521">
        <f t="shared" si="1"/>
        <v>3.417260336038205</v>
      </c>
      <c r="K7" s="521">
        <f t="shared" si="2"/>
        <v>27623.129032258064</v>
      </c>
      <c r="L7" s="521">
        <f>'2009'!AL97</f>
        <v>772984.9</v>
      </c>
      <c r="M7" s="521">
        <f>'2009'!M97</f>
        <v>54995130.139999993</v>
      </c>
      <c r="N7" s="521">
        <f>M7-L7-D7</f>
        <v>49898965.079999998</v>
      </c>
      <c r="O7" s="521">
        <f>'2009'!J97</f>
        <v>38774110</v>
      </c>
      <c r="P7" s="523">
        <v>93</v>
      </c>
      <c r="S7" t="s">
        <v>1517</v>
      </c>
      <c r="T7" s="35">
        <v>0</v>
      </c>
      <c r="W7" s="35">
        <v>800</v>
      </c>
      <c r="Z7" s="35">
        <v>50000</v>
      </c>
      <c r="AC7" s="35">
        <v>0</v>
      </c>
      <c r="AF7" s="35">
        <v>0</v>
      </c>
      <c r="AI7" s="35"/>
      <c r="AJ7" s="35">
        <v>7392397</v>
      </c>
      <c r="AK7" s="35">
        <v>0</v>
      </c>
      <c r="AL7" s="35">
        <v>0</v>
      </c>
      <c r="AM7" s="35">
        <v>0</v>
      </c>
      <c r="AN7" s="35">
        <v>0</v>
      </c>
      <c r="AO7" s="35">
        <f>SUM(AJ7:AN7)</f>
        <v>7392397</v>
      </c>
      <c r="AP7" s="35" t="s">
        <v>66</v>
      </c>
      <c r="AQ7" s="35">
        <f>AK7/W7</f>
        <v>0</v>
      </c>
      <c r="AR7" s="35">
        <f>AL7/Z7</f>
        <v>0</v>
      </c>
      <c r="AS7" s="35" t="s">
        <v>66</v>
      </c>
      <c r="AT7" s="35" t="s">
        <v>66</v>
      </c>
      <c r="AU7" s="35"/>
      <c r="AY7" s="35"/>
      <c r="BB7" s="35"/>
      <c r="BE7" s="35"/>
      <c r="BI7" s="34" t="s">
        <v>1703</v>
      </c>
      <c r="BJ7">
        <v>10</v>
      </c>
      <c r="BK7">
        <v>12</v>
      </c>
      <c r="BL7">
        <v>9</v>
      </c>
      <c r="BM7">
        <v>5</v>
      </c>
      <c r="BP7" s="2"/>
      <c r="BQ7" s="2"/>
      <c r="BR7" s="2"/>
      <c r="BS7" s="2"/>
      <c r="BT7" s="2"/>
      <c r="BU7" s="2"/>
      <c r="BV7" s="2"/>
      <c r="BW7" s="2"/>
      <c r="BX7" s="2"/>
      <c r="BY7" s="2"/>
      <c r="CG7" s="175">
        <v>2008</v>
      </c>
      <c r="CH7" s="163">
        <v>1734025</v>
      </c>
      <c r="CI7" s="164">
        <v>401263</v>
      </c>
      <c r="CJ7" s="164">
        <v>6921116</v>
      </c>
      <c r="CK7" s="164">
        <v>231005</v>
      </c>
      <c r="CL7" s="165">
        <v>44676</v>
      </c>
    </row>
    <row r="8" spans="1:90">
      <c r="B8" s="191">
        <v>2008</v>
      </c>
      <c r="C8" s="520">
        <f>'2008'!R105</f>
        <v>1425031</v>
      </c>
      <c r="D8" s="521">
        <f>'2008'!W105</f>
        <v>9332084.620000001</v>
      </c>
      <c r="E8" s="521">
        <f t="shared" si="0"/>
        <v>6.548688849575905</v>
      </c>
      <c r="F8" s="521">
        <f>'2008'!P105</f>
        <v>1017774</v>
      </c>
      <c r="G8" s="521">
        <f>'2008'!Q105</f>
        <v>394137</v>
      </c>
      <c r="H8" s="521">
        <f>'2008'!U105</f>
        <v>4094687</v>
      </c>
      <c r="I8" s="521">
        <f>'2008'!AJ105</f>
        <v>4068142</v>
      </c>
      <c r="J8" s="521">
        <f t="shared" si="1"/>
        <v>2.582284840042929</v>
      </c>
      <c r="K8" s="521">
        <f t="shared" si="2"/>
        <v>14109.217821782178</v>
      </c>
      <c r="L8" s="521">
        <f>'2008'!AL105</f>
        <v>2105138.59</v>
      </c>
      <c r="M8" s="521">
        <f>'2008'!M105</f>
        <v>271956957</v>
      </c>
      <c r="N8" s="521">
        <f>M8-L8-D8</f>
        <v>260519733.79000002</v>
      </c>
      <c r="O8" s="521">
        <f>'2008'!J105</f>
        <v>23198767</v>
      </c>
      <c r="P8" s="523">
        <v>101</v>
      </c>
      <c r="S8" t="s">
        <v>1520</v>
      </c>
      <c r="T8" s="35">
        <v>1000</v>
      </c>
      <c r="W8" s="35">
        <v>0</v>
      </c>
      <c r="Z8" s="35">
        <v>0</v>
      </c>
      <c r="AC8" s="35">
        <v>0</v>
      </c>
      <c r="AF8" s="35">
        <v>0</v>
      </c>
      <c r="AI8" s="35"/>
      <c r="AJ8" s="35">
        <v>6687</v>
      </c>
      <c r="AK8" s="35">
        <v>0</v>
      </c>
      <c r="AL8" s="35"/>
      <c r="AM8" s="35">
        <v>0</v>
      </c>
      <c r="AN8" s="35">
        <v>0</v>
      </c>
      <c r="AO8" s="35">
        <f>SUM(AJ8:AN8)</f>
        <v>6687</v>
      </c>
      <c r="AP8" s="35">
        <f>AJ8/T8</f>
        <v>6.6870000000000003</v>
      </c>
      <c r="AQ8" s="35" t="s">
        <v>66</v>
      </c>
      <c r="AR8" s="35" t="s">
        <v>66</v>
      </c>
      <c r="AS8" s="35" t="s">
        <v>66</v>
      </c>
      <c r="AT8" s="35" t="s">
        <v>66</v>
      </c>
      <c r="AU8" s="35"/>
      <c r="AX8" s="34"/>
      <c r="AY8" s="13"/>
      <c r="BB8" s="13"/>
      <c r="BI8" s="34" t="s">
        <v>1701</v>
      </c>
      <c r="BJ8">
        <f>BJ5/BN5</f>
        <v>0.35</v>
      </c>
      <c r="BK8">
        <f>BK5/BN5</f>
        <v>0.3</v>
      </c>
      <c r="BL8">
        <f>BL5/BN5</f>
        <v>0.22500000000000001</v>
      </c>
      <c r="BM8">
        <f>BM5/BN5</f>
        <v>0.125</v>
      </c>
      <c r="BN8">
        <f>SUM(BJ8:BM8)</f>
        <v>0.99999999999999989</v>
      </c>
      <c r="CG8" s="175">
        <v>2007</v>
      </c>
      <c r="CH8" s="163">
        <v>1804124</v>
      </c>
      <c r="CI8" s="164">
        <v>128050</v>
      </c>
      <c r="CJ8" s="164">
        <v>1799428</v>
      </c>
      <c r="CK8" s="164">
        <v>67682</v>
      </c>
      <c r="CL8" s="165">
        <v>0</v>
      </c>
    </row>
    <row r="9" spans="1:90">
      <c r="B9" s="191">
        <v>2007</v>
      </c>
      <c r="C9" s="520">
        <f>'2007'!R100</f>
        <v>2429892</v>
      </c>
      <c r="D9" s="521">
        <f>'2007'!W100</f>
        <v>3799283.76</v>
      </c>
      <c r="E9" s="521">
        <f t="shared" si="0"/>
        <v>1.5635607508481857</v>
      </c>
      <c r="F9" s="521">
        <f>'2007'!P100</f>
        <v>2336772</v>
      </c>
      <c r="G9" s="521">
        <f>'2007'!Q100</f>
        <v>293468</v>
      </c>
      <c r="H9" s="521">
        <f>'2007'!U100</f>
        <v>6475223</v>
      </c>
      <c r="I9" s="521">
        <f>'2007'!AJ100</f>
        <v>10766067</v>
      </c>
      <c r="J9" s="521">
        <f t="shared" si="1"/>
        <v>7.9626126187523001</v>
      </c>
      <c r="K9" s="521">
        <f t="shared" si="2"/>
        <v>25577.810526315789</v>
      </c>
      <c r="L9" s="521">
        <f>'2007'!AL100</f>
        <v>5612910.3600000003</v>
      </c>
      <c r="M9" s="521">
        <f>'2007'!M100</f>
        <v>124685471.67</v>
      </c>
      <c r="N9" s="521">
        <f>M9-L9-D9</f>
        <v>115273277.55</v>
      </c>
      <c r="O9" s="521">
        <f>'2007'!J100</f>
        <v>18905348</v>
      </c>
      <c r="P9" s="523">
        <v>95</v>
      </c>
      <c r="S9" s="34" t="s">
        <v>5</v>
      </c>
      <c r="T9" s="13" t="e">
        <f>#REF!</f>
        <v>#REF!</v>
      </c>
      <c r="W9" s="13" t="e">
        <f>#REF!</f>
        <v>#REF!</v>
      </c>
      <c r="AJ9" s="13" t="e">
        <f>#REF!</f>
        <v>#REF!</v>
      </c>
      <c r="AK9" s="13" t="e">
        <f>#REF!</f>
        <v>#REF!</v>
      </c>
      <c r="AP9" s="43" t="e">
        <f>AJ9/T9</f>
        <v>#REF!</v>
      </c>
      <c r="AQ9" s="43" t="e">
        <f>AK9/W9</f>
        <v>#REF!</v>
      </c>
      <c r="AX9" s="34"/>
      <c r="AY9" s="13"/>
      <c r="AZ9" s="13"/>
      <c r="BA9" s="13"/>
      <c r="BB9" s="13"/>
      <c r="BC9" s="13"/>
      <c r="BD9" s="13"/>
      <c r="BE9" s="13"/>
      <c r="BF9" s="13"/>
      <c r="BG9" s="13"/>
      <c r="BI9" s="34" t="s">
        <v>1702</v>
      </c>
      <c r="BJ9">
        <f>BJ6/BJ5</f>
        <v>0.35714285714285715</v>
      </c>
      <c r="BK9">
        <f>BK6/BK5</f>
        <v>0.33333333333333331</v>
      </c>
      <c r="BL9">
        <f>BL6/BL5</f>
        <v>0.55555555555555558</v>
      </c>
      <c r="BM9">
        <f>BM6/BM5</f>
        <v>0.6</v>
      </c>
      <c r="CG9" s="175">
        <v>2006</v>
      </c>
      <c r="CH9" s="163">
        <v>2136008</v>
      </c>
      <c r="CI9" s="164">
        <v>58692</v>
      </c>
      <c r="CJ9" s="164">
        <v>209075</v>
      </c>
      <c r="CK9" s="164">
        <v>28969</v>
      </c>
      <c r="CL9" s="165">
        <v>85705</v>
      </c>
    </row>
    <row r="10" spans="1:90">
      <c r="B10" s="191">
        <v>2006</v>
      </c>
      <c r="C10" s="520">
        <f>'2006'!R98</f>
        <v>1317343</v>
      </c>
      <c r="D10" s="521">
        <f>'2006'!W98</f>
        <v>2518448.7000000002</v>
      </c>
      <c r="E10" s="521">
        <f t="shared" si="0"/>
        <v>1.9117638306803924</v>
      </c>
      <c r="F10" s="521">
        <f>'2006'!P98</f>
        <v>1196936</v>
      </c>
      <c r="G10" s="521">
        <f>'2006'!Q98</f>
        <v>780462</v>
      </c>
      <c r="H10" s="521">
        <f>'2006'!U98</f>
        <v>1322187</v>
      </c>
      <c r="I10" s="521">
        <f>'2006'!AJ98</f>
        <v>2528908</v>
      </c>
      <c r="J10" s="521">
        <f t="shared" si="1"/>
        <v>1.5336249554750905</v>
      </c>
      <c r="K10" s="521">
        <f t="shared" si="2"/>
        <v>13866.768421052631</v>
      </c>
      <c r="L10" s="522">
        <f>'2006'!AL98</f>
        <v>2138419.0700000003</v>
      </c>
      <c r="M10" s="522">
        <f>'2006'!M98</f>
        <v>85732152</v>
      </c>
      <c r="N10" s="521">
        <f>M10-D10-L10</f>
        <v>81075284.229999989</v>
      </c>
      <c r="O10" s="521">
        <f>'2006'!J98</f>
        <v>9267784</v>
      </c>
      <c r="P10" s="523">
        <v>95</v>
      </c>
      <c r="S10" s="36" t="s">
        <v>1521</v>
      </c>
      <c r="T10" s="13" t="e">
        <f>#REF!</f>
        <v>#REF!</v>
      </c>
      <c r="U10" s="13" t="e">
        <f>#REF!</f>
        <v>#REF!</v>
      </c>
      <c r="V10" s="13" t="e">
        <f>#REF!</f>
        <v>#REF!</v>
      </c>
      <c r="W10" s="13" t="e">
        <f>#REF!</f>
        <v>#REF!</v>
      </c>
      <c r="X10" s="13" t="e">
        <f>#REF!</f>
        <v>#REF!</v>
      </c>
      <c r="Y10" s="13" t="e">
        <f>#REF!</f>
        <v>#REF!</v>
      </c>
      <c r="Z10" s="13" t="e">
        <f>#REF!</f>
        <v>#REF!</v>
      </c>
      <c r="AA10" s="13" t="e">
        <f>#REF!</f>
        <v>#REF!</v>
      </c>
      <c r="AB10" s="13" t="e">
        <f>#REF!</f>
        <v>#REF!</v>
      </c>
      <c r="AC10" s="13" t="e">
        <f>#REF!</f>
        <v>#REF!</v>
      </c>
      <c r="AD10" s="13" t="e">
        <f>#REF!</f>
        <v>#REF!</v>
      </c>
      <c r="AE10" s="13" t="e">
        <f>#REF!</f>
        <v>#REF!</v>
      </c>
      <c r="AF10" s="13" t="e">
        <f>#REF!</f>
        <v>#REF!</v>
      </c>
      <c r="AG10" s="13" t="e">
        <f>#REF!</f>
        <v>#REF!</v>
      </c>
      <c r="AH10" s="13" t="e">
        <f>#REF!</f>
        <v>#REF!</v>
      </c>
      <c r="AI10" s="13"/>
      <c r="AJ10" s="13">
        <v>3894221</v>
      </c>
      <c r="AK10" s="13" t="e">
        <f>#REF!</f>
        <v>#REF!</v>
      </c>
      <c r="AL10" s="13" t="e">
        <f>#REF!</f>
        <v>#REF!</v>
      </c>
      <c r="AM10" s="13" t="e">
        <f>#REF!</f>
        <v>#REF!</v>
      </c>
      <c r="AN10" s="13" t="e">
        <f>#REF!</f>
        <v>#REF!</v>
      </c>
      <c r="AO10" s="13" t="e">
        <f>SUM(AJ10:AN10)</f>
        <v>#REF!</v>
      </c>
      <c r="AP10" t="e">
        <f>AJ10/T10</f>
        <v>#REF!</v>
      </c>
      <c r="AQ10" t="e">
        <f>AK10/W10</f>
        <v>#REF!</v>
      </c>
      <c r="AR10" t="e">
        <f>AL10/Z10</f>
        <v>#REF!</v>
      </c>
      <c r="AS10" t="e">
        <f>AM10/AC10</f>
        <v>#REF!</v>
      </c>
      <c r="AT10" t="e">
        <f>AN10/AF10</f>
        <v>#REF!</v>
      </c>
      <c r="AX10" s="50"/>
      <c r="BI10" s="34" t="s">
        <v>1704</v>
      </c>
      <c r="CG10" s="175">
        <v>2005</v>
      </c>
      <c r="CH10" s="163">
        <v>400902</v>
      </c>
      <c r="CI10" s="164">
        <v>333520</v>
      </c>
      <c r="CJ10" s="164">
        <v>9009168</v>
      </c>
      <c r="CK10" s="164">
        <v>140850</v>
      </c>
      <c r="CL10" s="165">
        <v>237064</v>
      </c>
    </row>
    <row r="11" spans="1:90">
      <c r="B11" s="191">
        <v>2005</v>
      </c>
      <c r="C11" s="520">
        <f>'2005'!R98</f>
        <v>1985206</v>
      </c>
      <c r="D11" s="521">
        <f>'2005'!W98</f>
        <v>10339590.66</v>
      </c>
      <c r="E11" s="521">
        <f t="shared" si="0"/>
        <v>5.2083212825268514</v>
      </c>
      <c r="F11" s="524">
        <f>'2005'!P98</f>
        <v>1957235</v>
      </c>
      <c r="G11" s="524">
        <f>'2005'!Q98</f>
        <v>204670</v>
      </c>
      <c r="H11" s="524">
        <f>'2005'!U98</f>
        <v>1851287</v>
      </c>
      <c r="I11" s="524">
        <f>'2005'!AJ98</f>
        <v>4351560</v>
      </c>
      <c r="J11" s="521">
        <f t="shared" si="1"/>
        <v>9.5628817120242342</v>
      </c>
      <c r="K11" s="521">
        <f t="shared" si="2"/>
        <v>21119.212765957447</v>
      </c>
      <c r="L11" s="521">
        <f>'2005'!AL98</f>
        <v>3358863</v>
      </c>
      <c r="M11" s="521">
        <f>'2005'!M98</f>
        <v>225819406.82000005</v>
      </c>
      <c r="N11" s="521">
        <f>M11-D11-L11</f>
        <v>212120953.16000006</v>
      </c>
      <c r="O11" s="521">
        <f>'2005'!J98</f>
        <v>8849388</v>
      </c>
      <c r="P11" s="523">
        <v>94</v>
      </c>
      <c r="S11" s="50" t="s">
        <v>1713</v>
      </c>
      <c r="U11" t="e">
        <f>U10/V10</f>
        <v>#REF!</v>
      </c>
      <c r="X11" t="e">
        <f>X10/Y10</f>
        <v>#REF!</v>
      </c>
      <c r="AA11" t="e">
        <f>IF(AB10=0,0,AA10/AB10)</f>
        <v>#REF!</v>
      </c>
      <c r="AD11" t="e">
        <f>AD10/AE10</f>
        <v>#REF!</v>
      </c>
      <c r="AG11" t="e">
        <f>AG10/AH10</f>
        <v>#REF!</v>
      </c>
      <c r="BH11" s="35">
        <v>2010</v>
      </c>
      <c r="BP11" s="2"/>
      <c r="BQ11" s="2"/>
      <c r="BR11" s="2"/>
      <c r="BS11" s="2"/>
      <c r="CG11" s="175">
        <v>2004</v>
      </c>
      <c r="CH11" s="166">
        <v>267191</v>
      </c>
      <c r="CI11" s="167">
        <v>342917</v>
      </c>
      <c r="CJ11" s="167">
        <v>77054989</v>
      </c>
      <c r="CK11" s="167">
        <v>25</v>
      </c>
      <c r="CL11" s="168">
        <v>172</v>
      </c>
    </row>
    <row r="12" spans="1:90">
      <c r="B12" s="192">
        <v>2004</v>
      </c>
      <c r="C12" s="525">
        <f>'2004'!R61</f>
        <v>989581</v>
      </c>
      <c r="D12" s="526">
        <f>'2004'!W61</f>
        <v>77665294.159999996</v>
      </c>
      <c r="E12" s="526">
        <f t="shared" si="0"/>
        <v>78.483008626883489</v>
      </c>
      <c r="F12" s="527">
        <f>'2004'!P61</f>
        <v>965541</v>
      </c>
      <c r="G12" s="527">
        <f>'2004'!Q61</f>
        <v>400610</v>
      </c>
      <c r="H12" s="527">
        <f>'2004'!U61</f>
        <v>192986</v>
      </c>
      <c r="I12" s="527">
        <f>'2004'!AJ61</f>
        <v>3225917</v>
      </c>
      <c r="J12" s="526">
        <f t="shared" si="1"/>
        <v>2.4101769801053394</v>
      </c>
      <c r="K12" s="526">
        <f t="shared" si="2"/>
        <v>17361.070175438595</v>
      </c>
      <c r="L12" s="526">
        <f>'2004'!AL61</f>
        <v>96695690</v>
      </c>
      <c r="M12" s="526">
        <f>'2004'!M61</f>
        <v>715301961.09999919</v>
      </c>
      <c r="N12" s="526">
        <f>M12-D12-L12</f>
        <v>540940976.93999922</v>
      </c>
      <c r="O12" s="526">
        <f>'2004'!J61</f>
        <v>9757618</v>
      </c>
      <c r="P12" s="528">
        <v>57</v>
      </c>
      <c r="BI12" s="34" t="s">
        <v>1214</v>
      </c>
      <c r="BJ12" s="20" t="s">
        <v>1503</v>
      </c>
      <c r="BK12" s="20" t="s">
        <v>1501</v>
      </c>
      <c r="BL12" s="20" t="s">
        <v>1567</v>
      </c>
      <c r="BM12" s="20" t="s">
        <v>1568</v>
      </c>
      <c r="BN12" s="47" t="s">
        <v>1214</v>
      </c>
      <c r="BO12" s="44" t="s">
        <v>1698</v>
      </c>
      <c r="BP12" s="2"/>
      <c r="BQ12" s="2"/>
      <c r="BR12" s="2"/>
      <c r="BS12" s="2"/>
    </row>
    <row r="13" spans="1:90">
      <c r="A13" s="2"/>
      <c r="BJ13">
        <v>23</v>
      </c>
      <c r="BK13">
        <v>14</v>
      </c>
      <c r="BL13">
        <v>23</v>
      </c>
      <c r="BM13">
        <v>5</v>
      </c>
      <c r="BN13">
        <f>SUM(BJ13:BM13)</f>
        <v>65</v>
      </c>
      <c r="BP13" s="2"/>
      <c r="BQ13" s="2"/>
      <c r="BR13" s="2"/>
      <c r="BS13" s="2"/>
    </row>
    <row r="14" spans="1:90">
      <c r="A14" s="2"/>
      <c r="BI14" t="s">
        <v>1705</v>
      </c>
      <c r="BJ14">
        <v>6</v>
      </c>
      <c r="BK14">
        <v>6</v>
      </c>
      <c r="BL14">
        <v>7</v>
      </c>
      <c r="BM14">
        <v>3</v>
      </c>
      <c r="BN14">
        <f>SUM(BJ14:BM14)</f>
        <v>22</v>
      </c>
      <c r="BP14" s="2"/>
      <c r="BQ14" s="2"/>
      <c r="BR14" s="2"/>
      <c r="BS14" s="2"/>
      <c r="CG14" s="200" t="s">
        <v>2417</v>
      </c>
      <c r="CH14" s="180" t="s">
        <v>1038</v>
      </c>
      <c r="CI14" s="46"/>
      <c r="CJ14" s="46"/>
      <c r="CK14" s="46"/>
      <c r="CL14" s="46"/>
    </row>
    <row r="15" spans="1:90">
      <c r="BI15" s="34" t="s">
        <v>1703</v>
      </c>
      <c r="BJ15">
        <v>9</v>
      </c>
      <c r="BK15">
        <v>7</v>
      </c>
      <c r="BL15">
        <v>12</v>
      </c>
      <c r="BM15">
        <v>5</v>
      </c>
      <c r="BP15" s="2"/>
      <c r="BQ15" s="2"/>
      <c r="BR15" s="2"/>
      <c r="BS15" s="2"/>
      <c r="CG15" s="178" t="s">
        <v>2316</v>
      </c>
      <c r="CH15" s="181" t="s">
        <v>1504</v>
      </c>
      <c r="CI15" s="181" t="s">
        <v>1286</v>
      </c>
      <c r="CJ15" s="181" t="s">
        <v>1261</v>
      </c>
      <c r="CK15" s="181" t="s">
        <v>1260</v>
      </c>
      <c r="CL15" s="235" t="s">
        <v>1693</v>
      </c>
    </row>
    <row r="16" spans="1:90">
      <c r="BI16" s="34" t="s">
        <v>1701</v>
      </c>
      <c r="BJ16">
        <f>BJ13/BN13</f>
        <v>0.35384615384615387</v>
      </c>
      <c r="BK16">
        <f>BK13/BN13</f>
        <v>0.2153846153846154</v>
      </c>
      <c r="BL16">
        <f>BL13/BN13</f>
        <v>0.35384615384615387</v>
      </c>
      <c r="BM16">
        <f>BM13/BN13</f>
        <v>7.6923076923076927E-2</v>
      </c>
      <c r="BN16">
        <f>SUM(BJ16:BM16)</f>
        <v>1</v>
      </c>
      <c r="BP16" s="2"/>
      <c r="BQ16" s="2"/>
      <c r="BR16" s="2"/>
      <c r="BS16" s="2"/>
      <c r="CG16" s="179">
        <v>2011</v>
      </c>
      <c r="CH16" s="164">
        <v>872194</v>
      </c>
      <c r="CI16" s="164">
        <v>124311</v>
      </c>
      <c r="CJ16" s="164">
        <v>374135</v>
      </c>
      <c r="CK16" s="1">
        <v>51278</v>
      </c>
      <c r="CL16" s="165">
        <v>1000</v>
      </c>
    </row>
    <row r="17" spans="1:115">
      <c r="BI17" s="34" t="s">
        <v>1702</v>
      </c>
      <c r="BJ17">
        <f>BJ14/BJ13</f>
        <v>0.2608695652173913</v>
      </c>
      <c r="BK17">
        <f>BK14/BK13</f>
        <v>0.42857142857142855</v>
      </c>
      <c r="BL17">
        <f>BL14/BL13</f>
        <v>0.30434782608695654</v>
      </c>
      <c r="BM17">
        <f>BM14/BM13</f>
        <v>0.6</v>
      </c>
      <c r="BP17" s="2"/>
      <c r="BQ17" s="2"/>
      <c r="BR17" s="2"/>
      <c r="BS17" s="2"/>
      <c r="CG17" s="179">
        <v>2010</v>
      </c>
      <c r="CH17" s="164">
        <v>951445</v>
      </c>
      <c r="CI17" s="164">
        <v>264043</v>
      </c>
      <c r="CJ17" s="164">
        <v>1258758</v>
      </c>
      <c r="CK17" s="164">
        <v>47995</v>
      </c>
      <c r="CL17" s="165">
        <v>800</v>
      </c>
    </row>
    <row r="18" spans="1:115">
      <c r="BI18" s="34" t="s">
        <v>1704</v>
      </c>
      <c r="BP18" s="2"/>
      <c r="BQ18" s="2"/>
      <c r="BR18" s="2"/>
      <c r="BS18" s="2"/>
      <c r="CG18" s="179">
        <v>2009</v>
      </c>
      <c r="CH18" s="164">
        <v>2140040</v>
      </c>
      <c r="CI18" s="164">
        <v>108001</v>
      </c>
      <c r="CJ18" s="164">
        <v>36700</v>
      </c>
      <c r="CK18" s="164">
        <v>16635</v>
      </c>
      <c r="CL18" s="165">
        <v>0</v>
      </c>
    </row>
    <row r="19" spans="1:115">
      <c r="BH19" s="35">
        <v>2009</v>
      </c>
      <c r="BI19" s="34" t="s">
        <v>1214</v>
      </c>
      <c r="BJ19" s="20" t="s">
        <v>1503</v>
      </c>
      <c r="BK19" s="20" t="s">
        <v>1501</v>
      </c>
      <c r="BL19" s="20" t="s">
        <v>1567</v>
      </c>
      <c r="BM19" s="20" t="s">
        <v>1568</v>
      </c>
      <c r="BN19" s="47" t="s">
        <v>1214</v>
      </c>
      <c r="BO19" s="44" t="s">
        <v>1698</v>
      </c>
      <c r="BP19" s="2"/>
      <c r="BQ19" s="2"/>
      <c r="BR19" s="2"/>
      <c r="BS19" s="2"/>
      <c r="CG19" s="179">
        <v>2008</v>
      </c>
      <c r="CH19" s="164">
        <v>740240</v>
      </c>
      <c r="CI19" s="164">
        <v>62290</v>
      </c>
      <c r="CJ19" s="164">
        <v>554080</v>
      </c>
      <c r="CK19" s="164">
        <v>52003</v>
      </c>
      <c r="CL19" s="165">
        <v>16418</v>
      </c>
    </row>
    <row r="20" spans="1:115">
      <c r="BJ20">
        <v>14</v>
      </c>
      <c r="BK20">
        <v>5</v>
      </c>
      <c r="BL20">
        <v>16</v>
      </c>
      <c r="BM20">
        <v>5</v>
      </c>
      <c r="BN20">
        <f>SUM(BJ20:BM20)</f>
        <v>40</v>
      </c>
      <c r="BP20" s="2"/>
      <c r="BQ20" s="2"/>
      <c r="BR20" s="2"/>
      <c r="BS20" s="2"/>
      <c r="CG20" s="179">
        <v>2007</v>
      </c>
      <c r="CH20" s="164">
        <v>1780287</v>
      </c>
      <c r="CI20" s="164">
        <v>180088</v>
      </c>
      <c r="CJ20" s="164">
        <v>449895</v>
      </c>
      <c r="CK20" s="164">
        <v>19622</v>
      </c>
      <c r="CL20" s="165">
        <v>0</v>
      </c>
    </row>
    <row r="21" spans="1:115">
      <c r="BI21" t="s">
        <v>1700</v>
      </c>
      <c r="BJ21">
        <v>8</v>
      </c>
      <c r="BK21">
        <v>2</v>
      </c>
      <c r="BL21">
        <v>12</v>
      </c>
      <c r="BM21">
        <v>2</v>
      </c>
      <c r="BN21">
        <f>SUM(BJ21:BM21)</f>
        <v>24</v>
      </c>
      <c r="BP21" s="2"/>
      <c r="BQ21" s="2"/>
      <c r="BR21" s="2"/>
      <c r="BS21" s="2"/>
      <c r="CG21" s="179">
        <v>2006</v>
      </c>
      <c r="CH21" s="164">
        <v>633357</v>
      </c>
      <c r="CI21" s="164">
        <v>26455</v>
      </c>
      <c r="CJ21" s="164">
        <v>653515</v>
      </c>
      <c r="CK21" s="164">
        <v>3816</v>
      </c>
      <c r="CL21" s="165">
        <v>200</v>
      </c>
    </row>
    <row r="22" spans="1:115">
      <c r="BI22" t="s">
        <v>1703</v>
      </c>
      <c r="BP22" s="2"/>
      <c r="BQ22" s="2"/>
      <c r="BR22" s="2"/>
      <c r="BS22" s="2"/>
      <c r="CG22" s="179">
        <v>2005</v>
      </c>
      <c r="CH22" s="164">
        <v>1718020</v>
      </c>
      <c r="CI22" s="164">
        <v>85127</v>
      </c>
      <c r="CJ22" s="164">
        <v>173369</v>
      </c>
      <c r="CK22" s="164">
        <v>8690</v>
      </c>
      <c r="CL22" s="165">
        <v>0</v>
      </c>
    </row>
    <row r="23" spans="1:115">
      <c r="BI23" s="34" t="s">
        <v>1701</v>
      </c>
      <c r="BJ23">
        <f>BJ20/BN20</f>
        <v>0.35</v>
      </c>
      <c r="BK23">
        <f>BK20/BN20</f>
        <v>0.125</v>
      </c>
      <c r="BL23">
        <f>BL20/BN20</f>
        <v>0.4</v>
      </c>
      <c r="BM23">
        <f>BM20/BN20</f>
        <v>0.125</v>
      </c>
      <c r="BN23">
        <f>SUM(BJ23:BM23)</f>
        <v>1</v>
      </c>
      <c r="BP23" s="2"/>
      <c r="BQ23" s="2"/>
      <c r="BR23" s="2"/>
      <c r="BS23" s="2"/>
      <c r="CG23" s="179">
        <v>2004</v>
      </c>
      <c r="CH23" s="164">
        <v>39800</v>
      </c>
      <c r="CI23" s="164">
        <v>78855</v>
      </c>
      <c r="CJ23" s="164">
        <v>869186</v>
      </c>
      <c r="CK23" s="182">
        <v>0</v>
      </c>
      <c r="CL23" s="165">
        <v>1740</v>
      </c>
    </row>
    <row r="24" spans="1:115">
      <c r="BI24" s="34" t="s">
        <v>1702</v>
      </c>
      <c r="BJ24">
        <f>BJ21/BJ20</f>
        <v>0.5714285714285714</v>
      </c>
      <c r="BK24">
        <f>BK21/BK20</f>
        <v>0.4</v>
      </c>
      <c r="BL24">
        <f>BL21/BL20</f>
        <v>0.75</v>
      </c>
      <c r="BM24">
        <f>BM21/BM20</f>
        <v>0.4</v>
      </c>
      <c r="BN24">
        <f>SUM(BJ24:BM24)</f>
        <v>2.1214285714285714</v>
      </c>
      <c r="CG24" s="179" t="s">
        <v>2214</v>
      </c>
      <c r="CH24" s="167">
        <f>SUM(CH16:CH23)</f>
        <v>8875383</v>
      </c>
      <c r="CI24" s="167">
        <f t="shared" ref="CI24:CL24" si="3">SUM(CI16:CI23)</f>
        <v>929170</v>
      </c>
      <c r="CJ24" s="167">
        <f t="shared" si="3"/>
        <v>4369638</v>
      </c>
      <c r="CK24" s="167">
        <f t="shared" si="3"/>
        <v>200039</v>
      </c>
      <c r="CL24" s="167">
        <f t="shared" si="3"/>
        <v>20158</v>
      </c>
    </row>
    <row r="25" spans="1:115">
      <c r="BH25" s="2"/>
      <c r="BI25" s="34" t="s">
        <v>1704</v>
      </c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</row>
    <row r="26" spans="1:115"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</row>
    <row r="28" spans="1:115">
      <c r="A28" s="2"/>
      <c r="B28" s="2"/>
      <c r="C28" s="2"/>
      <c r="D28" s="2"/>
      <c r="E28" s="2"/>
      <c r="F28" s="2"/>
      <c r="G28" s="2"/>
      <c r="H28" s="1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CG28" s="200" t="s">
        <v>2418</v>
      </c>
      <c r="CH28" s="202" t="s">
        <v>1038</v>
      </c>
      <c r="CI28" s="46"/>
      <c r="CJ28" s="46"/>
      <c r="CK28" s="46"/>
      <c r="CL28" s="46"/>
    </row>
    <row r="29" spans="1:115">
      <c r="A29" s="2"/>
      <c r="B29" s="2"/>
      <c r="C29" s="49"/>
      <c r="D29" s="49"/>
      <c r="E29" s="2"/>
      <c r="F29" s="44"/>
      <c r="G29" s="49"/>
      <c r="H29" s="2"/>
      <c r="I29" s="49"/>
      <c r="J29" s="49"/>
      <c r="K29" s="2"/>
      <c r="L29" s="49"/>
      <c r="M29" s="49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CG29" s="201" t="s">
        <v>2316</v>
      </c>
      <c r="CH29" s="173" t="s">
        <v>1504</v>
      </c>
      <c r="CI29" s="173" t="s">
        <v>1286</v>
      </c>
      <c r="CJ29" s="173" t="s">
        <v>1261</v>
      </c>
      <c r="CK29" s="173" t="s">
        <v>1260</v>
      </c>
      <c r="CL29" s="173" t="s">
        <v>1693</v>
      </c>
    </row>
    <row r="30" spans="1:11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CG30" s="159">
        <v>2011</v>
      </c>
      <c r="CH30" s="164">
        <v>459167</v>
      </c>
      <c r="CI30" s="164">
        <v>89311</v>
      </c>
      <c r="CJ30" s="164">
        <v>18345</v>
      </c>
      <c r="CK30" s="182">
        <v>0</v>
      </c>
      <c r="CL30" s="165">
        <v>1000</v>
      </c>
    </row>
    <row r="31" spans="1:115">
      <c r="A31" s="2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2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3"/>
      <c r="AB31" s="2"/>
      <c r="AC31" s="2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3"/>
      <c r="CG31" s="159">
        <v>2010</v>
      </c>
      <c r="CH31" s="164">
        <v>161941</v>
      </c>
      <c r="CI31" s="164">
        <v>97295</v>
      </c>
      <c r="CJ31" s="164">
        <v>623852</v>
      </c>
      <c r="CK31" s="164">
        <v>6200</v>
      </c>
      <c r="CL31" s="165">
        <v>800</v>
      </c>
    </row>
    <row r="32" spans="1:115">
      <c r="AI32" s="2"/>
      <c r="AJ32" s="16"/>
      <c r="AK32" s="2"/>
      <c r="AL32" s="2"/>
      <c r="AM32" s="16"/>
      <c r="AN32" s="2"/>
      <c r="CG32" s="159">
        <v>2009</v>
      </c>
      <c r="CH32" s="164">
        <v>621848</v>
      </c>
      <c r="CI32" s="164">
        <v>52145</v>
      </c>
      <c r="CJ32" s="164">
        <v>304275</v>
      </c>
      <c r="CK32" s="182">
        <v>0</v>
      </c>
      <c r="CL32" s="165">
        <v>0</v>
      </c>
    </row>
    <row r="33" spans="1:115">
      <c r="P33" s="2"/>
      <c r="AI33" s="16"/>
      <c r="AJ33" s="16"/>
      <c r="AK33" s="16"/>
      <c r="AL33" s="16"/>
      <c r="AM33" s="16"/>
      <c r="AN33" s="16"/>
      <c r="AO33" s="13"/>
      <c r="CG33" s="159">
        <v>2008</v>
      </c>
      <c r="CH33" s="164">
        <v>126552</v>
      </c>
      <c r="CI33" s="164">
        <v>28412</v>
      </c>
      <c r="CJ33" s="164">
        <v>235950</v>
      </c>
      <c r="CK33" s="182">
        <v>0</v>
      </c>
      <c r="CL33" s="165">
        <v>3223</v>
      </c>
    </row>
    <row r="34" spans="1:115">
      <c r="AI34" s="2"/>
      <c r="AJ34" s="2"/>
      <c r="AK34" s="2"/>
      <c r="AL34" s="2"/>
      <c r="AM34" s="2"/>
      <c r="AN34" s="2"/>
      <c r="CG34" s="159">
        <v>2007</v>
      </c>
      <c r="CH34" s="164">
        <v>171457</v>
      </c>
      <c r="CI34" s="164">
        <v>25700</v>
      </c>
      <c r="CJ34" s="164">
        <v>95225</v>
      </c>
      <c r="CK34" s="164">
        <v>1086</v>
      </c>
      <c r="CL34" s="165">
        <v>0</v>
      </c>
    </row>
    <row r="35" spans="1:115">
      <c r="M35" s="30" t="s">
        <v>2313</v>
      </c>
      <c r="R35" s="183" t="s">
        <v>2300</v>
      </c>
      <c r="AI35" s="2"/>
      <c r="AJ35" s="2"/>
      <c r="AK35" s="2"/>
      <c r="AL35" s="2"/>
      <c r="AM35" s="2"/>
      <c r="AN35" s="2"/>
      <c r="CG35" s="159">
        <v>2006</v>
      </c>
      <c r="CH35" s="164">
        <v>155767</v>
      </c>
      <c r="CI35" s="164">
        <v>15000</v>
      </c>
      <c r="CJ35" s="164">
        <v>608455</v>
      </c>
      <c r="CK35" s="164">
        <v>1040</v>
      </c>
      <c r="CL35" s="165">
        <v>200</v>
      </c>
    </row>
    <row r="36" spans="1:115">
      <c r="A36" s="221" t="s">
        <v>2316</v>
      </c>
      <c r="B36" s="225" t="s">
        <v>2317</v>
      </c>
      <c r="C36" s="226" t="s">
        <v>2314</v>
      </c>
      <c r="D36" s="222" t="s">
        <v>1503</v>
      </c>
      <c r="E36" s="222" t="s">
        <v>1501</v>
      </c>
      <c r="F36" s="222" t="s">
        <v>1567</v>
      </c>
      <c r="G36" s="222" t="s">
        <v>1568</v>
      </c>
      <c r="H36" s="227" t="s">
        <v>2315</v>
      </c>
      <c r="I36" s="223" t="s">
        <v>1503</v>
      </c>
      <c r="J36" s="223" t="s">
        <v>1501</v>
      </c>
      <c r="K36" s="223" t="s">
        <v>1567</v>
      </c>
      <c r="L36" s="223" t="s">
        <v>1568</v>
      </c>
      <c r="M36" s="224" t="s">
        <v>1503</v>
      </c>
      <c r="N36" s="224" t="s">
        <v>1501</v>
      </c>
      <c r="O36" s="224" t="s">
        <v>1567</v>
      </c>
      <c r="P36" s="224" t="s">
        <v>1568</v>
      </c>
      <c r="Q36" s="228" t="s">
        <v>2421</v>
      </c>
      <c r="R36" s="150" t="s">
        <v>1503</v>
      </c>
      <c r="S36" s="151" t="s">
        <v>1501</v>
      </c>
      <c r="T36" s="151" t="s">
        <v>1567</v>
      </c>
      <c r="U36" s="152" t="s">
        <v>1568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CG36" s="159">
        <v>2005</v>
      </c>
      <c r="CH36" s="164">
        <v>64350</v>
      </c>
      <c r="CI36" s="164">
        <v>6655</v>
      </c>
      <c r="CJ36" s="164">
        <v>133665</v>
      </c>
      <c r="CK36" s="182">
        <v>0</v>
      </c>
      <c r="CL36" s="165">
        <v>0</v>
      </c>
    </row>
    <row r="37" spans="1:115" s="2" customFormat="1">
      <c r="A37" s="153">
        <v>2011</v>
      </c>
      <c r="B37" s="46">
        <v>111</v>
      </c>
      <c r="C37" s="46">
        <v>72</v>
      </c>
      <c r="D37" s="46">
        <v>16</v>
      </c>
      <c r="E37" s="46">
        <v>13</v>
      </c>
      <c r="F37" s="46">
        <v>17</v>
      </c>
      <c r="G37" s="46">
        <v>25</v>
      </c>
      <c r="H37" s="46">
        <v>39</v>
      </c>
      <c r="I37" s="46">
        <v>6</v>
      </c>
      <c r="J37" s="46">
        <v>8</v>
      </c>
      <c r="K37" s="46">
        <v>10</v>
      </c>
      <c r="L37" s="46">
        <v>17</v>
      </c>
      <c r="M37" s="46">
        <v>4.57</v>
      </c>
      <c r="N37" s="46">
        <v>3</v>
      </c>
      <c r="O37" s="46">
        <v>2.5</v>
      </c>
      <c r="P37" s="60">
        <v>2.25</v>
      </c>
      <c r="Q37" s="153">
        <f>AVERAGE(M37:P37)</f>
        <v>3.08</v>
      </c>
      <c r="R37" s="61">
        <v>53</v>
      </c>
      <c r="S37" s="56">
        <v>31</v>
      </c>
      <c r="T37" s="56">
        <v>14</v>
      </c>
      <c r="U37" s="57">
        <v>8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 s="159">
        <v>2004</v>
      </c>
      <c r="CH37" s="164">
        <v>28390</v>
      </c>
      <c r="CI37" s="164">
        <v>26840</v>
      </c>
      <c r="CJ37" s="164">
        <v>343640</v>
      </c>
      <c r="CK37" s="182">
        <v>0</v>
      </c>
      <c r="CL37" s="165">
        <v>1740</v>
      </c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</row>
    <row r="38" spans="1:115" s="2" customFormat="1">
      <c r="A38" s="153">
        <v>2010</v>
      </c>
      <c r="B38" s="46">
        <v>128</v>
      </c>
      <c r="C38" s="46">
        <v>66</v>
      </c>
      <c r="D38" s="46">
        <v>14</v>
      </c>
      <c r="E38" s="46">
        <v>15</v>
      </c>
      <c r="F38" s="46">
        <v>21</v>
      </c>
      <c r="G38" s="46">
        <v>16</v>
      </c>
      <c r="H38" s="46">
        <v>34</v>
      </c>
      <c r="I38" s="46">
        <v>6</v>
      </c>
      <c r="J38" s="46">
        <v>8</v>
      </c>
      <c r="K38" s="46">
        <v>9</v>
      </c>
      <c r="L38" s="46">
        <v>10</v>
      </c>
      <c r="M38" s="46">
        <v>5.32</v>
      </c>
      <c r="N38" s="46">
        <v>1.5</v>
      </c>
      <c r="O38" s="46">
        <v>20.7</v>
      </c>
      <c r="P38" s="60">
        <v>2.17</v>
      </c>
      <c r="Q38" s="153">
        <f t="shared" ref="Q38:Q44" si="4">AVERAGE(M38:P38)</f>
        <v>7.4224999999999994</v>
      </c>
      <c r="R38" s="184">
        <v>85</v>
      </c>
      <c r="S38" s="185">
        <v>34</v>
      </c>
      <c r="T38" s="185">
        <v>21</v>
      </c>
      <c r="U38" s="186">
        <v>26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 s="159" t="s">
        <v>2214</v>
      </c>
      <c r="CH38" s="167">
        <f>SUM(CH30:CH37)</f>
        <v>1789472</v>
      </c>
      <c r="CI38" s="167">
        <f t="shared" ref="CI38:CL38" si="5">SUM(CI30:CI37)</f>
        <v>341358</v>
      </c>
      <c r="CJ38" s="167">
        <f t="shared" si="5"/>
        <v>2363407</v>
      </c>
      <c r="CK38" s="167">
        <f t="shared" si="5"/>
        <v>8326</v>
      </c>
      <c r="CL38" s="167">
        <f t="shared" si="5"/>
        <v>6963</v>
      </c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</row>
    <row r="39" spans="1:115">
      <c r="A39" s="153">
        <v>2009</v>
      </c>
      <c r="B39" s="46">
        <v>93</v>
      </c>
      <c r="C39" s="46">
        <v>46</v>
      </c>
      <c r="D39" s="46">
        <v>14</v>
      </c>
      <c r="E39" s="46">
        <v>3</v>
      </c>
      <c r="F39" s="46">
        <v>16</v>
      </c>
      <c r="G39" s="46">
        <v>13</v>
      </c>
      <c r="H39" s="46">
        <v>21</v>
      </c>
      <c r="I39" s="46">
        <v>2</v>
      </c>
      <c r="J39" s="46">
        <v>3</v>
      </c>
      <c r="K39" s="46">
        <v>13</v>
      </c>
      <c r="L39" s="46">
        <v>7</v>
      </c>
      <c r="M39" s="46">
        <v>5.44</v>
      </c>
      <c r="N39" s="218">
        <v>17</v>
      </c>
      <c r="O39" s="46">
        <v>7.7</v>
      </c>
      <c r="P39" s="60">
        <v>3.14</v>
      </c>
      <c r="Q39" s="153">
        <f t="shared" si="4"/>
        <v>8.32</v>
      </c>
      <c r="R39" s="62">
        <v>78</v>
      </c>
      <c r="S39" s="46">
        <v>33</v>
      </c>
      <c r="T39" s="185">
        <v>17</v>
      </c>
      <c r="U39" s="60">
        <v>9</v>
      </c>
    </row>
    <row r="40" spans="1:115">
      <c r="A40" s="153">
        <v>2008</v>
      </c>
      <c r="B40" s="46">
        <v>101</v>
      </c>
      <c r="C40" s="46">
        <v>44</v>
      </c>
      <c r="D40" s="46">
        <v>8</v>
      </c>
      <c r="E40" s="46">
        <v>11</v>
      </c>
      <c r="F40" s="46">
        <v>10</v>
      </c>
      <c r="G40" s="46">
        <v>15</v>
      </c>
      <c r="H40" s="46">
        <v>23</v>
      </c>
      <c r="I40" s="46">
        <v>6</v>
      </c>
      <c r="J40" s="46">
        <v>5</v>
      </c>
      <c r="K40" s="46">
        <v>7</v>
      </c>
      <c r="L40" s="46">
        <v>11</v>
      </c>
      <c r="M40" s="46">
        <v>1.74</v>
      </c>
      <c r="N40" s="46">
        <v>1.4</v>
      </c>
      <c r="O40" s="46">
        <v>1.3</v>
      </c>
      <c r="P40" s="60">
        <v>2.9</v>
      </c>
      <c r="Q40" s="153">
        <f t="shared" si="4"/>
        <v>1.835</v>
      </c>
      <c r="R40" s="62">
        <v>103</v>
      </c>
      <c r="S40" s="46">
        <v>29</v>
      </c>
      <c r="T40" s="51">
        <v>39</v>
      </c>
      <c r="U40" s="187">
        <v>13</v>
      </c>
      <c r="CG40" s="199" t="s">
        <v>2432</v>
      </c>
      <c r="CH40" s="239" t="s">
        <v>1038</v>
      </c>
    </row>
    <row r="41" spans="1:115">
      <c r="A41" s="153">
        <v>2007</v>
      </c>
      <c r="B41" s="46">
        <v>95</v>
      </c>
      <c r="C41" s="46">
        <v>42</v>
      </c>
      <c r="D41" s="46">
        <v>10</v>
      </c>
      <c r="E41" s="46">
        <v>3</v>
      </c>
      <c r="F41" s="46">
        <v>13</v>
      </c>
      <c r="G41" s="46">
        <v>15</v>
      </c>
      <c r="H41" s="46">
        <v>23</v>
      </c>
      <c r="I41" s="46">
        <v>4</v>
      </c>
      <c r="J41" s="46">
        <v>3</v>
      </c>
      <c r="K41" s="46">
        <v>7</v>
      </c>
      <c r="L41" s="46">
        <v>13</v>
      </c>
      <c r="M41" s="46">
        <v>9.6</v>
      </c>
      <c r="N41" s="46">
        <v>0.92</v>
      </c>
      <c r="O41" s="46">
        <v>11</v>
      </c>
      <c r="P41" s="60">
        <v>7.6</v>
      </c>
      <c r="Q41" s="153">
        <f t="shared" si="4"/>
        <v>7.2799999999999994</v>
      </c>
      <c r="R41" s="62">
        <v>46</v>
      </c>
      <c r="S41" s="46">
        <v>47</v>
      </c>
      <c r="T41" s="51">
        <v>27</v>
      </c>
      <c r="U41" s="187">
        <v>16</v>
      </c>
      <c r="CG41" s="241" t="s">
        <v>2316</v>
      </c>
      <c r="CH41" s="240" t="s">
        <v>1504</v>
      </c>
      <c r="CI41" s="240" t="s">
        <v>1261</v>
      </c>
      <c r="CJ41" s="51"/>
      <c r="CK41" s="51"/>
      <c r="CL41" s="51"/>
    </row>
    <row r="42" spans="1:115">
      <c r="A42" s="153">
        <v>2006</v>
      </c>
      <c r="B42" s="46">
        <v>95</v>
      </c>
      <c r="C42" s="46">
        <v>45</v>
      </c>
      <c r="D42" s="46">
        <v>9</v>
      </c>
      <c r="E42" s="46">
        <v>7</v>
      </c>
      <c r="F42" s="46">
        <v>13</v>
      </c>
      <c r="G42" s="46">
        <v>15</v>
      </c>
      <c r="H42" s="46">
        <v>19</v>
      </c>
      <c r="I42" s="46">
        <v>6</v>
      </c>
      <c r="J42" s="46">
        <v>1</v>
      </c>
      <c r="K42" s="46">
        <v>8</v>
      </c>
      <c r="L42" s="46">
        <v>11</v>
      </c>
      <c r="M42" s="46">
        <v>4.4000000000000004</v>
      </c>
      <c r="N42" s="46">
        <v>0.99</v>
      </c>
      <c r="O42" s="46">
        <v>2.4</v>
      </c>
      <c r="P42" s="60">
        <v>1.4</v>
      </c>
      <c r="Q42" s="153">
        <f t="shared" si="4"/>
        <v>2.2975000000000003</v>
      </c>
      <c r="R42" s="62">
        <v>38</v>
      </c>
      <c r="S42" s="46">
        <v>42</v>
      </c>
      <c r="T42" s="51">
        <v>21</v>
      </c>
      <c r="U42" s="187">
        <v>11</v>
      </c>
      <c r="CG42" s="242">
        <v>2011</v>
      </c>
      <c r="CH42" s="237"/>
      <c r="CI42" s="238"/>
      <c r="CJ42" s="236"/>
      <c r="CK42" s="236"/>
      <c r="CL42" s="236"/>
    </row>
    <row r="43" spans="1:115">
      <c r="A43" s="153">
        <v>2005</v>
      </c>
      <c r="B43" s="46">
        <v>94</v>
      </c>
      <c r="C43" s="46">
        <v>42</v>
      </c>
      <c r="D43" s="46">
        <v>7</v>
      </c>
      <c r="E43" s="46">
        <v>5</v>
      </c>
      <c r="F43" s="46">
        <v>10</v>
      </c>
      <c r="G43" s="46">
        <v>9</v>
      </c>
      <c r="H43" s="46">
        <v>16</v>
      </c>
      <c r="I43" s="46">
        <v>3</v>
      </c>
      <c r="J43" s="46">
        <v>1</v>
      </c>
      <c r="K43" s="46">
        <v>4</v>
      </c>
      <c r="L43" s="46">
        <v>7</v>
      </c>
      <c r="M43" s="46">
        <v>2.6</v>
      </c>
      <c r="N43" s="218">
        <v>2.42</v>
      </c>
      <c r="O43" s="46">
        <v>5.3</v>
      </c>
      <c r="P43" s="60">
        <v>13</v>
      </c>
      <c r="Q43" s="153">
        <f t="shared" si="4"/>
        <v>5.83</v>
      </c>
      <c r="R43" s="62">
        <v>50</v>
      </c>
      <c r="S43" s="46">
        <v>19</v>
      </c>
      <c r="T43" s="51">
        <v>24</v>
      </c>
      <c r="U43" s="187">
        <v>24</v>
      </c>
      <c r="CG43" s="242">
        <v>2010</v>
      </c>
      <c r="CH43" s="212"/>
      <c r="CI43" s="214"/>
      <c r="CJ43" s="236"/>
      <c r="CK43" s="236"/>
      <c r="CL43" s="236"/>
    </row>
    <row r="44" spans="1:115">
      <c r="A44" s="154">
        <v>2004</v>
      </c>
      <c r="B44" s="59">
        <v>57</v>
      </c>
      <c r="C44" s="59">
        <v>17</v>
      </c>
      <c r="D44" s="59">
        <v>1</v>
      </c>
      <c r="E44" s="59">
        <v>1</v>
      </c>
      <c r="F44" s="59">
        <v>7</v>
      </c>
      <c r="G44" s="59">
        <v>8</v>
      </c>
      <c r="H44" s="59">
        <v>10</v>
      </c>
      <c r="I44" s="59">
        <v>1</v>
      </c>
      <c r="J44" s="59">
        <v>0</v>
      </c>
      <c r="K44" s="59">
        <v>5</v>
      </c>
      <c r="L44" s="59">
        <v>5</v>
      </c>
      <c r="M44" s="59">
        <v>0</v>
      </c>
      <c r="N44" s="59">
        <v>0</v>
      </c>
      <c r="O44" s="59">
        <v>12.2</v>
      </c>
      <c r="P44" s="55">
        <v>2.15</v>
      </c>
      <c r="Q44" s="154">
        <f t="shared" si="4"/>
        <v>3.5874999999999999</v>
      </c>
      <c r="R44" s="58">
        <v>62</v>
      </c>
      <c r="S44" s="59">
        <v>18</v>
      </c>
      <c r="T44" s="188">
        <v>31</v>
      </c>
      <c r="U44" s="189">
        <v>21</v>
      </c>
      <c r="CG44" s="242">
        <v>2009</v>
      </c>
      <c r="CH44" s="212"/>
      <c r="CI44" s="214"/>
      <c r="CJ44" s="236"/>
      <c r="CK44" s="236"/>
      <c r="CL44" s="236"/>
    </row>
    <row r="45" spans="1:115">
      <c r="A45" s="220" t="s">
        <v>2356</v>
      </c>
      <c r="B45" s="219">
        <f>AVERAGE(B37:B44)</f>
        <v>96.75</v>
      </c>
      <c r="C45" s="219">
        <f>AVERAGE(C37:C44)</f>
        <v>46.75</v>
      </c>
      <c r="D45" s="219"/>
      <c r="E45" s="219"/>
      <c r="F45" s="219"/>
      <c r="G45" s="219"/>
      <c r="H45" s="219">
        <f>AVERAGE(H37:H44)</f>
        <v>23.125</v>
      </c>
      <c r="I45" s="219"/>
      <c r="J45" s="219"/>
      <c r="K45" s="219"/>
      <c r="L45" s="219"/>
      <c r="M45" s="219">
        <f>AVERAGE(M37:M43)</f>
        <v>4.8100000000000005</v>
      </c>
      <c r="N45" s="219">
        <f t="shared" ref="N45:P45" si="6">AVERAGE(N37:N43)</f>
        <v>3.8899999999999997</v>
      </c>
      <c r="O45" s="219">
        <f t="shared" si="6"/>
        <v>7.2714285714285705</v>
      </c>
      <c r="P45" s="219">
        <f t="shared" si="6"/>
        <v>4.637142857142857</v>
      </c>
      <c r="CG45" s="242">
        <v>2008</v>
      </c>
      <c r="CH45" s="212"/>
      <c r="CI45" s="214"/>
      <c r="CJ45" s="236"/>
      <c r="CK45" s="236"/>
      <c r="CL45" s="236"/>
    </row>
    <row r="46" spans="1:115">
      <c r="CG46" s="242">
        <v>2007</v>
      </c>
      <c r="CH46" s="212"/>
      <c r="CI46" s="214"/>
      <c r="CJ46" s="236"/>
      <c r="CK46" s="236"/>
      <c r="CL46" s="236"/>
    </row>
    <row r="47" spans="1:115">
      <c r="CG47" s="242">
        <v>2006</v>
      </c>
      <c r="CH47" s="212"/>
      <c r="CI47" s="214"/>
      <c r="CJ47" s="236"/>
      <c r="CK47" s="236"/>
      <c r="CL47" s="236"/>
    </row>
    <row r="48" spans="1:115">
      <c r="A48" t="s">
        <v>2357</v>
      </c>
      <c r="B48" s="21" t="s">
        <v>1503</v>
      </c>
      <c r="C48" s="21" t="s">
        <v>1501</v>
      </c>
      <c r="D48" s="21" t="s">
        <v>1567</v>
      </c>
      <c r="E48" s="21" t="s">
        <v>1568</v>
      </c>
      <c r="CG48" s="242">
        <v>2005</v>
      </c>
      <c r="CH48" s="212"/>
      <c r="CI48" s="214"/>
      <c r="CJ48" s="236"/>
      <c r="CK48" s="236"/>
      <c r="CL48" s="236"/>
    </row>
    <row r="49" spans="2:90">
      <c r="B49">
        <v>2.0499999999999998</v>
      </c>
      <c r="C49">
        <v>2.4700000000000002</v>
      </c>
      <c r="D49">
        <v>5.2</v>
      </c>
      <c r="E49">
        <v>3.3</v>
      </c>
      <c r="CG49" s="242">
        <v>2004</v>
      </c>
      <c r="CH49" s="215"/>
      <c r="CI49" s="217"/>
      <c r="CJ49" s="236"/>
      <c r="CK49" s="236"/>
      <c r="CL49" s="236"/>
    </row>
    <row r="50" spans="2:90">
      <c r="CJ50" s="51"/>
      <c r="CK50" s="51"/>
      <c r="CL50" s="51"/>
    </row>
    <row r="52" spans="2:90">
      <c r="CG52" s="205" t="s">
        <v>2420</v>
      </c>
      <c r="CH52" s="204" t="s">
        <v>1038</v>
      </c>
    </row>
    <row r="53" spans="2:90">
      <c r="CG53" s="206" t="s">
        <v>2316</v>
      </c>
      <c r="CH53" s="208" t="s">
        <v>1504</v>
      </c>
      <c r="CI53" s="208" t="s">
        <v>1286</v>
      </c>
      <c r="CJ53" s="208" t="s">
        <v>1261</v>
      </c>
      <c r="CK53" s="208" t="s">
        <v>1260</v>
      </c>
      <c r="CL53" s="208" t="s">
        <v>1693</v>
      </c>
    </row>
    <row r="54" spans="2:90">
      <c r="CG54" s="207">
        <v>2011</v>
      </c>
      <c r="CH54" s="209">
        <f t="shared" ref="CH54:CL55" si="7">CH4/CH16</f>
        <v>4.4648564424887125</v>
      </c>
      <c r="CI54" s="210">
        <f t="shared" si="7"/>
        <v>1.8673649154137606</v>
      </c>
      <c r="CJ54" s="210">
        <f t="shared" si="7"/>
        <v>1.3142101113234528</v>
      </c>
      <c r="CK54" s="210">
        <f t="shared" si="7"/>
        <v>1.1888334178400093</v>
      </c>
      <c r="CL54" s="211">
        <f t="shared" si="7"/>
        <v>374.98399999999998</v>
      </c>
    </row>
    <row r="55" spans="2:90">
      <c r="CG55" s="207">
        <v>2010</v>
      </c>
      <c r="CH55" s="212">
        <f t="shared" si="7"/>
        <v>2.1734834909006828</v>
      </c>
      <c r="CI55" s="213">
        <f t="shared" si="7"/>
        <v>85.183125475774773</v>
      </c>
      <c r="CJ55" s="213">
        <f t="shared" si="7"/>
        <v>2.3629252008726063</v>
      </c>
      <c r="CK55" s="213">
        <f t="shared" si="7"/>
        <v>3.3414313991040734</v>
      </c>
      <c r="CL55" s="214">
        <f t="shared" si="7"/>
        <v>0</v>
      </c>
    </row>
    <row r="56" spans="2:90">
      <c r="CG56" s="207">
        <v>2009</v>
      </c>
      <c r="CH56" s="212">
        <f t="shared" ref="CH56:CK60" si="8">CH6/CH18</f>
        <v>0.60057755929795709</v>
      </c>
      <c r="CI56" s="213">
        <f t="shared" si="8"/>
        <v>4.1248969916945217</v>
      </c>
      <c r="CJ56" s="213">
        <f t="shared" si="8"/>
        <v>44.368446866485016</v>
      </c>
      <c r="CK56" s="213">
        <f t="shared" si="8"/>
        <v>23.485903216110611</v>
      </c>
      <c r="CL56" s="214"/>
    </row>
    <row r="57" spans="2:90">
      <c r="CG57" s="207">
        <v>2008</v>
      </c>
      <c r="CH57" s="212">
        <f t="shared" si="8"/>
        <v>2.3425172916891821</v>
      </c>
      <c r="CI57" s="213">
        <f t="shared" si="8"/>
        <v>6.4418526248193935</v>
      </c>
      <c r="CJ57" s="213">
        <f t="shared" si="8"/>
        <v>12.491185388391568</v>
      </c>
      <c r="CK57" s="213">
        <f t="shared" si="8"/>
        <v>4.4421475684095144</v>
      </c>
      <c r="CL57" s="214">
        <f>CL7/CL19</f>
        <v>2.7211597027652576</v>
      </c>
    </row>
    <row r="58" spans="2:90">
      <c r="CG58" s="207">
        <v>2007</v>
      </c>
      <c r="CH58" s="212">
        <f t="shared" si="8"/>
        <v>1.0133894141787252</v>
      </c>
      <c r="CI58" s="213">
        <f t="shared" si="8"/>
        <v>0.7110412687130736</v>
      </c>
      <c r="CJ58" s="213">
        <f t="shared" si="8"/>
        <v>3.9996621433890129</v>
      </c>
      <c r="CK58" s="213">
        <f t="shared" si="8"/>
        <v>3.4492916114565282</v>
      </c>
      <c r="CL58" s="214"/>
    </row>
    <row r="59" spans="2:90">
      <c r="CG59" s="207">
        <v>2006</v>
      </c>
      <c r="CH59" s="212">
        <f t="shared" si="8"/>
        <v>3.3725181848467769</v>
      </c>
      <c r="CI59" s="213">
        <f t="shared" si="8"/>
        <v>2.2185598185598185</v>
      </c>
      <c r="CJ59" s="213">
        <f t="shared" si="8"/>
        <v>0.31992379669938714</v>
      </c>
      <c r="CK59" s="213">
        <f t="shared" si="8"/>
        <v>7.5914570230607969</v>
      </c>
      <c r="CL59" s="214">
        <f>CL9/CL21</f>
        <v>428.52499999999998</v>
      </c>
    </row>
    <row r="60" spans="2:90">
      <c r="CG60" s="207">
        <v>2005</v>
      </c>
      <c r="CH60" s="212">
        <f t="shared" si="8"/>
        <v>0.23335118333895996</v>
      </c>
      <c r="CI60" s="213">
        <f t="shared" si="8"/>
        <v>3.9179108860878453</v>
      </c>
      <c r="CJ60" s="213">
        <f t="shared" si="8"/>
        <v>51.965276375822668</v>
      </c>
      <c r="CK60" s="213">
        <f t="shared" si="8"/>
        <v>16.208285385500574</v>
      </c>
      <c r="CL60" s="214"/>
    </row>
    <row r="61" spans="2:90">
      <c r="CG61" s="207">
        <v>2004</v>
      </c>
      <c r="CH61" s="215">
        <f>CH11/CH23</f>
        <v>6.7133417085427132</v>
      </c>
      <c r="CI61" s="216">
        <f>CI11/CI23</f>
        <v>4.3487033162133031</v>
      </c>
      <c r="CJ61" s="216">
        <f>CJ11/CJ23</f>
        <v>88.651898442910948</v>
      </c>
      <c r="CK61" s="216"/>
      <c r="CL61" s="217">
        <f>CL11/CL23</f>
        <v>9.8850574712643677E-2</v>
      </c>
    </row>
    <row r="81" spans="35:53"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35:53">
      <c r="AL82" s="2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3"/>
      <c r="BA82" s="13"/>
    </row>
    <row r="83" spans="35:53">
      <c r="AI83" s="2"/>
      <c r="AJ83" s="2"/>
      <c r="AK83" s="2"/>
      <c r="AL83" s="2"/>
      <c r="AM83" s="16"/>
      <c r="AN83" s="2"/>
      <c r="AO83" s="2"/>
      <c r="AP83" s="16"/>
      <c r="AQ83" s="2"/>
      <c r="AR83" s="2"/>
      <c r="AS83" s="16"/>
      <c r="AT83" s="2"/>
      <c r="AU83" s="2"/>
      <c r="AV83" s="16"/>
      <c r="AW83" s="2"/>
      <c r="AX83" s="2"/>
      <c r="AY83" s="16"/>
    </row>
    <row r="84" spans="35:53"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35:53"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</row>
    <row r="86" spans="35:53"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35:53"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</row>
    <row r="88" spans="35:53"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</row>
    <row r="89" spans="35:53"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</row>
    <row r="90" spans="35:53"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</row>
    <row r="113" spans="35:37" s="2" customFormat="1">
      <c r="AI113"/>
      <c r="AJ113"/>
      <c r="AK113"/>
    </row>
  </sheetData>
  <pageMargins left="0.7" right="0.7" top="0.75" bottom="0.75" header="0.3" footer="0.3"/>
  <pageSetup paperSize="9" orientation="portrait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40"/>
  <sheetViews>
    <sheetView topLeftCell="A34" workbookViewId="0">
      <selection activeCell="I3" sqref="I3"/>
    </sheetView>
  </sheetViews>
  <sheetFormatPr defaultColWidth="8.85546875" defaultRowHeight="12.75"/>
  <cols>
    <col min="1" max="1" width="9.7109375" customWidth="1"/>
    <col min="2" max="2" width="10.28515625" customWidth="1"/>
    <col min="3" max="3" width="9.42578125" customWidth="1"/>
    <col min="4" max="4" width="12.42578125" customWidth="1"/>
    <col min="5" max="6" width="11.5703125" customWidth="1"/>
    <col min="7" max="7" width="16.42578125" customWidth="1"/>
    <col min="8" max="8" width="13.42578125" customWidth="1"/>
    <col min="9" max="9" width="12.28515625" customWidth="1"/>
    <col min="10" max="10" width="14.42578125" customWidth="1"/>
    <col min="11" max="11" width="17.85546875" customWidth="1"/>
    <col min="12" max="12" width="16.140625" customWidth="1"/>
    <col min="13" max="13" width="10.42578125" customWidth="1"/>
    <col min="14" max="14" width="10.28515625" customWidth="1"/>
    <col min="18" max="18" width="12.85546875" customWidth="1"/>
    <col min="19" max="19" width="13.85546875" customWidth="1"/>
    <col min="20" max="20" width="12.140625" customWidth="1"/>
    <col min="23" max="23" width="12.85546875" customWidth="1"/>
  </cols>
  <sheetData>
    <row r="1" spans="1:28" s="30" customFormat="1">
      <c r="A1" s="30" t="s">
        <v>1564</v>
      </c>
    </row>
    <row r="3" spans="1:28" s="29" customFormat="1" ht="41.25" customHeight="1">
      <c r="A3" s="31"/>
      <c r="B3" s="660" t="s">
        <v>1509</v>
      </c>
      <c r="C3" s="660" t="s">
        <v>1555</v>
      </c>
      <c r="D3" s="661" t="s">
        <v>2460</v>
      </c>
      <c r="E3" s="661" t="s">
        <v>2461</v>
      </c>
      <c r="F3" s="662" t="s">
        <v>1536</v>
      </c>
      <c r="G3" s="663" t="s">
        <v>77</v>
      </c>
      <c r="H3" s="663" t="s">
        <v>76</v>
      </c>
      <c r="I3" s="664" t="s">
        <v>1556</v>
      </c>
      <c r="J3" s="665" t="s">
        <v>2462</v>
      </c>
      <c r="K3" s="665" t="s">
        <v>2463</v>
      </c>
      <c r="L3" s="666" t="s">
        <v>81</v>
      </c>
      <c r="M3" s="663" t="s">
        <v>2345</v>
      </c>
      <c r="N3" s="663" t="s">
        <v>2346</v>
      </c>
      <c r="O3" s="663" t="s">
        <v>2347</v>
      </c>
      <c r="P3" s="667" t="s">
        <v>2348</v>
      </c>
      <c r="Q3" s="136"/>
      <c r="R3" s="668" t="s">
        <v>1038</v>
      </c>
      <c r="S3" s="669" t="s">
        <v>2464</v>
      </c>
      <c r="T3" s="669" t="s">
        <v>2465</v>
      </c>
      <c r="V3" s="668" t="s">
        <v>1038</v>
      </c>
      <c r="W3" s="669" t="s">
        <v>2466</v>
      </c>
      <c r="X3" s="669" t="s">
        <v>2467</v>
      </c>
    </row>
    <row r="4" spans="1:28" ht="14.25">
      <c r="A4" s="32"/>
      <c r="B4" s="670">
        <v>2004</v>
      </c>
      <c r="C4" s="671">
        <v>57</v>
      </c>
      <c r="D4" s="672">
        <v>715301961</v>
      </c>
      <c r="E4" s="673">
        <v>96695690</v>
      </c>
      <c r="F4" s="674">
        <v>9757618</v>
      </c>
      <c r="G4" s="675">
        <v>2941280</v>
      </c>
      <c r="H4" s="675">
        <v>265687</v>
      </c>
      <c r="I4" s="675">
        <v>18950</v>
      </c>
      <c r="J4" s="676">
        <f t="shared" ref="J4:J11" si="0">SUM(G4:I4)</f>
        <v>3225917</v>
      </c>
      <c r="K4" s="677">
        <f>E4/J4</f>
        <v>29.974636669201345</v>
      </c>
      <c r="L4" s="678">
        <v>1175892</v>
      </c>
      <c r="M4" s="675">
        <v>4126</v>
      </c>
      <c r="N4" s="675">
        <v>2159</v>
      </c>
      <c r="O4" s="679">
        <v>277759</v>
      </c>
      <c r="P4" s="679">
        <v>44938</v>
      </c>
      <c r="Q4" s="11"/>
      <c r="R4" s="680" t="s">
        <v>1261</v>
      </c>
      <c r="S4" s="671">
        <v>104704594</v>
      </c>
      <c r="T4" s="681">
        <f>S4*100/S9</f>
        <v>92.117640520460654</v>
      </c>
      <c r="V4" s="680" t="s">
        <v>1299</v>
      </c>
      <c r="W4" s="671">
        <v>47765359</v>
      </c>
      <c r="X4" s="681">
        <f>W4*100/W9</f>
        <v>79.712536707710228</v>
      </c>
    </row>
    <row r="5" spans="1:28" ht="14.25">
      <c r="A5" s="32"/>
      <c r="B5" s="670">
        <v>2005</v>
      </c>
      <c r="C5" s="671">
        <v>94</v>
      </c>
      <c r="D5" s="672">
        <v>225819407</v>
      </c>
      <c r="E5" s="673">
        <v>3358863</v>
      </c>
      <c r="F5" s="674">
        <v>8849388</v>
      </c>
      <c r="G5" s="675">
        <v>3544559</v>
      </c>
      <c r="H5" s="675">
        <v>494953</v>
      </c>
      <c r="I5" s="675">
        <v>312048</v>
      </c>
      <c r="J5" s="676">
        <f t="shared" si="0"/>
        <v>4351560</v>
      </c>
      <c r="K5" s="677">
        <f>E5/J5</f>
        <v>0.77187560323194437</v>
      </c>
      <c r="L5" s="678">
        <v>41028</v>
      </c>
      <c r="M5" s="675">
        <v>7380</v>
      </c>
      <c r="N5" s="675">
        <v>2850</v>
      </c>
      <c r="O5" s="679">
        <v>825</v>
      </c>
      <c r="P5" s="679">
        <v>0</v>
      </c>
      <c r="Q5" s="11"/>
      <c r="R5" s="680" t="s">
        <v>1693</v>
      </c>
      <c r="S5" s="671">
        <v>3459582</v>
      </c>
      <c r="T5" s="681">
        <f>S5*100/S9</f>
        <v>3.0436919608995985</v>
      </c>
      <c r="V5" s="680" t="s">
        <v>1261</v>
      </c>
      <c r="W5" s="682">
        <v>8200519</v>
      </c>
      <c r="X5" s="681">
        <f>W5*100/W9</f>
        <v>13.685318931859703</v>
      </c>
      <c r="Y5" s="683"/>
      <c r="Z5" s="46"/>
      <c r="AA5" s="46"/>
      <c r="AB5" s="46"/>
    </row>
    <row r="6" spans="1:28" ht="14.25">
      <c r="A6" s="32"/>
      <c r="B6" s="670">
        <v>2006</v>
      </c>
      <c r="C6" s="671">
        <v>95</v>
      </c>
      <c r="D6" s="672">
        <v>85896453</v>
      </c>
      <c r="E6" s="673">
        <v>2138419</v>
      </c>
      <c r="F6" s="674">
        <v>9320784</v>
      </c>
      <c r="G6" s="675">
        <v>2547039</v>
      </c>
      <c r="H6" s="675">
        <v>15374</v>
      </c>
      <c r="I6" s="675">
        <v>16495</v>
      </c>
      <c r="J6" s="676">
        <f t="shared" si="0"/>
        <v>2578908</v>
      </c>
      <c r="K6" s="677">
        <f t="shared" ref="K6:K12" si="1">E6/J6</f>
        <v>0.82919553547470481</v>
      </c>
      <c r="L6" s="678">
        <v>132194</v>
      </c>
      <c r="M6" s="675">
        <v>7554</v>
      </c>
      <c r="N6" s="675">
        <v>0</v>
      </c>
      <c r="O6" s="679">
        <v>259</v>
      </c>
      <c r="P6" s="679">
        <v>1508</v>
      </c>
      <c r="Q6" s="11"/>
      <c r="R6" s="680" t="s">
        <v>1299</v>
      </c>
      <c r="S6" s="671">
        <v>3381489</v>
      </c>
      <c r="T6" s="681">
        <f>S6*100/S9</f>
        <v>2.9749868293829782</v>
      </c>
      <c r="V6" s="684" t="s">
        <v>1286</v>
      </c>
      <c r="W6" s="3">
        <v>2743173</v>
      </c>
      <c r="X6" s="670">
        <v>4.58</v>
      </c>
      <c r="Y6" s="46"/>
      <c r="Z6" s="11"/>
      <c r="AA6" s="513"/>
      <c r="AB6" s="685"/>
    </row>
    <row r="7" spans="1:28" ht="14.25">
      <c r="A7" s="32"/>
      <c r="B7" s="670">
        <v>2007</v>
      </c>
      <c r="C7" s="671">
        <v>95</v>
      </c>
      <c r="D7" s="672">
        <v>124521171</v>
      </c>
      <c r="E7" s="673">
        <v>5612910</v>
      </c>
      <c r="F7" s="674">
        <v>18852348</v>
      </c>
      <c r="G7" s="675">
        <v>10499692</v>
      </c>
      <c r="H7" s="675">
        <v>128755</v>
      </c>
      <c r="I7" s="675">
        <v>95425</v>
      </c>
      <c r="J7" s="686">
        <f t="shared" si="0"/>
        <v>10723872</v>
      </c>
      <c r="K7" s="677">
        <f t="shared" si="1"/>
        <v>0.52340330059888818</v>
      </c>
      <c r="L7" s="678">
        <v>590066</v>
      </c>
      <c r="M7" s="675">
        <v>12950</v>
      </c>
      <c r="N7" s="675">
        <v>1473</v>
      </c>
      <c r="O7" s="679">
        <v>2738</v>
      </c>
      <c r="P7" s="679">
        <v>3500</v>
      </c>
      <c r="Q7" s="11"/>
      <c r="R7" s="680" t="s">
        <v>1286</v>
      </c>
      <c r="S7" s="671">
        <v>2107406</v>
      </c>
      <c r="T7" s="681">
        <f>S7*100/S9</f>
        <v>1.8540663873703758</v>
      </c>
      <c r="V7" s="680" t="s">
        <v>1260</v>
      </c>
      <c r="W7" s="671">
        <v>1006739</v>
      </c>
      <c r="X7" s="681">
        <f>W7*100/W9</f>
        <v>1.68008199190094</v>
      </c>
    </row>
    <row r="8" spans="1:28" ht="14.25">
      <c r="A8" s="32"/>
      <c r="B8" s="670">
        <v>2008</v>
      </c>
      <c r="C8" s="671">
        <v>101</v>
      </c>
      <c r="D8" s="672">
        <v>271956957</v>
      </c>
      <c r="E8" s="673">
        <v>2105139</v>
      </c>
      <c r="F8" s="674">
        <v>23198767</v>
      </c>
      <c r="G8" s="675">
        <v>3671422</v>
      </c>
      <c r="H8" s="675">
        <v>374085</v>
      </c>
      <c r="I8" s="675">
        <v>52635</v>
      </c>
      <c r="J8" s="676">
        <f t="shared" si="0"/>
        <v>4098142</v>
      </c>
      <c r="K8" s="677">
        <f t="shared" si="1"/>
        <v>0.51368132192588734</v>
      </c>
      <c r="L8" s="678">
        <v>571</v>
      </c>
      <c r="M8" s="675">
        <v>84301</v>
      </c>
      <c r="N8" s="675">
        <v>0</v>
      </c>
      <c r="O8" s="679">
        <v>50688</v>
      </c>
      <c r="P8" s="679">
        <v>0</v>
      </c>
      <c r="Q8" s="11"/>
      <c r="R8" s="680" t="s">
        <v>1260</v>
      </c>
      <c r="S8" s="671">
        <v>10928</v>
      </c>
      <c r="T8" s="681">
        <f>S8*100/S9</f>
        <v>9.6143018863870874E-3</v>
      </c>
      <c r="V8" s="680" t="s">
        <v>1693</v>
      </c>
      <c r="W8" s="671">
        <v>206226</v>
      </c>
      <c r="X8" s="681">
        <f>W8*100/W9</f>
        <v>0.34415731273126726</v>
      </c>
    </row>
    <row r="9" spans="1:28" ht="14.25">
      <c r="A9" s="32"/>
      <c r="B9" s="670">
        <v>2009</v>
      </c>
      <c r="C9" s="671">
        <v>93</v>
      </c>
      <c r="D9" s="672">
        <v>54995130</v>
      </c>
      <c r="E9" s="673">
        <v>769048</v>
      </c>
      <c r="F9" s="674">
        <v>38774110</v>
      </c>
      <c r="G9" s="675">
        <v>12435566</v>
      </c>
      <c r="H9" s="675">
        <v>174159</v>
      </c>
      <c r="I9" s="675">
        <v>120851</v>
      </c>
      <c r="J9" s="676">
        <f t="shared" si="0"/>
        <v>12730576</v>
      </c>
      <c r="K9" s="677">
        <f t="shared" si="1"/>
        <v>6.0409521140284618E-2</v>
      </c>
      <c r="L9" s="678">
        <v>137430</v>
      </c>
      <c r="M9" s="675">
        <v>37427</v>
      </c>
      <c r="N9" s="675">
        <v>554</v>
      </c>
      <c r="O9" s="679">
        <v>1313</v>
      </c>
      <c r="P9" s="679">
        <v>7200</v>
      </c>
      <c r="Q9" s="11"/>
      <c r="R9" s="687" t="s">
        <v>1505</v>
      </c>
      <c r="S9" s="688">
        <f>SUM(S4:S8)</f>
        <v>113663999</v>
      </c>
      <c r="T9" s="688">
        <f>SUM(T4:T8)</f>
        <v>100</v>
      </c>
      <c r="V9" s="687" t="s">
        <v>1505</v>
      </c>
      <c r="W9" s="688">
        <f>SUM(W4:W8)</f>
        <v>59922016</v>
      </c>
      <c r="X9" s="688">
        <f>SUM(X4:X8)</f>
        <v>100.00209494420213</v>
      </c>
    </row>
    <row r="10" spans="1:28" ht="14.25">
      <c r="A10" s="32"/>
      <c r="B10" s="670">
        <v>2010</v>
      </c>
      <c r="C10" s="689">
        <v>128</v>
      </c>
      <c r="D10" s="672">
        <v>305656574</v>
      </c>
      <c r="E10" s="673">
        <v>4454020</v>
      </c>
      <c r="F10" s="674">
        <v>17039001</v>
      </c>
      <c r="G10" s="690">
        <v>5211845</v>
      </c>
      <c r="H10" s="675">
        <v>51603</v>
      </c>
      <c r="I10" s="675">
        <v>36970</v>
      </c>
      <c r="J10" s="676">
        <f t="shared" si="0"/>
        <v>5300418</v>
      </c>
      <c r="K10" s="677">
        <f t="shared" si="1"/>
        <v>0.84031485818665619</v>
      </c>
      <c r="L10" s="678">
        <v>159875</v>
      </c>
      <c r="M10" s="679">
        <v>169536</v>
      </c>
      <c r="N10" s="679">
        <v>384</v>
      </c>
      <c r="O10" s="679">
        <v>2477</v>
      </c>
      <c r="P10" s="679">
        <v>32164</v>
      </c>
      <c r="Q10" s="11"/>
      <c r="R10" s="11"/>
    </row>
    <row r="11" spans="1:28" ht="15" thickBot="1">
      <c r="A11" s="32"/>
      <c r="B11" s="670">
        <v>2011</v>
      </c>
      <c r="C11" s="689">
        <v>111</v>
      </c>
      <c r="D11" s="672">
        <v>68778363</v>
      </c>
      <c r="E11" s="673">
        <v>970721</v>
      </c>
      <c r="F11" s="691">
        <v>27446633</v>
      </c>
      <c r="G11" s="675">
        <v>16756696</v>
      </c>
      <c r="H11" s="675">
        <v>149426</v>
      </c>
      <c r="I11" s="675">
        <v>14305</v>
      </c>
      <c r="J11" s="676">
        <f t="shared" si="0"/>
        <v>16920427</v>
      </c>
      <c r="K11" s="677">
        <f t="shared" si="1"/>
        <v>5.7369769687254345E-2</v>
      </c>
      <c r="L11" s="678">
        <v>135080</v>
      </c>
      <c r="M11" s="675">
        <v>19839</v>
      </c>
      <c r="N11" s="679">
        <v>201</v>
      </c>
      <c r="O11" s="679">
        <v>1000</v>
      </c>
      <c r="P11" s="679">
        <v>0</v>
      </c>
      <c r="Q11" s="11"/>
      <c r="R11" s="11"/>
    </row>
    <row r="12" spans="1:28">
      <c r="A12" s="33"/>
      <c r="B12" s="692" t="s">
        <v>1505</v>
      </c>
      <c r="C12" s="688">
        <f t="shared" ref="C12:P12" si="2">SUM(C4:C11)</f>
        <v>774</v>
      </c>
      <c r="D12" s="693">
        <f t="shared" si="2"/>
        <v>1852926016</v>
      </c>
      <c r="E12" s="693">
        <f t="shared" si="2"/>
        <v>116104810</v>
      </c>
      <c r="F12" s="694">
        <f t="shared" si="2"/>
        <v>153238649</v>
      </c>
      <c r="G12" s="695">
        <f>SUM(G4:G11)</f>
        <v>57608099</v>
      </c>
      <c r="H12" s="695">
        <f t="shared" ref="H12:J12" si="3">SUM(H4:H11)</f>
        <v>1654042</v>
      </c>
      <c r="I12" s="695">
        <f t="shared" si="3"/>
        <v>667679</v>
      </c>
      <c r="J12" s="696">
        <f t="shared" si="3"/>
        <v>59929820</v>
      </c>
      <c r="K12" s="697">
        <f t="shared" si="1"/>
        <v>1.9373462159572648</v>
      </c>
      <c r="L12" s="695">
        <f t="shared" si="2"/>
        <v>2372136</v>
      </c>
      <c r="M12" s="695">
        <f t="shared" si="2"/>
        <v>343113</v>
      </c>
      <c r="N12" s="695">
        <f t="shared" si="2"/>
        <v>7621</v>
      </c>
      <c r="O12" s="695">
        <f t="shared" si="2"/>
        <v>337059</v>
      </c>
      <c r="P12" s="695">
        <f t="shared" si="2"/>
        <v>89310</v>
      </c>
      <c r="Q12" s="137"/>
      <c r="R12" s="137"/>
    </row>
    <row r="16" spans="1:28" ht="71.25">
      <c r="B16" s="30" t="s">
        <v>1558</v>
      </c>
      <c r="H16" s="665" t="s">
        <v>2468</v>
      </c>
      <c r="J16" s="30" t="s">
        <v>1561</v>
      </c>
      <c r="K16" s="30"/>
    </row>
    <row r="17" spans="2:18" ht="38.25">
      <c r="B17" s="660" t="s">
        <v>1509</v>
      </c>
      <c r="C17" s="660" t="s">
        <v>2349</v>
      </c>
      <c r="D17" s="660" t="s">
        <v>2350</v>
      </c>
      <c r="E17" s="660" t="s">
        <v>2351</v>
      </c>
      <c r="F17" s="660" t="s">
        <v>2352</v>
      </c>
      <c r="G17" s="31"/>
      <c r="H17" s="698">
        <f>D4/F4</f>
        <v>73.307026468959947</v>
      </c>
      <c r="J17" s="699" t="s">
        <v>1509</v>
      </c>
      <c r="K17" s="699" t="s">
        <v>1299</v>
      </c>
      <c r="L17" s="700" t="s">
        <v>1286</v>
      </c>
      <c r="M17" s="701" t="s">
        <v>1261</v>
      </c>
      <c r="N17" s="702" t="s">
        <v>1260</v>
      </c>
      <c r="O17" s="703" t="s">
        <v>1693</v>
      </c>
      <c r="P17" s="702" t="s">
        <v>1559</v>
      </c>
      <c r="Q17" s="703" t="s">
        <v>1505</v>
      </c>
      <c r="R17" s="136"/>
    </row>
    <row r="18" spans="2:18">
      <c r="B18" s="670">
        <v>2004</v>
      </c>
      <c r="C18" s="671">
        <v>51</v>
      </c>
      <c r="D18" s="670">
        <v>6</v>
      </c>
      <c r="E18" s="671">
        <f t="shared" ref="E18:E25" si="4">SUM(A18:D18)</f>
        <v>2061</v>
      </c>
      <c r="F18" s="704">
        <f t="shared" ref="F18:F26" si="5">D18*100/E18</f>
        <v>0.29112081513828236</v>
      </c>
      <c r="G18" s="513"/>
      <c r="H18" s="698">
        <f t="shared" ref="H18:H25" si="6">D5/F5</f>
        <v>25.518081815375254</v>
      </c>
      <c r="I18" s="1">
        <f t="shared" ref="I18:I25" si="7">C18-G18</f>
        <v>51</v>
      </c>
      <c r="J18" s="705">
        <v>2011</v>
      </c>
      <c r="K18" s="705">
        <v>25</v>
      </c>
      <c r="L18" s="706">
        <v>2</v>
      </c>
      <c r="M18" s="707">
        <v>2</v>
      </c>
      <c r="N18" s="706"/>
      <c r="O18" s="705"/>
      <c r="P18" s="706"/>
      <c r="Q18" s="705">
        <f>SUM(K18:P18)</f>
        <v>29</v>
      </c>
      <c r="R18" s="138"/>
    </row>
    <row r="19" spans="2:18">
      <c r="B19" s="670">
        <v>2005</v>
      </c>
      <c r="C19" s="671">
        <v>82</v>
      </c>
      <c r="D19" s="670">
        <v>12</v>
      </c>
      <c r="E19" s="671">
        <f t="shared" si="4"/>
        <v>2099</v>
      </c>
      <c r="F19" s="704">
        <f t="shared" si="5"/>
        <v>0.57170080990948069</v>
      </c>
      <c r="G19" s="513"/>
      <c r="H19" s="698">
        <f t="shared" si="6"/>
        <v>9.2155824016520498</v>
      </c>
      <c r="I19" s="1">
        <f t="shared" si="7"/>
        <v>82</v>
      </c>
      <c r="J19" s="705">
        <v>2010</v>
      </c>
      <c r="K19" s="705">
        <v>11</v>
      </c>
      <c r="L19" s="706">
        <v>3</v>
      </c>
      <c r="M19" s="707">
        <v>0</v>
      </c>
      <c r="N19" s="707">
        <v>3</v>
      </c>
      <c r="O19" s="706"/>
      <c r="P19" s="706"/>
      <c r="Q19" s="705">
        <f t="shared" ref="Q19:Q26" si="8">SUM(K19:P19)</f>
        <v>17</v>
      </c>
      <c r="R19" s="138"/>
    </row>
    <row r="20" spans="2:18">
      <c r="B20" s="670">
        <v>2006</v>
      </c>
      <c r="C20" s="671">
        <v>74</v>
      </c>
      <c r="D20" s="670">
        <v>21</v>
      </c>
      <c r="E20" s="671">
        <f t="shared" si="4"/>
        <v>2101</v>
      </c>
      <c r="F20" s="704">
        <f t="shared" si="5"/>
        <v>0.99952403617325081</v>
      </c>
      <c r="G20" s="513"/>
      <c r="H20" s="698">
        <f t="shared" si="6"/>
        <v>6.6050749222324985</v>
      </c>
      <c r="I20" s="1">
        <f t="shared" si="7"/>
        <v>74</v>
      </c>
      <c r="J20" s="705">
        <v>2009</v>
      </c>
      <c r="K20" s="705">
        <v>14</v>
      </c>
      <c r="L20" s="706">
        <v>4</v>
      </c>
      <c r="M20" s="707">
        <v>3</v>
      </c>
      <c r="N20" s="706">
        <v>0</v>
      </c>
      <c r="O20" s="706"/>
      <c r="P20" s="707">
        <v>0</v>
      </c>
      <c r="Q20" s="705">
        <f t="shared" si="8"/>
        <v>21</v>
      </c>
      <c r="R20" s="138"/>
    </row>
    <row r="21" spans="2:18">
      <c r="B21" s="670">
        <v>2007</v>
      </c>
      <c r="C21" s="671">
        <v>79</v>
      </c>
      <c r="D21" s="670">
        <v>16</v>
      </c>
      <c r="E21" s="671">
        <f t="shared" si="4"/>
        <v>2102</v>
      </c>
      <c r="F21" s="704">
        <f t="shared" si="5"/>
        <v>0.76117982873453849</v>
      </c>
      <c r="G21" s="513"/>
      <c r="H21" s="698">
        <f t="shared" si="6"/>
        <v>11.722905661322432</v>
      </c>
      <c r="I21" s="1">
        <f t="shared" si="7"/>
        <v>79</v>
      </c>
      <c r="J21" s="705">
        <v>2008</v>
      </c>
      <c r="K21" s="705">
        <v>14</v>
      </c>
      <c r="L21" s="706">
        <v>1</v>
      </c>
      <c r="M21" s="706"/>
      <c r="N21" s="706"/>
      <c r="O21" s="706"/>
      <c r="P21" s="706"/>
      <c r="Q21" s="705">
        <f t="shared" si="8"/>
        <v>15</v>
      </c>
      <c r="R21" s="138"/>
    </row>
    <row r="22" spans="2:18">
      <c r="B22" s="670">
        <v>2008</v>
      </c>
      <c r="C22" s="671">
        <v>84</v>
      </c>
      <c r="D22" s="670">
        <v>15</v>
      </c>
      <c r="E22" s="671">
        <f t="shared" si="4"/>
        <v>2107</v>
      </c>
      <c r="F22" s="704">
        <f t="shared" si="5"/>
        <v>0.71191267204556241</v>
      </c>
      <c r="G22" s="513"/>
      <c r="H22" s="698">
        <f t="shared" si="6"/>
        <v>1.4183466751396745</v>
      </c>
      <c r="I22" s="1">
        <f t="shared" si="7"/>
        <v>84</v>
      </c>
      <c r="J22" s="705">
        <v>2007</v>
      </c>
      <c r="K22" s="705">
        <v>14</v>
      </c>
      <c r="L22" s="706">
        <v>1</v>
      </c>
      <c r="M22" s="706">
        <v>1</v>
      </c>
      <c r="N22" s="706"/>
      <c r="O22" s="706"/>
      <c r="P22" s="706"/>
      <c r="Q22" s="705">
        <f t="shared" si="8"/>
        <v>16</v>
      </c>
      <c r="R22" s="138"/>
    </row>
    <row r="23" spans="2:18">
      <c r="B23" s="670">
        <v>2009</v>
      </c>
      <c r="C23" s="671">
        <v>72</v>
      </c>
      <c r="D23" s="670">
        <v>21</v>
      </c>
      <c r="E23" s="671">
        <f t="shared" si="4"/>
        <v>2102</v>
      </c>
      <c r="F23" s="704">
        <f t="shared" si="5"/>
        <v>0.99904852521408183</v>
      </c>
      <c r="G23" s="513"/>
      <c r="H23" s="698">
        <f t="shared" si="6"/>
        <v>17.938644055481891</v>
      </c>
      <c r="I23" s="1">
        <f t="shared" si="7"/>
        <v>72</v>
      </c>
      <c r="J23" s="705">
        <v>2006</v>
      </c>
      <c r="K23" s="705">
        <v>19</v>
      </c>
      <c r="L23" s="706"/>
      <c r="M23" s="706"/>
      <c r="N23" s="706"/>
      <c r="O23" s="706">
        <v>2</v>
      </c>
      <c r="P23" s="705"/>
      <c r="Q23" s="705">
        <f t="shared" si="8"/>
        <v>21</v>
      </c>
      <c r="R23" s="138"/>
    </row>
    <row r="24" spans="2:18">
      <c r="B24" s="670">
        <v>2010</v>
      </c>
      <c r="C24" s="689">
        <v>111</v>
      </c>
      <c r="D24" s="670">
        <v>17</v>
      </c>
      <c r="E24" s="671">
        <f t="shared" si="4"/>
        <v>2138</v>
      </c>
      <c r="F24" s="704">
        <f t="shared" si="5"/>
        <v>0.79513564078578114</v>
      </c>
      <c r="G24" s="513"/>
      <c r="H24" s="698">
        <f t="shared" si="6"/>
        <v>2.5058943659865309</v>
      </c>
      <c r="I24" s="1">
        <f t="shared" si="7"/>
        <v>111</v>
      </c>
      <c r="J24" s="705">
        <v>2005</v>
      </c>
      <c r="K24" s="705">
        <v>8</v>
      </c>
      <c r="L24" s="706"/>
      <c r="M24" s="706"/>
      <c r="N24" s="706">
        <v>4</v>
      </c>
      <c r="O24" s="706"/>
      <c r="P24" s="705"/>
      <c r="Q24" s="705">
        <f t="shared" si="8"/>
        <v>12</v>
      </c>
      <c r="R24" s="138"/>
    </row>
    <row r="25" spans="2:18">
      <c r="B25" s="670">
        <v>2011</v>
      </c>
      <c r="C25" s="689">
        <v>82</v>
      </c>
      <c r="D25" s="670">
        <v>29</v>
      </c>
      <c r="E25" s="671">
        <f t="shared" si="4"/>
        <v>2122</v>
      </c>
      <c r="F25" s="704">
        <f t="shared" si="5"/>
        <v>1.3666352497643732</v>
      </c>
      <c r="G25" s="513"/>
      <c r="H25" s="708">
        <f t="shared" si="6"/>
        <v>12.09176684923658</v>
      </c>
      <c r="I25" s="1">
        <f t="shared" si="7"/>
        <v>82</v>
      </c>
      <c r="J25" s="705">
        <v>2004</v>
      </c>
      <c r="K25" s="705">
        <v>6</v>
      </c>
      <c r="L25" s="706"/>
      <c r="M25" s="706"/>
      <c r="N25" s="706"/>
      <c r="O25" s="706"/>
      <c r="P25" s="705"/>
      <c r="Q25" s="705">
        <f t="shared" si="8"/>
        <v>6</v>
      </c>
      <c r="R25" s="138"/>
    </row>
    <row r="26" spans="2:18">
      <c r="B26" s="709" t="s">
        <v>1505</v>
      </c>
      <c r="C26" s="710">
        <f>SUM(C18:C25)</f>
        <v>635</v>
      </c>
      <c r="D26" s="710">
        <f>SUM(D18:D25)</f>
        <v>137</v>
      </c>
      <c r="E26" s="710">
        <f>SUM(E18:E25)</f>
        <v>16832</v>
      </c>
      <c r="F26" s="704">
        <f t="shared" si="5"/>
        <v>0.81392585551330798</v>
      </c>
      <c r="G26" s="711"/>
      <c r="H26" s="31"/>
      <c r="J26" s="692" t="s">
        <v>1505</v>
      </c>
      <c r="K26" s="692">
        <f>SUM(K18:K25)</f>
        <v>111</v>
      </c>
      <c r="L26" s="692">
        <f t="shared" ref="L26:P26" si="9">SUM(L18:L25)</f>
        <v>11</v>
      </c>
      <c r="M26" s="692">
        <f t="shared" si="9"/>
        <v>6</v>
      </c>
      <c r="N26" s="692">
        <f t="shared" si="9"/>
        <v>7</v>
      </c>
      <c r="O26" s="692">
        <f t="shared" si="9"/>
        <v>2</v>
      </c>
      <c r="P26" s="692">
        <f t="shared" si="9"/>
        <v>0</v>
      </c>
      <c r="Q26" s="705">
        <f t="shared" si="8"/>
        <v>137</v>
      </c>
      <c r="R26" s="138"/>
    </row>
    <row r="27" spans="2:18">
      <c r="H27" s="31"/>
      <c r="J27" s="712" t="s">
        <v>1560</v>
      </c>
      <c r="K27" s="713">
        <f>K26*100/137</f>
        <v>81.021897810218974</v>
      </c>
      <c r="L27" s="713">
        <f t="shared" ref="L27:Q27" si="10">L26*100/137</f>
        <v>8.0291970802919703</v>
      </c>
      <c r="M27" s="713">
        <f t="shared" si="10"/>
        <v>4.3795620437956204</v>
      </c>
      <c r="N27" s="713">
        <f t="shared" si="10"/>
        <v>5.1094890510948909</v>
      </c>
      <c r="O27" s="713">
        <f t="shared" si="10"/>
        <v>1.4598540145985401</v>
      </c>
      <c r="P27" s="713">
        <f t="shared" si="10"/>
        <v>0</v>
      </c>
      <c r="Q27" s="713">
        <f t="shared" si="10"/>
        <v>100</v>
      </c>
      <c r="R27" s="714"/>
    </row>
    <row r="28" spans="2:18">
      <c r="J28" s="3"/>
      <c r="K28" s="3"/>
      <c r="L28" s="3"/>
      <c r="M28" s="3"/>
      <c r="N28" s="3"/>
      <c r="O28" s="3"/>
      <c r="P28" s="3"/>
      <c r="Q28" s="3"/>
      <c r="R28" s="3"/>
    </row>
    <row r="30" spans="2:18">
      <c r="B30" s="30" t="s">
        <v>1563</v>
      </c>
    </row>
    <row r="31" spans="2:18" ht="25.5">
      <c r="B31" s="660" t="s">
        <v>1509</v>
      </c>
      <c r="C31" s="660" t="s">
        <v>1554</v>
      </c>
      <c r="D31" s="660" t="s">
        <v>2353</v>
      </c>
      <c r="E31" s="660" t="s">
        <v>2354</v>
      </c>
      <c r="F31" s="660" t="s">
        <v>2355</v>
      </c>
      <c r="G31" s="660" t="s">
        <v>1562</v>
      </c>
      <c r="H31" s="31"/>
      <c r="I31" s="31"/>
    </row>
    <row r="32" spans="2:18">
      <c r="B32" s="670">
        <v>2004</v>
      </c>
      <c r="C32" s="671">
        <v>57</v>
      </c>
      <c r="D32" s="670">
        <v>6</v>
      </c>
      <c r="E32" s="670"/>
      <c r="F32" s="670">
        <f t="shared" ref="F32:F39" si="11">SUM(D32:E32)</f>
        <v>6</v>
      </c>
      <c r="G32" s="671"/>
      <c r="H32" s="32"/>
      <c r="I32" s="513"/>
    </row>
    <row r="33" spans="2:9">
      <c r="B33" s="670">
        <v>2005</v>
      </c>
      <c r="C33" s="671">
        <v>94</v>
      </c>
      <c r="D33" s="670">
        <v>12</v>
      </c>
      <c r="E33" s="670">
        <v>0</v>
      </c>
      <c r="F33" s="670">
        <f t="shared" si="11"/>
        <v>12</v>
      </c>
      <c r="G33" s="671"/>
      <c r="H33" s="32"/>
      <c r="I33" s="513"/>
    </row>
    <row r="34" spans="2:9">
      <c r="B34" s="670">
        <v>2006</v>
      </c>
      <c r="C34" s="671">
        <v>95</v>
      </c>
      <c r="D34" s="670">
        <v>21</v>
      </c>
      <c r="E34" s="670">
        <v>0</v>
      </c>
      <c r="F34" s="670">
        <f t="shared" si="11"/>
        <v>21</v>
      </c>
      <c r="G34" s="671"/>
      <c r="H34" s="32"/>
      <c r="I34" s="513"/>
    </row>
    <row r="35" spans="2:9">
      <c r="B35" s="670">
        <v>2007</v>
      </c>
      <c r="C35" s="671">
        <v>95</v>
      </c>
      <c r="D35" s="670">
        <v>16</v>
      </c>
      <c r="E35" s="670">
        <v>0</v>
      </c>
      <c r="F35" s="670">
        <f t="shared" si="11"/>
        <v>16</v>
      </c>
      <c r="G35" s="671"/>
      <c r="H35" s="32"/>
      <c r="I35" s="513"/>
    </row>
    <row r="36" spans="2:9">
      <c r="B36" s="670">
        <v>2008</v>
      </c>
      <c r="C36" s="671">
        <v>99</v>
      </c>
      <c r="D36" s="670">
        <v>15</v>
      </c>
      <c r="E36" s="670">
        <v>0</v>
      </c>
      <c r="F36" s="670">
        <f t="shared" si="11"/>
        <v>15</v>
      </c>
      <c r="G36" s="671"/>
      <c r="H36" s="32"/>
      <c r="I36" s="513"/>
    </row>
    <row r="37" spans="2:9">
      <c r="B37" s="670">
        <v>2009</v>
      </c>
      <c r="C37" s="671">
        <v>93</v>
      </c>
      <c r="D37" s="670">
        <v>20</v>
      </c>
      <c r="E37" s="670">
        <v>1</v>
      </c>
      <c r="F37" s="670">
        <f t="shared" si="11"/>
        <v>21</v>
      </c>
      <c r="G37" s="671"/>
      <c r="H37" s="32"/>
      <c r="I37" s="513"/>
    </row>
    <row r="38" spans="2:9">
      <c r="B38" s="670">
        <v>2010</v>
      </c>
      <c r="C38" s="689">
        <v>128</v>
      </c>
      <c r="D38" s="670">
        <v>9</v>
      </c>
      <c r="E38" s="670">
        <v>8</v>
      </c>
      <c r="F38" s="670">
        <f t="shared" si="11"/>
        <v>17</v>
      </c>
      <c r="G38" s="671">
        <v>2015</v>
      </c>
      <c r="H38" s="32"/>
      <c r="I38" s="513"/>
    </row>
    <row r="39" spans="2:9">
      <c r="B39" s="670">
        <v>2011</v>
      </c>
      <c r="C39" s="689">
        <v>111</v>
      </c>
      <c r="D39" s="670">
        <v>9</v>
      </c>
      <c r="E39" s="670">
        <v>20</v>
      </c>
      <c r="F39" s="670">
        <f t="shared" si="11"/>
        <v>29</v>
      </c>
      <c r="G39" s="671">
        <v>4493</v>
      </c>
      <c r="H39" s="32"/>
      <c r="I39" s="513"/>
    </row>
    <row r="40" spans="2:9">
      <c r="B40" s="692" t="s">
        <v>1505</v>
      </c>
      <c r="C40" s="688">
        <f>SUM(C32:C39)</f>
        <v>772</v>
      </c>
      <c r="D40" s="688">
        <f>SUM(D32:D39)</f>
        <v>108</v>
      </c>
      <c r="E40" s="688">
        <f>SUM(E32:E39)</f>
        <v>29</v>
      </c>
      <c r="F40" s="688">
        <f>SUM(F32:F39)</f>
        <v>137</v>
      </c>
      <c r="G40" s="688">
        <f>SUM(G32:G39)</f>
        <v>6508</v>
      </c>
      <c r="H40" s="715"/>
      <c r="I40" s="715"/>
    </row>
  </sheetData>
  <autoFilter ref="R3:T8">
    <sortState ref="R4:T8">
      <sortCondition descending="1" ref="S3:S8"/>
    </sortState>
  </autoFilter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62"/>
  <sheetViews>
    <sheetView topLeftCell="A10" zoomScale="90" zoomScaleNormal="90" zoomScalePageLayoutView="90" workbookViewId="0">
      <selection activeCell="M48" sqref="M48"/>
    </sheetView>
  </sheetViews>
  <sheetFormatPr defaultColWidth="8.85546875" defaultRowHeight="12.75"/>
  <cols>
    <col min="1" max="1" width="18.42578125" style="64" customWidth="1"/>
    <col min="2" max="2" width="8.85546875" style="64"/>
    <col min="3" max="3" width="10.42578125" style="64" customWidth="1"/>
    <col min="4" max="4" width="11.28515625" style="64" customWidth="1"/>
    <col min="5" max="5" width="12.140625" style="64" customWidth="1"/>
    <col min="6" max="6" width="11.42578125" style="64" customWidth="1"/>
    <col min="7" max="9" width="11.85546875" style="64" customWidth="1"/>
    <col min="10" max="10" width="11.42578125" style="64" customWidth="1"/>
    <col min="11" max="11" width="12.42578125" style="64" customWidth="1"/>
    <col min="12" max="12" width="13" style="64" customWidth="1"/>
    <col min="13" max="13" width="11.7109375" style="64" customWidth="1"/>
    <col min="14" max="15" width="11" style="64" customWidth="1"/>
    <col min="16" max="16" width="8.85546875" style="64" customWidth="1"/>
    <col min="17" max="17" width="8.85546875" style="64"/>
    <col min="18" max="18" width="10.42578125" style="64" customWidth="1"/>
    <col min="19" max="19" width="11.28515625" style="64" customWidth="1"/>
    <col min="20" max="21" width="11.42578125" style="64" customWidth="1"/>
    <col min="22" max="22" width="11.28515625" style="64" customWidth="1"/>
    <col min="23" max="23" width="10.7109375" style="64" customWidth="1"/>
    <col min="24" max="24" width="8.85546875" style="64"/>
    <col min="25" max="25" width="11.42578125" style="64" customWidth="1"/>
    <col min="26" max="26" width="12.42578125" style="64" customWidth="1"/>
    <col min="27" max="27" width="14" style="64" customWidth="1"/>
    <col min="28" max="28" width="8.85546875" style="64"/>
    <col min="29" max="29" width="8.85546875" style="66"/>
    <col min="30" max="16384" width="8.85546875" style="64"/>
  </cols>
  <sheetData>
    <row r="2" spans="2:29">
      <c r="S2" s="65"/>
      <c r="T2" s="65"/>
    </row>
    <row r="3" spans="2:29">
      <c r="E3" s="716" t="s">
        <v>546</v>
      </c>
      <c r="F3" s="716" t="s">
        <v>2318</v>
      </c>
      <c r="G3" s="716" t="s">
        <v>2319</v>
      </c>
      <c r="H3" s="67"/>
      <c r="I3" s="67"/>
      <c r="J3" s="67"/>
      <c r="K3" s="67"/>
      <c r="L3" s="67"/>
      <c r="M3" s="67"/>
      <c r="N3" s="67"/>
      <c r="O3" s="67"/>
      <c r="S3" s="68"/>
      <c r="T3" s="68"/>
    </row>
    <row r="4" spans="2:29">
      <c r="C4" s="69"/>
      <c r="D4" s="69"/>
      <c r="E4" s="717" t="s">
        <v>168</v>
      </c>
      <c r="F4" s="718">
        <v>56</v>
      </c>
      <c r="G4" s="719">
        <f>F4*100/F13</f>
        <v>40.875912408759127</v>
      </c>
      <c r="H4" s="67"/>
      <c r="I4" s="67"/>
      <c r="J4" s="67"/>
      <c r="K4" s="67"/>
      <c r="L4" s="67"/>
      <c r="M4" s="67"/>
      <c r="N4" s="67"/>
      <c r="O4" s="67"/>
      <c r="S4" s="68"/>
      <c r="T4" s="68"/>
    </row>
    <row r="5" spans="2:29" s="76" customFormat="1">
      <c r="B5" s="65"/>
      <c r="C5" s="65"/>
      <c r="D5" s="65"/>
      <c r="E5" s="720" t="s">
        <v>569</v>
      </c>
      <c r="F5" s="721">
        <v>15</v>
      </c>
      <c r="G5" s="719">
        <f>F5*100/F13</f>
        <v>10.948905109489051</v>
      </c>
      <c r="H5" s="70"/>
      <c r="I5" s="70"/>
      <c r="J5" s="70"/>
      <c r="K5" s="71"/>
      <c r="L5" s="70"/>
      <c r="M5" s="70"/>
      <c r="N5" s="70"/>
      <c r="O5" s="72"/>
      <c r="P5" s="73"/>
      <c r="Q5" s="74"/>
      <c r="R5" s="71"/>
      <c r="S5" s="71"/>
      <c r="T5" s="71"/>
      <c r="U5" s="71"/>
      <c r="V5" s="71"/>
      <c r="W5" s="75"/>
      <c r="X5" s="65"/>
      <c r="AC5" s="77"/>
    </row>
    <row r="6" spans="2:29">
      <c r="B6" s="68"/>
      <c r="C6" s="68"/>
      <c r="D6" s="68"/>
      <c r="E6" s="722" t="s">
        <v>468</v>
      </c>
      <c r="F6" s="723">
        <v>14</v>
      </c>
      <c r="G6" s="719">
        <f>F6*100/F13</f>
        <v>10.218978102189782</v>
      </c>
      <c r="H6" s="78"/>
      <c r="I6" s="78"/>
      <c r="J6" s="78"/>
      <c r="K6" s="79"/>
      <c r="L6" s="79"/>
      <c r="M6" s="79"/>
      <c r="N6" s="79"/>
      <c r="O6" s="78"/>
      <c r="P6" s="80"/>
      <c r="Q6" s="81"/>
      <c r="R6" s="82"/>
      <c r="S6" s="82"/>
      <c r="T6" s="82"/>
      <c r="U6" s="82"/>
      <c r="V6" s="82"/>
      <c r="W6" s="83"/>
      <c r="X6" s="82"/>
    </row>
    <row r="7" spans="2:29">
      <c r="B7" s="68"/>
      <c r="C7" s="68"/>
      <c r="D7" s="68"/>
      <c r="E7" s="720" t="s">
        <v>228</v>
      </c>
      <c r="F7" s="723">
        <v>10</v>
      </c>
      <c r="G7" s="719">
        <f>F7*100/F13</f>
        <v>7.2992700729927007</v>
      </c>
      <c r="H7" s="78"/>
      <c r="I7" s="78"/>
      <c r="J7" s="78"/>
      <c r="K7" s="79"/>
      <c r="L7" s="79"/>
      <c r="M7" s="79"/>
      <c r="N7" s="79"/>
      <c r="O7" s="78"/>
      <c r="P7" s="80"/>
      <c r="Q7" s="81"/>
      <c r="R7" s="68"/>
      <c r="S7" s="68"/>
      <c r="T7" s="68"/>
      <c r="U7" s="68"/>
      <c r="V7" s="68"/>
      <c r="W7" s="83"/>
      <c r="X7" s="68"/>
    </row>
    <row r="8" spans="2:29">
      <c r="B8" s="68"/>
      <c r="C8" s="68"/>
      <c r="D8" s="68"/>
      <c r="E8" s="720" t="s">
        <v>1725</v>
      </c>
      <c r="F8" s="723">
        <v>8</v>
      </c>
      <c r="G8" s="719">
        <f>F8*100/F13</f>
        <v>5.8394160583941606</v>
      </c>
      <c r="H8" s="78"/>
      <c r="I8" s="78"/>
      <c r="J8" s="78"/>
      <c r="K8" s="79"/>
      <c r="L8" s="79"/>
      <c r="M8" s="79"/>
      <c r="N8" s="79"/>
      <c r="O8" s="78"/>
      <c r="P8" s="80"/>
      <c r="Q8" s="81"/>
      <c r="R8" s="68"/>
      <c r="S8" s="68"/>
      <c r="T8" s="68"/>
      <c r="U8" s="68"/>
      <c r="V8" s="68"/>
      <c r="W8" s="83"/>
      <c r="X8" s="68"/>
    </row>
    <row r="9" spans="2:29">
      <c r="B9" s="68"/>
      <c r="C9" s="68"/>
      <c r="D9" s="68"/>
      <c r="E9" s="717" t="s">
        <v>846</v>
      </c>
      <c r="F9" s="723">
        <v>7</v>
      </c>
      <c r="G9" s="719">
        <f>F9*100/F13</f>
        <v>5.1094890510948909</v>
      </c>
      <c r="H9" s="78"/>
      <c r="I9" s="78"/>
      <c r="J9" s="78"/>
      <c r="K9" s="79"/>
      <c r="L9" s="79"/>
      <c r="M9" s="79"/>
      <c r="N9" s="79"/>
      <c r="O9" s="78"/>
      <c r="P9" s="80"/>
      <c r="Q9" s="81"/>
      <c r="R9" s="68"/>
      <c r="S9" s="68"/>
      <c r="T9" s="68"/>
      <c r="U9" s="68"/>
      <c r="V9" s="68"/>
      <c r="W9" s="83"/>
      <c r="X9" s="68"/>
    </row>
    <row r="10" spans="2:29">
      <c r="B10" s="68"/>
      <c r="C10" s="68"/>
      <c r="D10" s="68"/>
      <c r="E10" s="717" t="s">
        <v>2320</v>
      </c>
      <c r="F10" s="723">
        <v>6</v>
      </c>
      <c r="G10" s="719">
        <f>F10*100/F13</f>
        <v>4.3795620437956204</v>
      </c>
      <c r="H10" s="78"/>
      <c r="I10" s="78"/>
      <c r="J10" s="78"/>
      <c r="K10" s="78"/>
      <c r="L10" s="79"/>
      <c r="M10" s="78"/>
      <c r="N10" s="79"/>
      <c r="O10" s="78"/>
      <c r="P10" s="80"/>
      <c r="Q10" s="81"/>
      <c r="R10" s="68"/>
      <c r="S10" s="68"/>
      <c r="T10" s="68"/>
      <c r="U10" s="68"/>
      <c r="V10" s="68"/>
      <c r="W10" s="83"/>
      <c r="X10" s="68"/>
    </row>
    <row r="11" spans="2:29">
      <c r="B11" s="68"/>
      <c r="C11" s="68"/>
      <c r="D11" s="68"/>
      <c r="E11" s="724" t="s">
        <v>1726</v>
      </c>
      <c r="F11" s="723">
        <v>5</v>
      </c>
      <c r="G11" s="719">
        <f>F11*100/F13</f>
        <v>3.6496350364963503</v>
      </c>
      <c r="H11" s="78"/>
      <c r="I11" s="78"/>
      <c r="J11" s="78"/>
      <c r="K11" s="78"/>
      <c r="L11" s="78"/>
      <c r="M11" s="79"/>
      <c r="N11" s="79"/>
      <c r="O11" s="78"/>
      <c r="P11" s="80"/>
      <c r="Q11" s="81"/>
      <c r="R11" s="68"/>
      <c r="S11" s="68"/>
      <c r="T11" s="68"/>
      <c r="U11" s="68"/>
      <c r="V11" s="68"/>
      <c r="W11" s="83"/>
      <c r="X11" s="68"/>
    </row>
    <row r="12" spans="2:29">
      <c r="B12" s="68"/>
      <c r="C12" s="68"/>
      <c r="D12" s="68"/>
      <c r="E12" s="717" t="s">
        <v>2321</v>
      </c>
      <c r="F12" s="723">
        <f>SUM(D27,E27,F27,G27,I27,N27,O27,U27)</f>
        <v>16</v>
      </c>
      <c r="G12" s="719">
        <f>F12*100/F13</f>
        <v>11.678832116788321</v>
      </c>
      <c r="H12" s="78"/>
      <c r="I12" s="78"/>
      <c r="J12" s="78"/>
      <c r="K12" s="78"/>
      <c r="L12" s="79"/>
      <c r="M12" s="79"/>
      <c r="N12" s="79"/>
      <c r="O12" s="78"/>
      <c r="P12" s="80"/>
      <c r="Q12" s="81"/>
      <c r="R12" s="68"/>
      <c r="S12" s="68"/>
      <c r="T12" s="68"/>
      <c r="U12" s="68"/>
      <c r="V12" s="68"/>
      <c r="W12" s="83"/>
      <c r="X12" s="68"/>
    </row>
    <row r="13" spans="2:29" s="66" customFormat="1">
      <c r="B13" s="84"/>
      <c r="C13" s="84"/>
      <c r="D13" s="84"/>
      <c r="E13" s="716" t="s">
        <v>1505</v>
      </c>
      <c r="F13" s="725">
        <f>SUM(F4:F12)</f>
        <v>137</v>
      </c>
      <c r="G13" s="725">
        <f>SUM(G4:G12)</f>
        <v>100</v>
      </c>
      <c r="H13" s="85"/>
      <c r="I13" s="85"/>
      <c r="J13" s="85"/>
      <c r="K13" s="85"/>
      <c r="L13" s="85"/>
      <c r="M13" s="85"/>
      <c r="N13" s="85"/>
      <c r="O13" s="85"/>
      <c r="P13" s="85"/>
      <c r="Q13" s="86"/>
      <c r="R13" s="84"/>
      <c r="S13" s="84"/>
      <c r="T13" s="84"/>
      <c r="U13" s="84"/>
      <c r="V13" s="84"/>
      <c r="W13" s="86"/>
      <c r="X13" s="84"/>
    </row>
    <row r="14" spans="2:29" s="66" customFormat="1">
      <c r="B14" s="84"/>
      <c r="C14" s="84"/>
      <c r="D14" s="84"/>
      <c r="E14" s="84"/>
      <c r="F14" s="84"/>
      <c r="G14" s="87"/>
      <c r="H14" s="85"/>
      <c r="I14" s="88"/>
      <c r="J14" s="88"/>
      <c r="K14" s="88"/>
      <c r="L14" s="88"/>
      <c r="M14" s="88"/>
      <c r="N14" s="88"/>
      <c r="O14" s="88"/>
      <c r="P14" s="87"/>
      <c r="Q14" s="89"/>
      <c r="R14" s="89"/>
      <c r="S14" s="89"/>
      <c r="T14" s="89"/>
      <c r="U14" s="89"/>
      <c r="V14" s="89"/>
      <c r="W14" s="89"/>
      <c r="X14" s="89"/>
    </row>
    <row r="15" spans="2:29" s="66" customFormat="1">
      <c r="B15" s="84"/>
      <c r="C15" s="84"/>
      <c r="D15" s="84"/>
      <c r="E15" s="84"/>
      <c r="F15" s="84"/>
      <c r="G15" s="87"/>
      <c r="H15" s="84"/>
      <c r="I15" s="87"/>
      <c r="J15" s="87"/>
      <c r="K15" s="87"/>
      <c r="L15" s="87"/>
      <c r="M15" s="87"/>
      <c r="N15" s="87"/>
      <c r="O15" s="87"/>
      <c r="P15" s="87"/>
      <c r="Q15" s="89"/>
      <c r="R15" s="89"/>
      <c r="S15" s="89"/>
      <c r="T15" s="89"/>
      <c r="U15" s="89"/>
      <c r="V15" s="89"/>
      <c r="W15" s="89"/>
      <c r="X15" s="89"/>
    </row>
    <row r="16" spans="2:29">
      <c r="C16" s="64" t="s">
        <v>1715</v>
      </c>
      <c r="Q16" s="69"/>
      <c r="R16" s="69"/>
      <c r="S16" s="69"/>
      <c r="T16" s="69"/>
    </row>
    <row r="17" spans="2:29" ht="25.5">
      <c r="C17" s="1070" t="s">
        <v>1509</v>
      </c>
      <c r="D17" s="1072" t="s">
        <v>1716</v>
      </c>
      <c r="E17" s="1073"/>
      <c r="F17" s="1073"/>
      <c r="G17" s="1073"/>
      <c r="H17" s="1073"/>
      <c r="I17" s="1073"/>
      <c r="J17" s="1073"/>
      <c r="K17" s="1073"/>
      <c r="L17" s="1073"/>
      <c r="M17" s="1073"/>
      <c r="N17" s="1073"/>
      <c r="O17" s="1073"/>
      <c r="P17" s="1074"/>
      <c r="Q17" s="1075" t="s">
        <v>1717</v>
      </c>
      <c r="R17" s="1076"/>
      <c r="S17" s="1076"/>
      <c r="T17" s="1074"/>
      <c r="U17" s="726" t="s">
        <v>1718</v>
      </c>
      <c r="V17" s="1077" t="s">
        <v>1719</v>
      </c>
      <c r="W17" s="69"/>
      <c r="X17" s="65"/>
      <c r="Y17" s="65"/>
      <c r="Z17" s="69"/>
      <c r="AA17" s="69"/>
      <c r="AB17" s="69"/>
      <c r="AC17" s="90"/>
    </row>
    <row r="18" spans="2:29" s="76" customFormat="1" ht="38.25">
      <c r="B18" s="65"/>
      <c r="C18" s="1071"/>
      <c r="D18" s="720" t="s">
        <v>1720</v>
      </c>
      <c r="E18" s="720" t="s">
        <v>1721</v>
      </c>
      <c r="F18" s="721" t="s">
        <v>1722</v>
      </c>
      <c r="G18" s="720" t="s">
        <v>1723</v>
      </c>
      <c r="H18" s="720" t="s">
        <v>1724</v>
      </c>
      <c r="I18" s="721" t="s">
        <v>731</v>
      </c>
      <c r="J18" s="720" t="s">
        <v>228</v>
      </c>
      <c r="K18" s="720" t="s">
        <v>1725</v>
      </c>
      <c r="L18" s="722" t="s">
        <v>468</v>
      </c>
      <c r="M18" s="724" t="s">
        <v>1726</v>
      </c>
      <c r="N18" s="724" t="s">
        <v>1727</v>
      </c>
      <c r="O18" s="724" t="s">
        <v>1728</v>
      </c>
      <c r="P18" s="727" t="s">
        <v>1729</v>
      </c>
      <c r="Q18" s="720" t="s">
        <v>1243</v>
      </c>
      <c r="R18" s="720" t="s">
        <v>168</v>
      </c>
      <c r="S18" s="721" t="s">
        <v>569</v>
      </c>
      <c r="T18" s="728" t="s">
        <v>1730</v>
      </c>
      <c r="U18" s="729" t="s">
        <v>1731</v>
      </c>
      <c r="V18" s="1077"/>
      <c r="W18" s="65"/>
      <c r="X18" s="68"/>
      <c r="Y18" s="68"/>
      <c r="Z18" s="65"/>
      <c r="AA18" s="65"/>
      <c r="AB18" s="65"/>
      <c r="AC18" s="91"/>
    </row>
    <row r="19" spans="2:29">
      <c r="B19" s="68"/>
      <c r="C19" s="730">
        <v>2011</v>
      </c>
      <c r="D19" s="718">
        <v>1</v>
      </c>
      <c r="E19" s="718"/>
      <c r="F19" s="92">
        <v>1</v>
      </c>
      <c r="G19" s="718">
        <v>1</v>
      </c>
      <c r="H19" s="718">
        <v>2</v>
      </c>
      <c r="I19" s="718"/>
      <c r="J19" s="718">
        <v>5</v>
      </c>
      <c r="K19" s="718">
        <v>2</v>
      </c>
      <c r="L19" s="718">
        <v>3</v>
      </c>
      <c r="M19" s="718">
        <v>1</v>
      </c>
      <c r="N19" s="718"/>
      <c r="O19" s="718"/>
      <c r="P19" s="731">
        <f>SUM(D19:O19)</f>
        <v>16</v>
      </c>
      <c r="Q19" s="718"/>
      <c r="R19" s="718">
        <v>12</v>
      </c>
      <c r="S19" s="718">
        <v>1</v>
      </c>
      <c r="T19" s="732">
        <f>SUM(Q19:S19)</f>
        <v>13</v>
      </c>
      <c r="U19" s="733"/>
      <c r="V19" s="734">
        <f>SUM(P19,T19,U19)</f>
        <v>29</v>
      </c>
      <c r="W19" s="68"/>
      <c r="X19" s="68"/>
      <c r="Y19" s="82"/>
      <c r="Z19" s="68"/>
      <c r="AA19" s="68"/>
      <c r="AB19" s="68"/>
      <c r="AC19" s="84"/>
    </row>
    <row r="20" spans="2:29" s="93" customFormat="1">
      <c r="B20" s="82"/>
      <c r="C20" s="730">
        <v>2010</v>
      </c>
      <c r="D20" s="735"/>
      <c r="E20" s="735"/>
      <c r="F20" s="735"/>
      <c r="G20" s="735"/>
      <c r="H20" s="735">
        <v>2</v>
      </c>
      <c r="I20" s="735"/>
      <c r="J20" s="735"/>
      <c r="K20" s="735">
        <v>4</v>
      </c>
      <c r="L20" s="735">
        <v>1</v>
      </c>
      <c r="M20" s="735">
        <v>2</v>
      </c>
      <c r="N20" s="735"/>
      <c r="O20" s="735">
        <v>1</v>
      </c>
      <c r="P20" s="731">
        <f t="shared" ref="P20:P26" si="0">SUM(D20:O20)</f>
        <v>10</v>
      </c>
      <c r="Q20" s="735">
        <v>1</v>
      </c>
      <c r="R20" s="735">
        <v>5</v>
      </c>
      <c r="S20" s="735">
        <v>1</v>
      </c>
      <c r="T20" s="732">
        <f t="shared" ref="T20:T26" si="1">SUM(Q20:S20)</f>
        <v>7</v>
      </c>
      <c r="U20" s="733"/>
      <c r="V20" s="734">
        <f t="shared" ref="V20:V27" si="2">SUM(P20,T20,U20)</f>
        <v>17</v>
      </c>
      <c r="W20" s="82"/>
      <c r="X20" s="82"/>
      <c r="Y20" s="82"/>
      <c r="Z20" s="82"/>
      <c r="AA20" s="82"/>
      <c r="AB20" s="82"/>
      <c r="AC20" s="85"/>
    </row>
    <row r="21" spans="2:29" s="93" customFormat="1">
      <c r="B21" s="82"/>
      <c r="C21" s="730">
        <v>2009</v>
      </c>
      <c r="D21" s="735"/>
      <c r="E21" s="735"/>
      <c r="F21" s="735"/>
      <c r="G21" s="735">
        <v>1</v>
      </c>
      <c r="H21" s="735"/>
      <c r="I21" s="735">
        <v>1</v>
      </c>
      <c r="J21" s="735">
        <v>1</v>
      </c>
      <c r="K21" s="735">
        <v>1</v>
      </c>
      <c r="L21" s="735">
        <v>7</v>
      </c>
      <c r="M21" s="735"/>
      <c r="N21" s="735"/>
      <c r="O21" s="735"/>
      <c r="P21" s="731">
        <f t="shared" si="0"/>
        <v>11</v>
      </c>
      <c r="Q21" s="735">
        <v>1</v>
      </c>
      <c r="R21" s="735">
        <v>6</v>
      </c>
      <c r="S21" s="735">
        <v>3</v>
      </c>
      <c r="T21" s="732">
        <f t="shared" si="1"/>
        <v>10</v>
      </c>
      <c r="U21" s="733"/>
      <c r="V21" s="734">
        <f t="shared" si="2"/>
        <v>21</v>
      </c>
      <c r="W21" s="82"/>
      <c r="X21" s="82"/>
      <c r="Y21" s="82"/>
      <c r="Z21" s="82"/>
      <c r="AA21" s="82"/>
      <c r="AB21" s="82"/>
      <c r="AC21" s="85"/>
    </row>
    <row r="22" spans="2:29" s="93" customFormat="1">
      <c r="B22" s="82"/>
      <c r="C22" s="730">
        <v>2008</v>
      </c>
      <c r="D22" s="735"/>
      <c r="E22" s="735"/>
      <c r="F22" s="735">
        <v>1</v>
      </c>
      <c r="G22" s="735"/>
      <c r="H22" s="735"/>
      <c r="I22" s="735"/>
      <c r="J22" s="735">
        <v>1</v>
      </c>
      <c r="K22" s="735"/>
      <c r="L22" s="735">
        <v>1</v>
      </c>
      <c r="M22" s="735"/>
      <c r="N22" s="735"/>
      <c r="O22" s="735"/>
      <c r="P22" s="731">
        <f t="shared" si="0"/>
        <v>3</v>
      </c>
      <c r="Q22" s="735">
        <v>1</v>
      </c>
      <c r="R22" s="735">
        <v>7</v>
      </c>
      <c r="S22" s="735">
        <v>4</v>
      </c>
      <c r="T22" s="732">
        <f t="shared" si="1"/>
        <v>12</v>
      </c>
      <c r="U22" s="733"/>
      <c r="V22" s="734">
        <f t="shared" si="2"/>
        <v>15</v>
      </c>
      <c r="W22" s="82"/>
      <c r="X22" s="82"/>
      <c r="Y22" s="82"/>
      <c r="Z22" s="82"/>
      <c r="AA22" s="82"/>
      <c r="AB22" s="82"/>
      <c r="AC22" s="85"/>
    </row>
    <row r="23" spans="2:29" s="93" customFormat="1">
      <c r="B23" s="82"/>
      <c r="C23" s="735">
        <v>2007</v>
      </c>
      <c r="D23" s="735"/>
      <c r="E23" s="735"/>
      <c r="F23" s="735"/>
      <c r="G23" s="735">
        <v>2</v>
      </c>
      <c r="H23" s="735">
        <v>1</v>
      </c>
      <c r="I23" s="735"/>
      <c r="J23" s="735">
        <v>1</v>
      </c>
      <c r="K23" s="735"/>
      <c r="L23" s="735">
        <v>2</v>
      </c>
      <c r="M23" s="735">
        <v>1</v>
      </c>
      <c r="N23" s="735">
        <v>1</v>
      </c>
      <c r="O23" s="735"/>
      <c r="P23" s="731">
        <f t="shared" si="0"/>
        <v>8</v>
      </c>
      <c r="Q23" s="735">
        <v>1</v>
      </c>
      <c r="R23" s="735">
        <v>3</v>
      </c>
      <c r="S23" s="735">
        <v>4</v>
      </c>
      <c r="T23" s="732">
        <f t="shared" si="1"/>
        <v>8</v>
      </c>
      <c r="U23" s="733"/>
      <c r="V23" s="734">
        <f t="shared" si="2"/>
        <v>16</v>
      </c>
      <c r="W23" s="82"/>
      <c r="X23" s="82"/>
      <c r="Y23" s="82"/>
      <c r="Z23" s="82"/>
      <c r="AA23" s="82"/>
      <c r="AB23" s="82"/>
      <c r="AC23" s="85"/>
    </row>
    <row r="24" spans="2:29" s="93" customFormat="1">
      <c r="B24" s="82"/>
      <c r="C24" s="730">
        <v>2006</v>
      </c>
      <c r="D24" s="735"/>
      <c r="E24" s="735">
        <v>2</v>
      </c>
      <c r="F24" s="735"/>
      <c r="G24" s="735"/>
      <c r="H24" s="735">
        <v>1</v>
      </c>
      <c r="I24" s="735"/>
      <c r="J24" s="735"/>
      <c r="K24" s="735">
        <v>1</v>
      </c>
      <c r="L24" s="735"/>
      <c r="M24" s="735">
        <v>1</v>
      </c>
      <c r="N24" s="735"/>
      <c r="O24" s="735"/>
      <c r="P24" s="731">
        <f t="shared" si="0"/>
        <v>5</v>
      </c>
      <c r="Q24" s="735">
        <v>1</v>
      </c>
      <c r="R24" s="735">
        <v>12</v>
      </c>
      <c r="S24" s="735">
        <v>2</v>
      </c>
      <c r="T24" s="732">
        <f t="shared" si="1"/>
        <v>15</v>
      </c>
      <c r="U24" s="733">
        <v>1</v>
      </c>
      <c r="V24" s="734">
        <f t="shared" si="2"/>
        <v>21</v>
      </c>
      <c r="W24" s="82"/>
      <c r="X24" s="82"/>
      <c r="Y24" s="82"/>
      <c r="Z24" s="82"/>
      <c r="AA24" s="82"/>
      <c r="AB24" s="82"/>
      <c r="AC24" s="85"/>
    </row>
    <row r="25" spans="2:29" s="93" customFormat="1">
      <c r="B25" s="82"/>
      <c r="C25" s="730">
        <v>2005</v>
      </c>
      <c r="D25" s="735"/>
      <c r="E25" s="735">
        <v>2</v>
      </c>
      <c r="F25" s="735"/>
      <c r="G25" s="735"/>
      <c r="H25" s="735"/>
      <c r="I25" s="735"/>
      <c r="J25" s="735">
        <v>2</v>
      </c>
      <c r="K25" s="735"/>
      <c r="L25" s="735"/>
      <c r="M25" s="735"/>
      <c r="N25" s="735">
        <v>1</v>
      </c>
      <c r="O25" s="735"/>
      <c r="P25" s="731">
        <f t="shared" si="0"/>
        <v>5</v>
      </c>
      <c r="Q25" s="735">
        <v>1</v>
      </c>
      <c r="R25" s="735">
        <v>6</v>
      </c>
      <c r="S25" s="735"/>
      <c r="T25" s="732">
        <f t="shared" si="1"/>
        <v>7</v>
      </c>
      <c r="U25" s="733"/>
      <c r="V25" s="734">
        <f t="shared" si="2"/>
        <v>12</v>
      </c>
      <c r="W25" s="82"/>
      <c r="X25" s="82"/>
      <c r="Y25" s="82"/>
      <c r="Z25" s="82"/>
      <c r="AA25" s="82"/>
      <c r="AB25" s="82"/>
      <c r="AC25" s="85"/>
    </row>
    <row r="26" spans="2:29" s="93" customFormat="1">
      <c r="B26" s="82"/>
      <c r="C26" s="730">
        <v>2004</v>
      </c>
      <c r="D26" s="735"/>
      <c r="E26" s="735"/>
      <c r="F26" s="735"/>
      <c r="G26" s="735"/>
      <c r="H26" s="735">
        <v>1</v>
      </c>
      <c r="I26" s="735"/>
      <c r="J26" s="735"/>
      <c r="K26" s="735"/>
      <c r="L26" s="735"/>
      <c r="M26" s="735"/>
      <c r="N26" s="735"/>
      <c r="O26" s="735"/>
      <c r="P26" s="731">
        <f t="shared" si="0"/>
        <v>1</v>
      </c>
      <c r="Q26" s="735"/>
      <c r="R26" s="735">
        <v>5</v>
      </c>
      <c r="S26" s="735"/>
      <c r="T26" s="732">
        <f t="shared" si="1"/>
        <v>5</v>
      </c>
      <c r="U26" s="733"/>
      <c r="V26" s="734">
        <f t="shared" si="2"/>
        <v>6</v>
      </c>
      <c r="W26" s="82"/>
      <c r="X26" s="85"/>
      <c r="Y26" s="82"/>
      <c r="Z26" s="82"/>
      <c r="AA26" s="82"/>
      <c r="AB26" s="82"/>
      <c r="AC26" s="85"/>
    </row>
    <row r="27" spans="2:29" s="66" customFormat="1">
      <c r="B27" s="84"/>
      <c r="C27" s="736" t="s">
        <v>1505</v>
      </c>
      <c r="D27" s="737">
        <f>SUM(D19:D26)</f>
        <v>1</v>
      </c>
      <c r="E27" s="737">
        <f t="shared" ref="E27:U27" si="3">SUM(E19:E26)</f>
        <v>4</v>
      </c>
      <c r="F27" s="737">
        <f t="shared" si="3"/>
        <v>2</v>
      </c>
      <c r="G27" s="737">
        <f t="shared" si="3"/>
        <v>4</v>
      </c>
      <c r="H27" s="737">
        <f t="shared" si="3"/>
        <v>7</v>
      </c>
      <c r="I27" s="737">
        <f t="shared" si="3"/>
        <v>1</v>
      </c>
      <c r="J27" s="737">
        <f t="shared" si="3"/>
        <v>10</v>
      </c>
      <c r="K27" s="737">
        <f t="shared" si="3"/>
        <v>8</v>
      </c>
      <c r="L27" s="737">
        <f t="shared" si="3"/>
        <v>14</v>
      </c>
      <c r="M27" s="737">
        <f t="shared" si="3"/>
        <v>5</v>
      </c>
      <c r="N27" s="737">
        <f t="shared" si="3"/>
        <v>2</v>
      </c>
      <c r="O27" s="737">
        <f t="shared" si="3"/>
        <v>1</v>
      </c>
      <c r="P27" s="738">
        <f t="shared" si="3"/>
        <v>59</v>
      </c>
      <c r="Q27" s="737">
        <f t="shared" si="3"/>
        <v>6</v>
      </c>
      <c r="R27" s="737">
        <f>SUM(R19:R26)</f>
        <v>56</v>
      </c>
      <c r="S27" s="737">
        <f>SUM(S19:S26)</f>
        <v>15</v>
      </c>
      <c r="T27" s="739">
        <f>SUM(T19:T26)</f>
        <v>77</v>
      </c>
      <c r="U27" s="740">
        <f t="shared" si="3"/>
        <v>1</v>
      </c>
      <c r="V27" s="741">
        <f t="shared" si="2"/>
        <v>137</v>
      </c>
      <c r="W27" s="84"/>
      <c r="X27" s="84"/>
      <c r="Y27" s="84"/>
      <c r="Z27" s="84"/>
      <c r="AA27" s="84"/>
      <c r="AB27" s="84"/>
      <c r="AC27" s="86"/>
    </row>
    <row r="28" spans="2:29">
      <c r="B28" s="94"/>
      <c r="C28" s="94" t="s">
        <v>1732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5"/>
      <c r="Q28" s="95"/>
      <c r="R28" s="95"/>
      <c r="S28" s="95"/>
      <c r="T28" s="95"/>
      <c r="U28" s="95"/>
      <c r="V28" s="94"/>
      <c r="W28" s="94"/>
      <c r="X28" s="94"/>
      <c r="Y28" s="94"/>
      <c r="Z28" s="94"/>
      <c r="AA28" s="94"/>
    </row>
    <row r="29" spans="2:29">
      <c r="C29" s="64" t="s">
        <v>1733</v>
      </c>
    </row>
    <row r="31" spans="2:29">
      <c r="B31" s="69"/>
      <c r="C31" s="69"/>
      <c r="D31" s="69"/>
      <c r="E31" s="69"/>
      <c r="F31" s="69"/>
      <c r="G31" s="69"/>
      <c r="H31" s="69"/>
      <c r="I31" s="69"/>
      <c r="K31" s="69"/>
      <c r="L31" s="69"/>
      <c r="M31" s="69"/>
      <c r="N31" s="69"/>
      <c r="O31" s="69"/>
      <c r="R31" s="64" t="s">
        <v>1734</v>
      </c>
    </row>
    <row r="32" spans="2:29" ht="30">
      <c r="B32" s="65"/>
      <c r="C32" s="64" t="s">
        <v>1734</v>
      </c>
      <c r="H32" s="96"/>
      <c r="I32" s="96"/>
      <c r="J32" s="96"/>
      <c r="K32" s="65"/>
      <c r="L32" s="65"/>
      <c r="M32" s="65"/>
      <c r="N32" s="65"/>
      <c r="O32" s="96"/>
      <c r="P32" s="96"/>
      <c r="R32" s="721" t="s">
        <v>1509</v>
      </c>
      <c r="S32" s="742" t="s">
        <v>1717</v>
      </c>
      <c r="T32" s="742" t="s">
        <v>1716</v>
      </c>
      <c r="U32" s="742" t="s">
        <v>1718</v>
      </c>
      <c r="V32" s="742" t="s">
        <v>1505</v>
      </c>
      <c r="X32" s="97"/>
      <c r="Y32" s="97"/>
      <c r="Z32" s="97"/>
      <c r="AA32" s="97"/>
    </row>
    <row r="33" spans="1:29" ht="43.5" customHeight="1">
      <c r="B33" s="65"/>
      <c r="C33" s="721" t="s">
        <v>1509</v>
      </c>
      <c r="D33" s="743" t="s">
        <v>1717</v>
      </c>
      <c r="E33" s="743" t="s">
        <v>1716</v>
      </c>
      <c r="F33" s="743" t="s">
        <v>1718</v>
      </c>
      <c r="G33" s="743" t="s">
        <v>1505</v>
      </c>
      <c r="H33" s="96"/>
      <c r="I33" s="744" t="s">
        <v>1509</v>
      </c>
      <c r="J33" s="744" t="s">
        <v>2322</v>
      </c>
      <c r="K33" s="744" t="s">
        <v>1735</v>
      </c>
      <c r="L33" s="744" t="s">
        <v>1505</v>
      </c>
      <c r="M33" s="65"/>
      <c r="N33" s="65"/>
      <c r="O33" s="96"/>
      <c r="P33" s="96"/>
      <c r="R33" s="721">
        <v>2004</v>
      </c>
      <c r="S33" s="742">
        <v>5</v>
      </c>
      <c r="T33" s="742">
        <v>1</v>
      </c>
      <c r="U33" s="742"/>
      <c r="V33" s="742">
        <f>SUM(S33:U33)</f>
        <v>6</v>
      </c>
      <c r="X33" s="97"/>
      <c r="Y33" s="97"/>
      <c r="Z33" s="97"/>
      <c r="AA33" s="97"/>
    </row>
    <row r="34" spans="1:29" ht="15">
      <c r="B34" s="68"/>
      <c r="C34" s="721">
        <v>2004</v>
      </c>
      <c r="D34" s="743">
        <v>5</v>
      </c>
      <c r="E34" s="743">
        <v>1</v>
      </c>
      <c r="F34" s="743"/>
      <c r="G34" s="743">
        <f>SUM(D34:F34)</f>
        <v>6</v>
      </c>
      <c r="H34" s="98"/>
      <c r="I34" s="744"/>
      <c r="J34" s="744"/>
      <c r="K34" s="744"/>
      <c r="L34" s="744"/>
      <c r="M34" s="68"/>
      <c r="N34" s="68"/>
      <c r="O34" s="99"/>
      <c r="P34" s="98"/>
      <c r="R34" s="721">
        <v>2005</v>
      </c>
      <c r="S34" s="721">
        <v>7</v>
      </c>
      <c r="T34" s="721">
        <v>5</v>
      </c>
      <c r="U34" s="721"/>
      <c r="V34" s="742">
        <f t="shared" ref="V34:V40" si="4">SUM(S34:U34)</f>
        <v>12</v>
      </c>
      <c r="W34" s="100"/>
      <c r="X34" s="68"/>
      <c r="Y34" s="98"/>
      <c r="Z34" s="98"/>
      <c r="AA34" s="101"/>
    </row>
    <row r="35" spans="1:29" ht="15">
      <c r="B35" s="68"/>
      <c r="C35" s="721">
        <v>2005</v>
      </c>
      <c r="D35" s="721">
        <v>7</v>
      </c>
      <c r="E35" s="721">
        <v>5</v>
      </c>
      <c r="F35" s="721"/>
      <c r="G35" s="743">
        <f t="shared" ref="G35:G41" si="5">SUM(D35:F35)</f>
        <v>12</v>
      </c>
      <c r="H35" s="98"/>
      <c r="I35" s="718">
        <v>2010</v>
      </c>
      <c r="J35" s="745">
        <v>1054</v>
      </c>
      <c r="K35" s="745">
        <v>961</v>
      </c>
      <c r="L35" s="746">
        <f>SUM(J35:K35)</f>
        <v>2015</v>
      </c>
      <c r="M35" s="68"/>
      <c r="N35" s="68"/>
      <c r="O35" s="99"/>
      <c r="P35" s="98"/>
      <c r="R35" s="721">
        <v>2006</v>
      </c>
      <c r="S35" s="721">
        <v>15</v>
      </c>
      <c r="T35" s="721">
        <v>5</v>
      </c>
      <c r="U35" s="721">
        <v>1</v>
      </c>
      <c r="V35" s="742">
        <f t="shared" si="4"/>
        <v>21</v>
      </c>
      <c r="W35" s="100"/>
      <c r="X35" s="70"/>
      <c r="Y35" s="102"/>
      <c r="Z35" s="102"/>
      <c r="AA35" s="101"/>
    </row>
    <row r="36" spans="1:29" ht="15">
      <c r="B36" s="68"/>
      <c r="C36" s="721">
        <v>2006</v>
      </c>
      <c r="D36" s="721">
        <v>15</v>
      </c>
      <c r="E36" s="721">
        <v>5</v>
      </c>
      <c r="F36" s="721">
        <v>1</v>
      </c>
      <c r="G36" s="743">
        <f t="shared" si="5"/>
        <v>21</v>
      </c>
      <c r="H36" s="98"/>
      <c r="I36" s="722">
        <v>2011</v>
      </c>
      <c r="J36" s="747">
        <v>0</v>
      </c>
      <c r="K36" s="747">
        <v>4493</v>
      </c>
      <c r="L36" s="746">
        <f>SUM(J36:K36)</f>
        <v>4493</v>
      </c>
      <c r="M36" s="68"/>
      <c r="N36" s="68"/>
      <c r="O36" s="99"/>
      <c r="P36" s="98"/>
      <c r="R36" s="721">
        <v>2007</v>
      </c>
      <c r="S36" s="721">
        <v>8</v>
      </c>
      <c r="T36" s="721">
        <v>8</v>
      </c>
      <c r="U36" s="721"/>
      <c r="V36" s="742">
        <f t="shared" si="4"/>
        <v>16</v>
      </c>
      <c r="W36" s="100"/>
      <c r="X36" s="68"/>
      <c r="Y36" s="98"/>
      <c r="Z36" s="98"/>
      <c r="AA36" s="101"/>
    </row>
    <row r="37" spans="1:29" ht="15">
      <c r="B37" s="68"/>
      <c r="C37" s="721">
        <v>2007</v>
      </c>
      <c r="D37" s="721">
        <v>8</v>
      </c>
      <c r="E37" s="721">
        <v>8</v>
      </c>
      <c r="F37" s="721"/>
      <c r="G37" s="743">
        <f t="shared" si="5"/>
        <v>16</v>
      </c>
      <c r="H37" s="98"/>
      <c r="I37" s="718" t="s">
        <v>1505</v>
      </c>
      <c r="J37" s="745">
        <f>SUM(J34:J36)</f>
        <v>1054</v>
      </c>
      <c r="K37" s="745">
        <f t="shared" ref="K37:L37" si="6">SUM(K34:K36)</f>
        <v>5454</v>
      </c>
      <c r="L37" s="748">
        <f t="shared" si="6"/>
        <v>6508</v>
      </c>
      <c r="M37" s="68"/>
      <c r="N37" s="68"/>
      <c r="O37" s="99"/>
      <c r="P37" s="98"/>
      <c r="R37" s="721">
        <v>2008</v>
      </c>
      <c r="S37" s="721">
        <v>12</v>
      </c>
      <c r="T37" s="721">
        <v>3</v>
      </c>
      <c r="U37" s="721"/>
      <c r="V37" s="742">
        <f t="shared" si="4"/>
        <v>15</v>
      </c>
      <c r="W37" s="100"/>
    </row>
    <row r="38" spans="1:29" ht="15">
      <c r="B38" s="68"/>
      <c r="C38" s="721">
        <v>2008</v>
      </c>
      <c r="D38" s="721">
        <v>12</v>
      </c>
      <c r="E38" s="721">
        <v>3</v>
      </c>
      <c r="F38" s="721"/>
      <c r="G38" s="743">
        <f t="shared" si="5"/>
        <v>15</v>
      </c>
      <c r="H38" s="98"/>
      <c r="I38" s="99"/>
      <c r="J38" s="98"/>
      <c r="K38" s="68"/>
      <c r="L38" s="68"/>
      <c r="M38" s="68"/>
      <c r="N38" s="68"/>
      <c r="O38" s="99"/>
      <c r="P38" s="98"/>
      <c r="R38" s="721">
        <v>2009</v>
      </c>
      <c r="S38" s="721">
        <v>10</v>
      </c>
      <c r="T38" s="721">
        <v>11</v>
      </c>
      <c r="U38" s="721"/>
      <c r="V38" s="742">
        <f t="shared" si="4"/>
        <v>21</v>
      </c>
      <c r="W38" s="100"/>
    </row>
    <row r="39" spans="1:29" ht="15">
      <c r="B39" s="68"/>
      <c r="C39" s="721">
        <v>2009</v>
      </c>
      <c r="D39" s="721">
        <v>10</v>
      </c>
      <c r="E39" s="721">
        <v>11</v>
      </c>
      <c r="F39" s="721"/>
      <c r="G39" s="743">
        <f t="shared" si="5"/>
        <v>21</v>
      </c>
      <c r="H39" s="98"/>
      <c r="I39" s="99"/>
      <c r="J39" s="98"/>
      <c r="K39" s="68"/>
      <c r="L39" s="68"/>
      <c r="M39" s="68"/>
      <c r="N39" s="68"/>
      <c r="O39" s="99"/>
      <c r="P39" s="98"/>
      <c r="R39" s="721">
        <v>2010</v>
      </c>
      <c r="S39" s="721">
        <v>7</v>
      </c>
      <c r="T39" s="721">
        <v>10</v>
      </c>
      <c r="U39" s="721"/>
      <c r="V39" s="742">
        <f t="shared" si="4"/>
        <v>17</v>
      </c>
      <c r="W39" s="100"/>
    </row>
    <row r="40" spans="1:29" ht="15">
      <c r="B40" s="68"/>
      <c r="C40" s="721">
        <v>2010</v>
      </c>
      <c r="D40" s="721">
        <v>7</v>
      </c>
      <c r="E40" s="721">
        <v>10</v>
      </c>
      <c r="F40" s="721"/>
      <c r="G40" s="743">
        <f t="shared" si="5"/>
        <v>17</v>
      </c>
      <c r="H40" s="98"/>
      <c r="I40" s="99"/>
      <c r="J40" s="98"/>
      <c r="K40" s="68"/>
      <c r="L40" s="68"/>
      <c r="M40" s="68"/>
      <c r="N40" s="68"/>
      <c r="O40" s="99"/>
      <c r="P40" s="98"/>
      <c r="R40" s="721">
        <v>2011</v>
      </c>
      <c r="S40" s="721">
        <v>13</v>
      </c>
      <c r="T40" s="721">
        <v>16</v>
      </c>
      <c r="U40" s="721"/>
      <c r="V40" s="742">
        <f t="shared" si="4"/>
        <v>29</v>
      </c>
      <c r="W40" s="100"/>
    </row>
    <row r="41" spans="1:29" ht="15">
      <c r="B41" s="84"/>
      <c r="C41" s="721">
        <v>2011</v>
      </c>
      <c r="D41" s="721">
        <v>13</v>
      </c>
      <c r="E41" s="721">
        <v>16</v>
      </c>
      <c r="F41" s="721"/>
      <c r="G41" s="743">
        <f t="shared" si="5"/>
        <v>29</v>
      </c>
      <c r="H41" s="103"/>
      <c r="I41" s="103"/>
      <c r="J41" s="103"/>
      <c r="K41" s="84"/>
      <c r="L41" s="84"/>
      <c r="M41" s="84"/>
      <c r="N41" s="84"/>
      <c r="O41" s="103"/>
      <c r="P41" s="103"/>
      <c r="R41" s="749" t="s">
        <v>1505</v>
      </c>
      <c r="S41" s="749">
        <f>SUM(S33:S40)</f>
        <v>77</v>
      </c>
      <c r="T41" s="749">
        <f t="shared" ref="T41:V41" si="7">SUM(T33:T40)</f>
        <v>59</v>
      </c>
      <c r="U41" s="749">
        <f t="shared" si="7"/>
        <v>1</v>
      </c>
      <c r="V41" s="749">
        <f t="shared" si="7"/>
        <v>137</v>
      </c>
      <c r="W41" s="98"/>
    </row>
    <row r="42" spans="1:29">
      <c r="C42" s="749" t="s">
        <v>1505</v>
      </c>
      <c r="D42" s="749">
        <f>SUM(D34:D41)</f>
        <v>77</v>
      </c>
      <c r="E42" s="749">
        <f t="shared" ref="E42:G42" si="8">SUM(E34:E41)</f>
        <v>59</v>
      </c>
      <c r="F42" s="749">
        <f t="shared" si="8"/>
        <v>1</v>
      </c>
      <c r="G42" s="749">
        <f t="shared" si="8"/>
        <v>137</v>
      </c>
      <c r="R42" s="750" t="s">
        <v>1560</v>
      </c>
      <c r="S42" s="751">
        <f>S41*100/V41</f>
        <v>56.204379562043798</v>
      </c>
      <c r="T42" s="751">
        <f>T41*100/V41</f>
        <v>43.065693430656935</v>
      </c>
      <c r="U42" s="751">
        <f>U41*100/V41</f>
        <v>0.72992700729927007</v>
      </c>
      <c r="V42" s="751">
        <f>V41*100/V41</f>
        <v>100</v>
      </c>
      <c r="W42" s="103"/>
    </row>
    <row r="43" spans="1:29">
      <c r="C43" s="750" t="s">
        <v>1560</v>
      </c>
      <c r="D43" s="751">
        <f>D42*100/G42</f>
        <v>56.204379562043798</v>
      </c>
      <c r="E43" s="751">
        <f>E42*100/G42</f>
        <v>43.065693430656935</v>
      </c>
      <c r="F43" s="751">
        <f>F42*100/G42</f>
        <v>0.72992700729927007</v>
      </c>
      <c r="G43" s="751">
        <f>G42*100/G42</f>
        <v>100</v>
      </c>
    </row>
    <row r="45" spans="1:29" s="69" customFormat="1" ht="13.5" thickBot="1">
      <c r="A45" s="104" t="s">
        <v>2323</v>
      </c>
      <c r="AC45" s="90"/>
    </row>
    <row r="46" spans="1:29" s="69" customFormat="1" ht="30.75" thickBot="1">
      <c r="A46" s="752" t="s">
        <v>46</v>
      </c>
      <c r="B46" s="752" t="s">
        <v>2324</v>
      </c>
      <c r="C46" s="753" t="s">
        <v>2325</v>
      </c>
      <c r="D46" s="754" t="s">
        <v>2326</v>
      </c>
      <c r="E46" s="105" t="s">
        <v>2327</v>
      </c>
      <c r="F46" s="106" t="s">
        <v>2328</v>
      </c>
      <c r="G46" s="107" t="s">
        <v>2329</v>
      </c>
      <c r="AC46" s="90"/>
    </row>
    <row r="47" spans="1:29" s="69" customFormat="1" ht="25.5">
      <c r="A47" s="108" t="s">
        <v>244</v>
      </c>
      <c r="B47" s="109" t="s">
        <v>2045</v>
      </c>
      <c r="C47" s="110"/>
      <c r="D47" s="111">
        <v>600</v>
      </c>
      <c r="E47" s="112" t="s">
        <v>243</v>
      </c>
      <c r="F47" s="113" t="s">
        <v>2330</v>
      </c>
      <c r="G47" s="114">
        <v>2011</v>
      </c>
      <c r="AC47" s="90"/>
    </row>
    <row r="48" spans="1:29" s="69" customFormat="1" ht="25.5">
      <c r="A48" s="115" t="s">
        <v>353</v>
      </c>
      <c r="B48" s="755" t="s">
        <v>2045</v>
      </c>
      <c r="C48" s="756"/>
      <c r="D48" s="757">
        <v>500</v>
      </c>
      <c r="E48" s="116" t="s">
        <v>243</v>
      </c>
      <c r="F48" s="117" t="s">
        <v>2331</v>
      </c>
      <c r="G48" s="118">
        <v>2011</v>
      </c>
      <c r="AC48" s="90"/>
    </row>
    <row r="49" spans="1:29" s="69" customFormat="1" ht="25.5">
      <c r="A49" s="115" t="s">
        <v>2332</v>
      </c>
      <c r="B49" s="755" t="s">
        <v>2045</v>
      </c>
      <c r="C49" s="756"/>
      <c r="D49" s="757">
        <v>150</v>
      </c>
      <c r="E49" s="755" t="s">
        <v>2333</v>
      </c>
      <c r="F49" s="755" t="s">
        <v>2331</v>
      </c>
      <c r="G49" s="698">
        <v>2011</v>
      </c>
      <c r="AC49" s="90"/>
    </row>
    <row r="50" spans="1:29" s="69" customFormat="1" ht="30">
      <c r="A50" s="119" t="s">
        <v>607</v>
      </c>
      <c r="B50" s="120" t="s">
        <v>2334</v>
      </c>
      <c r="C50" s="121"/>
      <c r="D50" s="122">
        <v>100</v>
      </c>
      <c r="E50" s="123" t="s">
        <v>2335</v>
      </c>
      <c r="F50" s="758" t="s">
        <v>2330</v>
      </c>
      <c r="G50" s="759">
        <v>2011</v>
      </c>
      <c r="AC50" s="90"/>
    </row>
    <row r="51" spans="1:29" s="69" customFormat="1" ht="15.75" thickBot="1">
      <c r="A51" s="124" t="s">
        <v>142</v>
      </c>
      <c r="B51" s="120" t="s">
        <v>2334</v>
      </c>
      <c r="C51" s="125"/>
      <c r="D51" s="760">
        <v>100</v>
      </c>
      <c r="E51" s="126" t="s">
        <v>168</v>
      </c>
      <c r="F51" s="126" t="s">
        <v>2336</v>
      </c>
      <c r="G51" s="127">
        <v>2011</v>
      </c>
      <c r="AC51" s="90"/>
    </row>
    <row r="52" spans="1:29" s="69" customFormat="1" ht="26.25" thickBot="1">
      <c r="A52" s="128" t="s">
        <v>148</v>
      </c>
      <c r="B52" s="129" t="s">
        <v>2019</v>
      </c>
      <c r="C52" s="130"/>
      <c r="D52" s="131">
        <v>60</v>
      </c>
      <c r="E52" s="755" t="s">
        <v>168</v>
      </c>
      <c r="F52" s="755" t="s">
        <v>2331</v>
      </c>
      <c r="G52" s="698">
        <v>2011</v>
      </c>
      <c r="AC52" s="90"/>
    </row>
    <row r="53" spans="1:29" s="69" customFormat="1" ht="20.25" customHeight="1">
      <c r="A53" s="115" t="s">
        <v>140</v>
      </c>
      <c r="B53" s="755" t="s">
        <v>601</v>
      </c>
      <c r="C53" s="756"/>
      <c r="D53" s="757">
        <v>100</v>
      </c>
      <c r="E53" s="761" t="s">
        <v>2337</v>
      </c>
      <c r="F53" s="761" t="s">
        <v>2331</v>
      </c>
      <c r="G53" s="762">
        <v>2011</v>
      </c>
      <c r="AC53" s="90"/>
    </row>
    <row r="54" spans="1:29" s="69" customFormat="1" ht="25.5">
      <c r="A54" s="115" t="s">
        <v>481</v>
      </c>
      <c r="B54" s="755" t="s">
        <v>601</v>
      </c>
      <c r="C54" s="756"/>
      <c r="D54" s="757">
        <v>800</v>
      </c>
      <c r="E54" s="755" t="s">
        <v>2337</v>
      </c>
      <c r="F54" s="755" t="s">
        <v>2331</v>
      </c>
      <c r="G54" s="698">
        <v>2011</v>
      </c>
      <c r="AC54" s="90"/>
    </row>
    <row r="55" spans="1:29" s="69" customFormat="1" ht="25.5">
      <c r="A55" s="115" t="s">
        <v>462</v>
      </c>
      <c r="B55" s="755" t="s">
        <v>601</v>
      </c>
      <c r="C55" s="756"/>
      <c r="D55" s="757">
        <v>160</v>
      </c>
      <c r="E55" s="761" t="s">
        <v>2338</v>
      </c>
      <c r="F55" s="755" t="s">
        <v>2331</v>
      </c>
      <c r="G55" s="698">
        <v>2010</v>
      </c>
      <c r="AC55" s="90"/>
    </row>
    <row r="56" spans="1:29" s="69" customFormat="1" ht="26.25" thickBot="1">
      <c r="A56" s="128" t="s">
        <v>764</v>
      </c>
      <c r="B56" s="129" t="s">
        <v>601</v>
      </c>
      <c r="C56" s="130"/>
      <c r="D56" s="131">
        <v>200</v>
      </c>
      <c r="E56" s="132" t="s">
        <v>168</v>
      </c>
      <c r="F56" s="755" t="s">
        <v>2339</v>
      </c>
      <c r="G56" s="698">
        <v>2010</v>
      </c>
      <c r="AC56" s="90"/>
    </row>
    <row r="57" spans="1:29" ht="25.5">
      <c r="A57" s="115" t="s">
        <v>493</v>
      </c>
      <c r="B57" s="755" t="s">
        <v>2340</v>
      </c>
      <c r="C57" s="756"/>
      <c r="D57" s="757">
        <v>601</v>
      </c>
      <c r="E57" s="116" t="s">
        <v>2341</v>
      </c>
      <c r="F57" s="755" t="s">
        <v>2331</v>
      </c>
      <c r="G57" s="698">
        <v>2010</v>
      </c>
      <c r="I57" s="133"/>
    </row>
    <row r="58" spans="1:29" ht="25.5">
      <c r="A58" s="1068" t="s">
        <v>291</v>
      </c>
      <c r="B58" s="755" t="s">
        <v>2340</v>
      </c>
      <c r="C58" s="756"/>
      <c r="D58" s="757">
        <v>100</v>
      </c>
      <c r="E58" s="117" t="s">
        <v>2342</v>
      </c>
      <c r="F58" s="134" t="s">
        <v>2331</v>
      </c>
      <c r="G58" s="118">
        <v>2011</v>
      </c>
    </row>
    <row r="59" spans="1:29" ht="18" customHeight="1">
      <c r="A59" s="1069"/>
      <c r="B59" s="755" t="s">
        <v>2340</v>
      </c>
      <c r="C59" s="756"/>
      <c r="D59" s="757">
        <v>220</v>
      </c>
      <c r="E59" s="761" t="s">
        <v>2343</v>
      </c>
      <c r="F59" s="134" t="s">
        <v>2331</v>
      </c>
      <c r="G59" s="118">
        <v>2011</v>
      </c>
    </row>
    <row r="60" spans="1:29" ht="25.5">
      <c r="A60" s="1068" t="s">
        <v>145</v>
      </c>
      <c r="B60" s="755" t="s">
        <v>2340</v>
      </c>
      <c r="C60" s="756"/>
      <c r="D60" s="757">
        <v>300</v>
      </c>
      <c r="E60" s="135" t="s">
        <v>2344</v>
      </c>
      <c r="F60" s="755" t="s">
        <v>2331</v>
      </c>
      <c r="G60" s="698">
        <v>2011</v>
      </c>
    </row>
    <row r="61" spans="1:29" ht="25.5">
      <c r="A61" s="1069"/>
      <c r="B61" s="755" t="s">
        <v>2340</v>
      </c>
      <c r="C61" s="756"/>
      <c r="D61" s="757">
        <v>150</v>
      </c>
      <c r="E61" s="755" t="s">
        <v>243</v>
      </c>
      <c r="F61" s="763" t="s">
        <v>2331</v>
      </c>
      <c r="G61" s="698">
        <v>2011</v>
      </c>
    </row>
    <row r="62" spans="1:29" ht="15">
      <c r="A62" s="764" t="s">
        <v>1505</v>
      </c>
      <c r="B62" s="765"/>
      <c r="C62" s="765"/>
      <c r="D62" s="766">
        <f>SUM(D47:D61)</f>
        <v>4141</v>
      </c>
      <c r="E62" s="765"/>
      <c r="F62" s="765"/>
      <c r="G62" s="766"/>
    </row>
  </sheetData>
  <mergeCells count="6">
    <mergeCell ref="A60:A61"/>
    <mergeCell ref="C17:C18"/>
    <mergeCell ref="D17:P17"/>
    <mergeCell ref="Q17:T17"/>
    <mergeCell ref="V17:V18"/>
    <mergeCell ref="A58:A5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132"/>
  <sheetViews>
    <sheetView topLeftCell="A76" zoomScale="110" zoomScaleNormal="110" zoomScalePageLayoutView="90" workbookViewId="0">
      <selection activeCell="G68" sqref="G68"/>
    </sheetView>
  </sheetViews>
  <sheetFormatPr defaultColWidth="11.42578125" defaultRowHeight="12.75"/>
  <cols>
    <col min="6" max="6" width="29" customWidth="1"/>
    <col min="8" max="8" width="15.28515625" customWidth="1"/>
  </cols>
  <sheetData>
    <row r="2" spans="2:9">
      <c r="F2" s="53" t="s">
        <v>2419</v>
      </c>
    </row>
    <row r="3" spans="2:9">
      <c r="B3" s="54" t="s">
        <v>2303</v>
      </c>
      <c r="F3" t="s">
        <v>2390</v>
      </c>
      <c r="G3" t="s">
        <v>2391</v>
      </c>
      <c r="H3" t="s">
        <v>2392</v>
      </c>
      <c r="I3" t="s">
        <v>2393</v>
      </c>
    </row>
    <row r="4" spans="2:9">
      <c r="B4" t="s">
        <v>2301</v>
      </c>
      <c r="C4">
        <v>1</v>
      </c>
      <c r="F4" s="1">
        <v>2453322</v>
      </c>
      <c r="G4" s="1">
        <v>149761</v>
      </c>
      <c r="H4" s="1">
        <v>665262821</v>
      </c>
      <c r="I4" s="1">
        <v>1127</v>
      </c>
    </row>
    <row r="5" spans="2:9">
      <c r="B5" s="53" t="s">
        <v>2304</v>
      </c>
      <c r="C5">
        <v>1</v>
      </c>
    </row>
    <row r="6" spans="2:9">
      <c r="B6" s="53" t="s">
        <v>1029</v>
      </c>
      <c r="C6">
        <v>1</v>
      </c>
    </row>
    <row r="7" spans="2:9">
      <c r="B7" s="53" t="s">
        <v>1123</v>
      </c>
      <c r="C7">
        <v>1</v>
      </c>
    </row>
    <row r="8" spans="2:9">
      <c r="B8" s="53" t="s">
        <v>1247</v>
      </c>
      <c r="C8">
        <v>1</v>
      </c>
    </row>
    <row r="9" spans="2:9">
      <c r="B9" s="53" t="s">
        <v>2365</v>
      </c>
      <c r="C9">
        <v>1</v>
      </c>
    </row>
    <row r="10" spans="2:9">
      <c r="B10" s="53" t="s">
        <v>2046</v>
      </c>
      <c r="C10">
        <v>1</v>
      </c>
    </row>
    <row r="11" spans="2:9">
      <c r="B11" s="53" t="s">
        <v>1043</v>
      </c>
      <c r="C11">
        <v>1</v>
      </c>
    </row>
    <row r="12" spans="2:9">
      <c r="B12" s="53" t="s">
        <v>2381</v>
      </c>
      <c r="C12">
        <v>1</v>
      </c>
    </row>
    <row r="13" spans="2:9">
      <c r="B13" s="53" t="s">
        <v>184</v>
      </c>
      <c r="C13">
        <v>1</v>
      </c>
    </row>
    <row r="14" spans="2:9">
      <c r="B14" s="53" t="s">
        <v>466</v>
      </c>
      <c r="C14">
        <v>1</v>
      </c>
    </row>
    <row r="15" spans="2:9">
      <c r="B15" s="53" t="s">
        <v>511</v>
      </c>
      <c r="C15">
        <v>1</v>
      </c>
    </row>
    <row r="16" spans="2:9">
      <c r="B16" s="53" t="s">
        <v>10</v>
      </c>
      <c r="C16">
        <v>1</v>
      </c>
    </row>
    <row r="17" spans="2:12">
      <c r="B17" s="53" t="s">
        <v>211</v>
      </c>
      <c r="C17">
        <v>1</v>
      </c>
    </row>
    <row r="18" spans="2:12">
      <c r="B18" s="53" t="s">
        <v>638</v>
      </c>
      <c r="C18">
        <v>1</v>
      </c>
    </row>
    <row r="19" spans="2:12">
      <c r="B19" s="53" t="s">
        <v>1182</v>
      </c>
      <c r="C19">
        <v>1</v>
      </c>
    </row>
    <row r="20" spans="2:12">
      <c r="B20" s="53" t="s">
        <v>2410</v>
      </c>
      <c r="C20">
        <v>1</v>
      </c>
    </row>
    <row r="21" spans="2:12">
      <c r="B21" s="53" t="s">
        <v>1398</v>
      </c>
      <c r="C21">
        <v>1</v>
      </c>
    </row>
    <row r="22" spans="2:12">
      <c r="B22" s="53" t="s">
        <v>2129</v>
      </c>
      <c r="C22">
        <v>1</v>
      </c>
    </row>
    <row r="23" spans="2:12">
      <c r="B23" s="53" t="s">
        <v>2412</v>
      </c>
      <c r="C23">
        <v>1</v>
      </c>
    </row>
    <row r="24" spans="2:12">
      <c r="B24" t="s">
        <v>321</v>
      </c>
      <c r="C24">
        <v>2</v>
      </c>
      <c r="F24" s="53"/>
      <c r="L24" s="53"/>
    </row>
    <row r="25" spans="2:12">
      <c r="B25" t="s">
        <v>1837</v>
      </c>
      <c r="C25">
        <v>2</v>
      </c>
    </row>
    <row r="26" spans="2:12">
      <c r="B26" t="s">
        <v>1585</v>
      </c>
      <c r="C26">
        <v>2</v>
      </c>
      <c r="F26" s="53"/>
    </row>
    <row r="27" spans="2:12">
      <c r="B27" s="53" t="s">
        <v>372</v>
      </c>
      <c r="C27">
        <v>2</v>
      </c>
    </row>
    <row r="28" spans="2:12">
      <c r="B28" s="53" t="s">
        <v>2311</v>
      </c>
      <c r="C28">
        <v>2</v>
      </c>
    </row>
    <row r="29" spans="2:12">
      <c r="B29" s="53" t="s">
        <v>19</v>
      </c>
      <c r="C29">
        <v>2</v>
      </c>
    </row>
    <row r="30" spans="2:12">
      <c r="B30" s="53" t="s">
        <v>2364</v>
      </c>
      <c r="C30">
        <v>2</v>
      </c>
    </row>
    <row r="31" spans="2:12">
      <c r="B31" s="53" t="s">
        <v>417</v>
      </c>
      <c r="C31">
        <v>2</v>
      </c>
    </row>
    <row r="32" spans="2:12">
      <c r="B32" s="53" t="s">
        <v>1889</v>
      </c>
      <c r="C32">
        <v>2</v>
      </c>
    </row>
    <row r="33" spans="2:6">
      <c r="B33" s="53" t="s">
        <v>276</v>
      </c>
      <c r="C33">
        <v>2</v>
      </c>
    </row>
    <row r="34" spans="2:6">
      <c r="B34" s="53" t="s">
        <v>2377</v>
      </c>
      <c r="C34">
        <v>2</v>
      </c>
    </row>
    <row r="35" spans="2:6">
      <c r="B35" t="s">
        <v>1093</v>
      </c>
      <c r="C35">
        <v>2</v>
      </c>
    </row>
    <row r="36" spans="2:6">
      <c r="B36" s="53" t="s">
        <v>1175</v>
      </c>
      <c r="C36">
        <v>2</v>
      </c>
    </row>
    <row r="37" spans="2:6">
      <c r="B37" s="53" t="s">
        <v>273</v>
      </c>
      <c r="C37">
        <v>2</v>
      </c>
    </row>
    <row r="38" spans="2:6">
      <c r="B38" s="53" t="s">
        <v>2411</v>
      </c>
      <c r="C38">
        <v>2</v>
      </c>
    </row>
    <row r="39" spans="2:6">
      <c r="B39" s="53" t="s">
        <v>1084</v>
      </c>
      <c r="C39">
        <v>2</v>
      </c>
    </row>
    <row r="40" spans="2:6">
      <c r="B40" s="53" t="s">
        <v>1400</v>
      </c>
      <c r="C40">
        <v>2</v>
      </c>
    </row>
    <row r="41" spans="2:6">
      <c r="B41" s="53" t="s">
        <v>1401</v>
      </c>
      <c r="C41">
        <v>2</v>
      </c>
    </row>
    <row r="42" spans="2:6">
      <c r="B42" t="s">
        <v>161</v>
      </c>
      <c r="C42">
        <v>3</v>
      </c>
      <c r="F42" s="53"/>
    </row>
    <row r="43" spans="2:6">
      <c r="B43" s="53" t="s">
        <v>1994</v>
      </c>
      <c r="C43">
        <v>3</v>
      </c>
    </row>
    <row r="44" spans="2:6">
      <c r="B44" s="53" t="s">
        <v>1641</v>
      </c>
      <c r="C44">
        <v>3</v>
      </c>
    </row>
    <row r="45" spans="2:6">
      <c r="B45" s="53" t="s">
        <v>493</v>
      </c>
      <c r="C45">
        <v>3</v>
      </c>
    </row>
    <row r="46" spans="2:6">
      <c r="B46" s="53" t="s">
        <v>2366</v>
      </c>
      <c r="C46">
        <v>3</v>
      </c>
    </row>
    <row r="47" spans="2:6">
      <c r="B47" s="53" t="s">
        <v>1136</v>
      </c>
      <c r="C47">
        <v>3</v>
      </c>
    </row>
    <row r="48" spans="2:6">
      <c r="B48" s="53" t="s">
        <v>139</v>
      </c>
      <c r="C48">
        <v>3</v>
      </c>
    </row>
    <row r="49" spans="2:3">
      <c r="B49" s="53" t="s">
        <v>124</v>
      </c>
      <c r="C49">
        <v>3</v>
      </c>
    </row>
    <row r="50" spans="2:3">
      <c r="B50" s="53" t="s">
        <v>562</v>
      </c>
      <c r="C50">
        <v>3</v>
      </c>
    </row>
    <row r="51" spans="2:3">
      <c r="B51" s="53" t="s">
        <v>213</v>
      </c>
      <c r="C51">
        <v>3</v>
      </c>
    </row>
    <row r="52" spans="2:3">
      <c r="B52" s="53" t="s">
        <v>539</v>
      </c>
      <c r="C52">
        <v>4</v>
      </c>
    </row>
    <row r="53" spans="2:3">
      <c r="B53" t="s">
        <v>597</v>
      </c>
      <c r="C53">
        <v>4</v>
      </c>
    </row>
    <row r="54" spans="2:3">
      <c r="B54" s="53" t="s">
        <v>4</v>
      </c>
      <c r="C54">
        <v>4</v>
      </c>
    </row>
    <row r="55" spans="2:3">
      <c r="B55" s="53" t="s">
        <v>857</v>
      </c>
      <c r="C55">
        <v>4</v>
      </c>
    </row>
    <row r="56" spans="2:3">
      <c r="B56" s="53" t="s">
        <v>333</v>
      </c>
      <c r="C56">
        <v>4</v>
      </c>
    </row>
    <row r="57" spans="2:3">
      <c r="B57" s="53" t="s">
        <v>1921</v>
      </c>
      <c r="C57">
        <v>4</v>
      </c>
    </row>
    <row r="58" spans="2:3">
      <c r="B58" s="53" t="s">
        <v>649</v>
      </c>
      <c r="C58">
        <v>4</v>
      </c>
    </row>
    <row r="59" spans="2:3">
      <c r="B59" s="53" t="s">
        <v>355</v>
      </c>
      <c r="C59">
        <v>4</v>
      </c>
    </row>
    <row r="60" spans="2:3">
      <c r="B60" s="53" t="s">
        <v>138</v>
      </c>
      <c r="C60">
        <v>4</v>
      </c>
    </row>
    <row r="61" spans="2:3">
      <c r="B61" t="s">
        <v>1207</v>
      </c>
      <c r="C61">
        <v>5</v>
      </c>
    </row>
    <row r="62" spans="2:3">
      <c r="B62" s="53" t="s">
        <v>2312</v>
      </c>
      <c r="C62">
        <v>5</v>
      </c>
    </row>
    <row r="63" spans="2:3">
      <c r="B63" s="53" t="s">
        <v>317</v>
      </c>
      <c r="C63">
        <v>5</v>
      </c>
    </row>
    <row r="64" spans="2:3">
      <c r="B64" s="53" t="s">
        <v>1169</v>
      </c>
      <c r="C64">
        <v>5</v>
      </c>
    </row>
    <row r="65" spans="2:3">
      <c r="B65" s="53" t="s">
        <v>129</v>
      </c>
      <c r="C65">
        <v>5</v>
      </c>
    </row>
    <row r="66" spans="2:3">
      <c r="B66" s="53" t="s">
        <v>118</v>
      </c>
      <c r="C66">
        <v>5</v>
      </c>
    </row>
    <row r="67" spans="2:3">
      <c r="B67" s="53" t="s">
        <v>2367</v>
      </c>
      <c r="C67">
        <v>5</v>
      </c>
    </row>
    <row r="68" spans="2:3">
      <c r="B68" s="53" t="s">
        <v>1395</v>
      </c>
      <c r="C68">
        <v>5</v>
      </c>
    </row>
    <row r="69" spans="2:3">
      <c r="B69" s="53" t="s">
        <v>160</v>
      </c>
      <c r="C69">
        <v>5</v>
      </c>
    </row>
    <row r="70" spans="2:3">
      <c r="B70" t="s">
        <v>554</v>
      </c>
      <c r="C70">
        <v>6</v>
      </c>
    </row>
    <row r="71" spans="2:3">
      <c r="B71" s="53" t="s">
        <v>1598</v>
      </c>
      <c r="C71">
        <v>6</v>
      </c>
    </row>
    <row r="72" spans="2:3">
      <c r="B72" s="53" t="s">
        <v>515</v>
      </c>
      <c r="C72">
        <v>6</v>
      </c>
    </row>
    <row r="73" spans="2:3">
      <c r="B73" s="53" t="s">
        <v>472</v>
      </c>
      <c r="C73">
        <v>6</v>
      </c>
    </row>
    <row r="74" spans="2:3">
      <c r="B74" s="53" t="s">
        <v>1073</v>
      </c>
      <c r="C74">
        <v>6</v>
      </c>
    </row>
    <row r="75" spans="2:3">
      <c r="B75" s="53" t="s">
        <v>167</v>
      </c>
      <c r="C75">
        <v>6</v>
      </c>
    </row>
    <row r="76" spans="2:3">
      <c r="B76" s="53" t="s">
        <v>374</v>
      </c>
      <c r="C76">
        <v>6</v>
      </c>
    </row>
    <row r="77" spans="2:3">
      <c r="B77" s="53" t="s">
        <v>87</v>
      </c>
      <c r="C77">
        <v>6</v>
      </c>
    </row>
    <row r="78" spans="2:3">
      <c r="B78" s="53" t="s">
        <v>446</v>
      </c>
      <c r="C78">
        <v>6</v>
      </c>
    </row>
    <row r="79" spans="2:3">
      <c r="B79" s="53" t="s">
        <v>550</v>
      </c>
      <c r="C79">
        <v>6</v>
      </c>
    </row>
    <row r="80" spans="2:3">
      <c r="B80" s="53" t="s">
        <v>462</v>
      </c>
      <c r="C80">
        <v>6</v>
      </c>
    </row>
    <row r="81" spans="2:3">
      <c r="B81" t="s">
        <v>142</v>
      </c>
      <c r="C81">
        <v>6</v>
      </c>
    </row>
    <row r="82" spans="2:3">
      <c r="B82" t="s">
        <v>332</v>
      </c>
      <c r="C82">
        <v>7</v>
      </c>
    </row>
    <row r="83" spans="2:3">
      <c r="B83" s="53" t="s">
        <v>121</v>
      </c>
      <c r="C83">
        <v>7</v>
      </c>
    </row>
    <row r="84" spans="2:3">
      <c r="B84" t="s">
        <v>932</v>
      </c>
      <c r="C84">
        <v>7</v>
      </c>
    </row>
    <row r="85" spans="2:3">
      <c r="B85" s="53" t="s">
        <v>153</v>
      </c>
      <c r="C85">
        <v>7</v>
      </c>
    </row>
    <row r="86" spans="2:3">
      <c r="B86" s="53" t="s">
        <v>547</v>
      </c>
      <c r="C86">
        <v>8</v>
      </c>
    </row>
    <row r="87" spans="2:3">
      <c r="B87" s="53" t="s">
        <v>1295</v>
      </c>
      <c r="C87">
        <v>8</v>
      </c>
    </row>
    <row r="88" spans="2:3">
      <c r="B88" s="53" t="s">
        <v>485</v>
      </c>
      <c r="C88">
        <v>8</v>
      </c>
    </row>
    <row r="89" spans="2:3">
      <c r="B89" s="53" t="s">
        <v>140</v>
      </c>
      <c r="C89">
        <v>8</v>
      </c>
    </row>
    <row r="90" spans="2:3">
      <c r="B90" s="53" t="s">
        <v>162</v>
      </c>
      <c r="C90">
        <v>8</v>
      </c>
    </row>
    <row r="91" spans="2:3">
      <c r="B91" s="53" t="s">
        <v>279</v>
      </c>
      <c r="C91">
        <v>8</v>
      </c>
    </row>
    <row r="92" spans="2:3">
      <c r="B92" s="53" t="s">
        <v>251</v>
      </c>
      <c r="C92">
        <v>8</v>
      </c>
    </row>
    <row r="93" spans="2:3">
      <c r="B93" s="53" t="s">
        <v>477</v>
      </c>
      <c r="C93">
        <v>9</v>
      </c>
    </row>
    <row r="94" spans="2:3">
      <c r="B94" s="53" t="s">
        <v>354</v>
      </c>
      <c r="C94">
        <v>9</v>
      </c>
    </row>
    <row r="95" spans="2:3">
      <c r="B95" s="53" t="s">
        <v>2195</v>
      </c>
      <c r="C95">
        <v>9</v>
      </c>
    </row>
    <row r="96" spans="2:3">
      <c r="B96" s="53" t="s">
        <v>27</v>
      </c>
      <c r="C96">
        <v>9</v>
      </c>
    </row>
    <row r="97" spans="2:7">
      <c r="B97" s="53" t="s">
        <v>1040</v>
      </c>
      <c r="C97">
        <v>9</v>
      </c>
    </row>
    <row r="98" spans="2:7">
      <c r="B98" s="53" t="s">
        <v>373</v>
      </c>
      <c r="C98">
        <v>9</v>
      </c>
    </row>
    <row r="99" spans="2:7">
      <c r="B99" s="53" t="s">
        <v>85</v>
      </c>
      <c r="C99">
        <v>9</v>
      </c>
    </row>
    <row r="100" spans="2:7">
      <c r="B100" s="53" t="s">
        <v>855</v>
      </c>
      <c r="C100">
        <v>9</v>
      </c>
    </row>
    <row r="101" spans="2:7">
      <c r="B101" s="53" t="s">
        <v>15</v>
      </c>
      <c r="C101">
        <v>9</v>
      </c>
    </row>
    <row r="102" spans="2:7">
      <c r="B102" s="53" t="s">
        <v>2183</v>
      </c>
      <c r="C102">
        <v>9</v>
      </c>
    </row>
    <row r="103" spans="2:7">
      <c r="B103" s="53" t="s">
        <v>502</v>
      </c>
      <c r="C103">
        <v>9</v>
      </c>
    </row>
    <row r="104" spans="2:7">
      <c r="B104" s="53" t="s">
        <v>6</v>
      </c>
      <c r="C104">
        <v>10</v>
      </c>
      <c r="G104" s="53" t="s">
        <v>2426</v>
      </c>
    </row>
    <row r="105" spans="2:7">
      <c r="B105" s="53" t="s">
        <v>933</v>
      </c>
      <c r="C105">
        <v>10</v>
      </c>
      <c r="G105" s="53" t="s">
        <v>2427</v>
      </c>
    </row>
    <row r="106" spans="2:7">
      <c r="B106" s="53" t="s">
        <v>28</v>
      </c>
      <c r="C106">
        <v>10</v>
      </c>
    </row>
    <row r="107" spans="2:7">
      <c r="B107" s="53" t="s">
        <v>170</v>
      </c>
      <c r="C107">
        <v>10</v>
      </c>
    </row>
    <row r="108" spans="2:7">
      <c r="B108" t="s">
        <v>465</v>
      </c>
      <c r="C108">
        <v>10</v>
      </c>
    </row>
    <row r="109" spans="2:7">
      <c r="B109" s="53" t="s">
        <v>259</v>
      </c>
      <c r="C109">
        <v>10</v>
      </c>
    </row>
    <row r="110" spans="2:7">
      <c r="B110" s="53" t="s">
        <v>536</v>
      </c>
      <c r="C110">
        <v>11</v>
      </c>
    </row>
    <row r="111" spans="2:7">
      <c r="B111" s="53" t="s">
        <v>143</v>
      </c>
      <c r="C111">
        <v>11</v>
      </c>
    </row>
    <row r="112" spans="2:7">
      <c r="B112" s="53" t="s">
        <v>25</v>
      </c>
      <c r="C112">
        <v>12</v>
      </c>
    </row>
    <row r="113" spans="2:20">
      <c r="B113" t="s">
        <v>764</v>
      </c>
      <c r="C113">
        <v>12</v>
      </c>
    </row>
    <row r="114" spans="2:20">
      <c r="B114" s="53" t="s">
        <v>452</v>
      </c>
      <c r="C114">
        <v>13</v>
      </c>
      <c r="G114" s="53" t="s">
        <v>12</v>
      </c>
      <c r="H114" s="53" t="s">
        <v>148</v>
      </c>
      <c r="I114" s="53" t="s">
        <v>171</v>
      </c>
      <c r="J114" s="53" t="s">
        <v>119</v>
      </c>
      <c r="K114" s="53" t="s">
        <v>244</v>
      </c>
      <c r="L114" s="53" t="s">
        <v>871</v>
      </c>
      <c r="M114" s="53" t="s">
        <v>120</v>
      </c>
      <c r="N114" s="53" t="s">
        <v>26</v>
      </c>
      <c r="O114" s="53" t="s">
        <v>97</v>
      </c>
      <c r="P114" s="53" t="s">
        <v>607</v>
      </c>
      <c r="Q114" s="53" t="s">
        <v>2422</v>
      </c>
      <c r="R114" s="53" t="s">
        <v>145</v>
      </c>
      <c r="S114" s="53" t="s">
        <v>2302</v>
      </c>
      <c r="T114" s="53" t="s">
        <v>992</v>
      </c>
    </row>
    <row r="115" spans="2:20">
      <c r="B115" s="53" t="s">
        <v>291</v>
      </c>
      <c r="C115">
        <v>13</v>
      </c>
      <c r="F115" s="63" t="s">
        <v>2423</v>
      </c>
      <c r="G115">
        <v>16</v>
      </c>
    </row>
    <row r="116" spans="2:20">
      <c r="B116" s="53" t="s">
        <v>18</v>
      </c>
      <c r="C116">
        <v>13</v>
      </c>
      <c r="F116" s="63" t="s">
        <v>2424</v>
      </c>
      <c r="G116">
        <v>10</v>
      </c>
    </row>
    <row r="117" spans="2:20">
      <c r="B117" s="53" t="s">
        <v>1</v>
      </c>
      <c r="C117">
        <v>14</v>
      </c>
      <c r="G117" s="53" t="s">
        <v>2425</v>
      </c>
    </row>
    <row r="118" spans="2:20">
      <c r="B118" s="53" t="s">
        <v>20</v>
      </c>
      <c r="C118">
        <v>14</v>
      </c>
    </row>
    <row r="119" spans="2:20">
      <c r="B119" t="s">
        <v>2302</v>
      </c>
      <c r="C119">
        <v>14</v>
      </c>
    </row>
    <row r="120" spans="2:20">
      <c r="B120" s="53" t="s">
        <v>145</v>
      </c>
      <c r="C120">
        <v>14</v>
      </c>
    </row>
    <row r="121" spans="2:20">
      <c r="B121" s="53" t="s">
        <v>353</v>
      </c>
      <c r="C121">
        <v>15</v>
      </c>
    </row>
    <row r="122" spans="2:20">
      <c r="B122" s="53" t="s">
        <v>607</v>
      </c>
      <c r="C122">
        <v>15</v>
      </c>
    </row>
    <row r="123" spans="2:20">
      <c r="B123" s="53" t="s">
        <v>97</v>
      </c>
      <c r="C123">
        <v>15</v>
      </c>
    </row>
    <row r="124" spans="2:20">
      <c r="B124" s="53" t="s">
        <v>26</v>
      </c>
      <c r="C124">
        <v>15</v>
      </c>
    </row>
    <row r="125" spans="2:20">
      <c r="B125" s="53" t="s">
        <v>2378</v>
      </c>
      <c r="C125">
        <v>16</v>
      </c>
    </row>
    <row r="126" spans="2:20">
      <c r="B126" s="53" t="s">
        <v>2408</v>
      </c>
      <c r="C126">
        <v>16</v>
      </c>
    </row>
    <row r="127" spans="2:20">
      <c r="B127" s="53" t="s">
        <v>326</v>
      </c>
      <c r="C127">
        <v>17</v>
      </c>
    </row>
    <row r="128" spans="2:20">
      <c r="B128" s="53" t="s">
        <v>98</v>
      </c>
      <c r="C128">
        <v>18</v>
      </c>
    </row>
    <row r="129" spans="2:3">
      <c r="B129" s="53" t="s">
        <v>171</v>
      </c>
      <c r="C129">
        <v>18</v>
      </c>
    </row>
    <row r="130" spans="2:3">
      <c r="B130" s="53" t="s">
        <v>148</v>
      </c>
      <c r="C130">
        <v>27</v>
      </c>
    </row>
    <row r="131" spans="2:3">
      <c r="B131" s="53" t="s">
        <v>12</v>
      </c>
      <c r="C131">
        <v>28</v>
      </c>
    </row>
    <row r="132" spans="2:3">
      <c r="C132" s="5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zoomScale="80" zoomScaleNormal="80" workbookViewId="0">
      <selection activeCell="D25" sqref="D25"/>
    </sheetView>
  </sheetViews>
  <sheetFormatPr defaultRowHeight="12.75"/>
  <cols>
    <col min="1" max="1" width="18.7109375" customWidth="1"/>
    <col min="2" max="2" width="34.140625" customWidth="1"/>
    <col min="3" max="3" width="29.5703125" customWidth="1"/>
    <col min="4" max="4" width="29.42578125" customWidth="1"/>
    <col min="5" max="5" width="30.28515625" customWidth="1"/>
    <col min="6" max="6" width="26.42578125" customWidth="1"/>
    <col min="7" max="7" width="30" customWidth="1"/>
    <col min="8" max="8" width="23.7109375" customWidth="1"/>
    <col min="9" max="9" width="30.7109375" customWidth="1"/>
    <col min="10" max="10" width="51.5703125" customWidth="1"/>
    <col min="11" max="11" width="35.28515625" customWidth="1"/>
    <col min="12" max="12" width="41.42578125" customWidth="1"/>
    <col min="13" max="13" width="47.28515625" customWidth="1"/>
    <col min="14" max="14" width="24.85546875" customWidth="1"/>
    <col min="15" max="15" width="38" customWidth="1"/>
    <col min="16" max="16" width="25.28515625" customWidth="1"/>
    <col min="17" max="17" width="43.42578125" customWidth="1"/>
    <col min="18" max="18" width="28.28515625" customWidth="1"/>
    <col min="19" max="19" width="43" customWidth="1"/>
  </cols>
  <sheetData>
    <row r="1" spans="1:19" s="252" customFormat="1" ht="15">
      <c r="A1" s="1006" t="s">
        <v>1038</v>
      </c>
      <c r="B1" s="1007" t="s">
        <v>2470</v>
      </c>
    </row>
    <row r="2" spans="1:19" s="252" customFormat="1" ht="15">
      <c r="A2" s="1006" t="s">
        <v>1448</v>
      </c>
      <c r="B2" s="1007" t="s">
        <v>2470</v>
      </c>
    </row>
    <row r="3" spans="1:19" s="252" customFormat="1" ht="15">
      <c r="A3" s="1006" t="s">
        <v>2439</v>
      </c>
      <c r="B3" s="1007" t="s">
        <v>2470</v>
      </c>
    </row>
    <row r="4" spans="1:19" s="252" customFormat="1" ht="15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</row>
    <row r="5" spans="1:19" s="252" customFormat="1" ht="15">
      <c r="A5" s="1007"/>
      <c r="B5" s="1015" t="s">
        <v>2491</v>
      </c>
      <c r="C5" s="1015"/>
      <c r="D5" s="1015"/>
      <c r="E5" s="1015"/>
      <c r="F5" s="1015"/>
      <c r="G5" s="1015"/>
      <c r="H5" s="1015"/>
      <c r="I5" s="1015"/>
      <c r="J5" s="1015"/>
      <c r="K5" s="1015"/>
      <c r="L5" s="1015"/>
      <c r="M5" s="1015"/>
      <c r="N5" s="1015"/>
      <c r="O5" s="1015"/>
      <c r="P5" s="1015"/>
      <c r="Q5" s="1015"/>
      <c r="R5"/>
      <c r="S5"/>
    </row>
    <row r="6" spans="1:19" s="252" customFormat="1" ht="15">
      <c r="A6" s="1006" t="s">
        <v>2471</v>
      </c>
      <c r="B6" s="1008" t="s">
        <v>2473</v>
      </c>
      <c r="C6" s="1008" t="s">
        <v>2472</v>
      </c>
      <c r="D6" s="1008" t="s">
        <v>2482</v>
      </c>
      <c r="E6" s="1008" t="s">
        <v>2481</v>
      </c>
      <c r="F6" s="1009" t="s">
        <v>2474</v>
      </c>
      <c r="G6" s="1009" t="s">
        <v>2477</v>
      </c>
      <c r="H6" s="1009" t="s">
        <v>2478</v>
      </c>
      <c r="I6" s="1009" t="s">
        <v>2479</v>
      </c>
      <c r="J6" s="1009" t="s">
        <v>2480</v>
      </c>
      <c r="K6" s="1009" t="s">
        <v>2483</v>
      </c>
      <c r="L6" s="1010" t="s">
        <v>2484</v>
      </c>
      <c r="M6" s="1010" t="s">
        <v>2485</v>
      </c>
      <c r="N6" s="1010" t="s">
        <v>2486</v>
      </c>
      <c r="O6" s="1010" t="s">
        <v>2487</v>
      </c>
      <c r="P6" s="1010" t="s">
        <v>2488</v>
      </c>
      <c r="Q6" s="1010" t="s">
        <v>2489</v>
      </c>
      <c r="R6"/>
      <c r="S6"/>
    </row>
    <row r="7" spans="1:19" s="252" customFormat="1" ht="15">
      <c r="A7" s="1011">
        <v>2004</v>
      </c>
      <c r="B7" s="1012">
        <v>9757618</v>
      </c>
      <c r="C7" s="1012">
        <v>715301961.09999919</v>
      </c>
      <c r="D7" s="1012">
        <v>35.737160872779157</v>
      </c>
      <c r="E7" s="1012">
        <v>85.253211394491345</v>
      </c>
      <c r="F7" s="1012">
        <v>965541</v>
      </c>
      <c r="G7" s="1012">
        <v>400610</v>
      </c>
      <c r="H7" s="1012">
        <v>989581</v>
      </c>
      <c r="I7" s="1012">
        <v>14557</v>
      </c>
      <c r="J7" s="1012">
        <v>77665294.159999996</v>
      </c>
      <c r="K7" s="1012">
        <v>13.395029928312248</v>
      </c>
      <c r="L7" s="1012">
        <v>265687</v>
      </c>
      <c r="M7" s="1012">
        <v>2941280</v>
      </c>
      <c r="N7" s="1012">
        <v>4126</v>
      </c>
      <c r="O7" s="1012">
        <v>1175892</v>
      </c>
      <c r="P7" s="1012">
        <v>380273</v>
      </c>
      <c r="Q7" s="1012">
        <v>96695690</v>
      </c>
      <c r="R7"/>
      <c r="S7"/>
    </row>
    <row r="8" spans="1:19" s="252" customFormat="1" ht="15">
      <c r="A8" s="1011">
        <v>2005</v>
      </c>
      <c r="B8" s="1012">
        <v>8849388</v>
      </c>
      <c r="C8" s="1012">
        <v>225819406.82000005</v>
      </c>
      <c r="D8" s="1012">
        <v>31.388474870933869</v>
      </c>
      <c r="E8" s="1012">
        <v>81.934040414438599</v>
      </c>
      <c r="F8" s="1012">
        <v>1957235</v>
      </c>
      <c r="G8" s="1012">
        <v>204670</v>
      </c>
      <c r="H8" s="1012">
        <v>1985206</v>
      </c>
      <c r="I8" s="1012">
        <v>2099</v>
      </c>
      <c r="J8" s="1012">
        <v>10339590.66</v>
      </c>
      <c r="K8" s="1012">
        <v>17.230663015581722</v>
      </c>
      <c r="L8" s="1012">
        <v>494953</v>
      </c>
      <c r="M8" s="1012">
        <v>3544559</v>
      </c>
      <c r="N8" s="1012">
        <v>7380</v>
      </c>
      <c r="O8" s="1012">
        <v>41028</v>
      </c>
      <c r="P8" s="1012">
        <v>730428</v>
      </c>
      <c r="Q8" s="1012">
        <v>3358863</v>
      </c>
      <c r="R8"/>
      <c r="S8"/>
    </row>
    <row r="9" spans="1:19" s="252" customFormat="1" ht="15">
      <c r="A9" s="1011">
        <v>2006</v>
      </c>
      <c r="B9" s="1012">
        <v>9267784</v>
      </c>
      <c r="C9" s="1012">
        <v>85732152</v>
      </c>
      <c r="D9" s="1012">
        <v>26.60289111056154</v>
      </c>
      <c r="E9" s="1012">
        <v>85.433809523809543</v>
      </c>
      <c r="F9" s="1012">
        <v>1196936</v>
      </c>
      <c r="G9" s="1012">
        <v>780462</v>
      </c>
      <c r="H9" s="1012">
        <v>1317343</v>
      </c>
      <c r="I9" s="1012">
        <v>2737</v>
      </c>
      <c r="J9" s="1012">
        <v>2518448.7000000002</v>
      </c>
      <c r="K9" s="1012">
        <v>5.1290854438331852</v>
      </c>
      <c r="L9" s="1012">
        <v>15641</v>
      </c>
      <c r="M9" s="1012">
        <v>2497039</v>
      </c>
      <c r="N9" s="1012">
        <v>7394</v>
      </c>
      <c r="O9" s="1012">
        <v>1820194</v>
      </c>
      <c r="P9" s="1012">
        <v>19757</v>
      </c>
      <c r="Q9" s="1012">
        <v>2138419.0700000003</v>
      </c>
      <c r="R9"/>
      <c r="S9"/>
    </row>
    <row r="10" spans="1:19" s="252" customFormat="1" ht="15">
      <c r="A10" s="1011">
        <v>2007</v>
      </c>
      <c r="B10" s="1012">
        <v>18905348</v>
      </c>
      <c r="C10" s="1012">
        <v>124685471.67</v>
      </c>
      <c r="D10" s="1012">
        <v>31.953448980034906</v>
      </c>
      <c r="E10" s="1012">
        <v>87.577904145000304</v>
      </c>
      <c r="F10" s="1012">
        <v>2336772</v>
      </c>
      <c r="G10" s="1012">
        <v>293468</v>
      </c>
      <c r="H10" s="1012">
        <v>2429892</v>
      </c>
      <c r="I10" s="1012">
        <v>21252</v>
      </c>
      <c r="J10" s="1012">
        <v>3799283.76</v>
      </c>
      <c r="K10" s="1012">
        <v>3.5594011978045863</v>
      </c>
      <c r="L10" s="1012">
        <v>128755</v>
      </c>
      <c r="M10" s="1012">
        <v>10549692</v>
      </c>
      <c r="N10" s="1012">
        <v>13110</v>
      </c>
      <c r="O10" s="1012">
        <v>315251</v>
      </c>
      <c r="P10" s="1012">
        <v>221261</v>
      </c>
      <c r="Q10" s="1012">
        <v>5612910.3600000003</v>
      </c>
      <c r="R10"/>
      <c r="S10"/>
    </row>
    <row r="11" spans="1:19" s="252" customFormat="1" ht="15">
      <c r="A11" s="1011">
        <v>2008</v>
      </c>
      <c r="B11" s="1012">
        <v>23198767</v>
      </c>
      <c r="C11" s="1012">
        <v>271956957</v>
      </c>
      <c r="D11" s="1012">
        <v>47.927366768174871</v>
      </c>
      <c r="E11" s="1012">
        <v>85.509472718230455</v>
      </c>
      <c r="F11" s="1012">
        <v>1017774</v>
      </c>
      <c r="G11" s="1012">
        <v>394137</v>
      </c>
      <c r="H11" s="1012">
        <v>1425031</v>
      </c>
      <c r="I11" s="1012">
        <v>4674</v>
      </c>
      <c r="J11" s="1012">
        <v>9332084.620000001</v>
      </c>
      <c r="K11" s="1012">
        <v>10.159355455756533</v>
      </c>
      <c r="L11" s="1012">
        <v>374085</v>
      </c>
      <c r="M11" s="1012">
        <v>5902222</v>
      </c>
      <c r="N11" s="1012">
        <v>87080</v>
      </c>
      <c r="O11" s="1012">
        <v>82514</v>
      </c>
      <c r="P11" s="1012">
        <v>89783</v>
      </c>
      <c r="Q11" s="1012">
        <v>2105138.59</v>
      </c>
      <c r="R11"/>
      <c r="S11"/>
    </row>
    <row r="12" spans="1:19" s="252" customFormat="1" ht="15">
      <c r="A12" s="1011">
        <v>2009</v>
      </c>
      <c r="B12" s="1012">
        <v>38774110</v>
      </c>
      <c r="C12" s="1012">
        <v>54995130.139999993</v>
      </c>
      <c r="D12" s="1012">
        <v>37.98360180496703</v>
      </c>
      <c r="E12" s="1012">
        <v>88.500321117828662</v>
      </c>
      <c r="F12" s="1012">
        <v>2428623</v>
      </c>
      <c r="G12" s="1012">
        <v>710693</v>
      </c>
      <c r="H12" s="1012">
        <v>2568951</v>
      </c>
      <c r="I12" s="1012">
        <v>4667</v>
      </c>
      <c r="J12" s="1012">
        <v>4323180.16</v>
      </c>
      <c r="K12" s="1012">
        <v>10.298396539713284</v>
      </c>
      <c r="L12" s="1012">
        <v>174159</v>
      </c>
      <c r="M12" s="1012">
        <v>12435566</v>
      </c>
      <c r="N12" s="1012">
        <v>37427</v>
      </c>
      <c r="O12" s="1012">
        <v>137430</v>
      </c>
      <c r="P12" s="1012">
        <v>121818</v>
      </c>
      <c r="Q12" s="1012">
        <v>772984.9</v>
      </c>
      <c r="R12"/>
      <c r="S12"/>
    </row>
    <row r="13" spans="1:19" s="252" customFormat="1" ht="15">
      <c r="A13" s="1011">
        <v>2010</v>
      </c>
      <c r="B13" s="1012">
        <v>17039001</v>
      </c>
      <c r="C13" s="1012">
        <v>305656574.18000001</v>
      </c>
      <c r="D13" s="1012">
        <v>42.218196165445775</v>
      </c>
      <c r="E13" s="1012">
        <v>88.547981651376148</v>
      </c>
      <c r="F13" s="1012">
        <v>2308854</v>
      </c>
      <c r="G13" s="1012">
        <v>890088</v>
      </c>
      <c r="H13" s="1012">
        <v>2523041</v>
      </c>
      <c r="I13" s="1012">
        <v>3859</v>
      </c>
      <c r="J13" s="1012">
        <v>27694680.520000003</v>
      </c>
      <c r="K13" s="1012">
        <v>9.4993021580779295</v>
      </c>
      <c r="L13" s="1012">
        <v>51603</v>
      </c>
      <c r="M13" s="1012">
        <v>5211845</v>
      </c>
      <c r="N13" s="1012">
        <v>169536</v>
      </c>
      <c r="O13" s="1012">
        <v>159875</v>
      </c>
      <c r="P13" s="1012">
        <v>96986</v>
      </c>
      <c r="Q13" s="1012">
        <v>4454019.75</v>
      </c>
      <c r="R13"/>
      <c r="S13"/>
    </row>
    <row r="14" spans="1:19" s="252" customFormat="1" ht="15">
      <c r="A14" s="1011">
        <v>2011</v>
      </c>
      <c r="B14" s="1012">
        <v>27446633</v>
      </c>
      <c r="C14" s="1012">
        <v>68778362.911599994</v>
      </c>
      <c r="D14" s="1012">
        <v>24.92891097980781</v>
      </c>
      <c r="E14" s="1012">
        <v>88.359962555264147</v>
      </c>
      <c r="F14" s="1012">
        <v>1348195</v>
      </c>
      <c r="G14" s="1012">
        <v>567823</v>
      </c>
      <c r="H14" s="1012">
        <v>1422918</v>
      </c>
      <c r="I14" s="1012">
        <v>11639</v>
      </c>
      <c r="J14" s="1012">
        <v>5053991.51</v>
      </c>
      <c r="K14" s="1012">
        <v>5.0891433275642175</v>
      </c>
      <c r="L14" s="1012">
        <v>150426</v>
      </c>
      <c r="M14" s="1012">
        <v>16756696</v>
      </c>
      <c r="N14" s="1012">
        <v>20139</v>
      </c>
      <c r="O14" s="1012">
        <v>157210.6</v>
      </c>
      <c r="P14" s="1012">
        <v>41899</v>
      </c>
      <c r="Q14" s="1012">
        <v>970721.39</v>
      </c>
      <c r="R14"/>
      <c r="S14"/>
    </row>
    <row r="15" spans="1:19" s="252" customFormat="1" ht="15">
      <c r="A15" s="1011" t="s">
        <v>1719</v>
      </c>
      <c r="B15" s="1012">
        <v>153238649</v>
      </c>
      <c r="C15" s="1012">
        <v>1852926015.821599</v>
      </c>
      <c r="D15" s="1012">
        <v>35.19267271305371</v>
      </c>
      <c r="E15" s="1012">
        <v>86.752399758467888</v>
      </c>
      <c r="F15" s="1012">
        <v>13559930</v>
      </c>
      <c r="G15" s="1012">
        <v>4241951</v>
      </c>
      <c r="H15" s="1012">
        <v>14661963</v>
      </c>
      <c r="I15" s="1012">
        <v>65484</v>
      </c>
      <c r="J15" s="1012">
        <v>140726554.09</v>
      </c>
      <c r="K15" s="1012">
        <v>8.4535583984844767</v>
      </c>
      <c r="L15" s="1012">
        <v>1655309</v>
      </c>
      <c r="M15" s="1012">
        <v>59838899</v>
      </c>
      <c r="N15" s="1012">
        <v>346192</v>
      </c>
      <c r="O15" s="1012">
        <v>3889394.6</v>
      </c>
      <c r="P15" s="1012">
        <v>1702205</v>
      </c>
      <c r="Q15" s="1012">
        <v>116108747.06</v>
      </c>
      <c r="R15"/>
      <c r="S15"/>
    </row>
    <row r="16" spans="1:19" s="252" customFormat="1" ht="15">
      <c r="A16" s="1011"/>
      <c r="B16" s="1012"/>
      <c r="C16" s="1012"/>
      <c r="D16" s="1012"/>
      <c r="E16" s="1012"/>
      <c r="F16" s="1012"/>
      <c r="G16" s="1012"/>
      <c r="H16" s="1012"/>
      <c r="I16" s="1012"/>
      <c r="J16" s="1012"/>
      <c r="K16" s="1012"/>
      <c r="L16" s="1012"/>
      <c r="M16" s="1012"/>
      <c r="N16" s="1012"/>
      <c r="O16" s="1012"/>
      <c r="P16" s="1012"/>
      <c r="Q16" s="1012"/>
      <c r="R16"/>
      <c r="S16"/>
    </row>
    <row r="17" spans="1:19" s="252" customFormat="1" ht="15">
      <c r="A17" s="996" t="s">
        <v>2506</v>
      </c>
      <c r="B17" s="997">
        <f>AVERAGE(B6:B13)</f>
        <v>17970288</v>
      </c>
      <c r="C17" s="997">
        <f>AVERAGE(C6:C13)</f>
        <v>254878236.12999991</v>
      </c>
      <c r="D17" s="997"/>
      <c r="E17" s="997"/>
      <c r="F17" s="997">
        <f>AVERAGE(F6:F13)</f>
        <v>1744533.5714285714</v>
      </c>
      <c r="G17" s="997">
        <f t="shared" ref="G17:Q17" si="0">AVERAGE(G6:G13)</f>
        <v>524875.42857142852</v>
      </c>
      <c r="H17" s="997">
        <f t="shared" si="0"/>
        <v>1891292.142857143</v>
      </c>
      <c r="I17" s="997">
        <f t="shared" si="0"/>
        <v>7692.1428571428569</v>
      </c>
      <c r="J17" s="997">
        <f t="shared" si="0"/>
        <v>19381794.654285718</v>
      </c>
      <c r="K17" s="997">
        <f t="shared" si="0"/>
        <v>9.8958905341542138</v>
      </c>
      <c r="L17" s="997"/>
      <c r="M17" s="997">
        <f t="shared" si="0"/>
        <v>6154600.4285714282</v>
      </c>
      <c r="N17" s="997">
        <f t="shared" si="0"/>
        <v>46579</v>
      </c>
      <c r="O17" s="997">
        <f t="shared" si="0"/>
        <v>533169.14285714284</v>
      </c>
      <c r="P17" s="997">
        <f t="shared" si="0"/>
        <v>237186.57142857142</v>
      </c>
      <c r="Q17" s="997">
        <f t="shared" si="0"/>
        <v>16448289.381428571</v>
      </c>
      <c r="R17" s="1001"/>
      <c r="S17" s="1001"/>
    </row>
    <row r="18" spans="1:19" s="252" customFormat="1" ht="15"/>
  </sheetData>
  <pageMargins left="0.7" right="0.7" top="0.75" bottom="0.75" header="0.3" footer="0.3"/>
  <pageSetup paperSize="9" orientation="portrait" verticalDpi="0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/>
  <dimension ref="A2:P27"/>
  <sheetViews>
    <sheetView zoomScaleNormal="100" workbookViewId="0">
      <selection activeCell="F27" sqref="F27"/>
    </sheetView>
  </sheetViews>
  <sheetFormatPr defaultColWidth="8.85546875" defaultRowHeight="12.75"/>
  <cols>
    <col min="2" max="2" width="12.42578125" customWidth="1"/>
    <col min="3" max="3" width="11.140625" bestFit="1" customWidth="1"/>
    <col min="4" max="4" width="11" customWidth="1"/>
    <col min="5" max="6" width="18.42578125" customWidth="1"/>
    <col min="7" max="7" width="9" bestFit="1" customWidth="1"/>
    <col min="8" max="8" width="11.85546875" customWidth="1"/>
    <col min="9" max="10" width="10" bestFit="1" customWidth="1"/>
    <col min="11" max="11" width="11.7109375" customWidth="1"/>
    <col min="12" max="12" width="10.85546875" customWidth="1"/>
    <col min="13" max="16" width="10" bestFit="1" customWidth="1"/>
  </cols>
  <sheetData>
    <row r="2" spans="1:16">
      <c r="L2" t="s">
        <v>1531</v>
      </c>
    </row>
    <row r="3" spans="1:16">
      <c r="A3" s="20" t="s">
        <v>1509</v>
      </c>
      <c r="B3" s="20" t="s">
        <v>1510</v>
      </c>
      <c r="C3" s="20" t="s">
        <v>1534</v>
      </c>
      <c r="D3" s="20" t="s">
        <v>1535</v>
      </c>
      <c r="E3" s="20" t="s">
        <v>1511</v>
      </c>
      <c r="F3" s="20" t="s">
        <v>1524</v>
      </c>
      <c r="G3" s="20" t="s">
        <v>1512</v>
      </c>
      <c r="H3" s="20"/>
      <c r="I3" s="20"/>
      <c r="L3">
        <v>2006</v>
      </c>
      <c r="M3">
        <v>2007</v>
      </c>
      <c r="N3">
        <v>2008</v>
      </c>
      <c r="O3">
        <v>2009</v>
      </c>
      <c r="P3">
        <v>2010</v>
      </c>
    </row>
    <row r="4" spans="1:16">
      <c r="A4" s="27">
        <v>2006</v>
      </c>
      <c r="B4" s="1"/>
      <c r="C4" s="1"/>
      <c r="D4" s="1"/>
      <c r="E4" s="1"/>
      <c r="F4" s="1"/>
      <c r="G4" s="1"/>
      <c r="H4" s="1"/>
      <c r="I4" s="1"/>
      <c r="L4" s="1">
        <v>147.51900000000001</v>
      </c>
      <c r="M4" s="1">
        <v>214.35599999999999</v>
      </c>
      <c r="N4" s="1">
        <v>225.374</v>
      </c>
      <c r="O4" s="1">
        <v>223.23599999999999</v>
      </c>
      <c r="P4" s="1">
        <v>304.38799999999998</v>
      </c>
    </row>
    <row r="5" spans="1:16">
      <c r="A5" s="20"/>
      <c r="B5" s="1"/>
      <c r="C5" s="1"/>
      <c r="D5" s="1"/>
      <c r="E5" s="1"/>
      <c r="F5" s="1"/>
      <c r="G5" s="1"/>
      <c r="H5" s="1"/>
      <c r="I5" s="1"/>
      <c r="L5" t="s">
        <v>1532</v>
      </c>
    </row>
    <row r="6" spans="1:16">
      <c r="A6" s="20"/>
      <c r="B6" s="1"/>
      <c r="C6" s="1"/>
      <c r="D6" s="1"/>
      <c r="E6" s="1"/>
      <c r="F6" s="1"/>
      <c r="G6" s="1"/>
      <c r="H6" s="1"/>
      <c r="I6" s="1"/>
      <c r="L6">
        <v>33.826999999999998</v>
      </c>
      <c r="M6">
        <v>24.495999999999999</v>
      </c>
      <c r="N6">
        <v>242.19800000000001</v>
      </c>
      <c r="O6">
        <v>17.66</v>
      </c>
      <c r="P6">
        <v>304.476</v>
      </c>
    </row>
    <row r="7" spans="1:16">
      <c r="A7" s="28" t="s">
        <v>1533</v>
      </c>
      <c r="B7" s="231"/>
      <c r="C7" s="231">
        <v>147519000</v>
      </c>
      <c r="D7" s="231">
        <v>33827</v>
      </c>
      <c r="E7" s="1"/>
      <c r="F7" s="1"/>
      <c r="G7" s="1"/>
      <c r="H7" s="1"/>
      <c r="I7" s="1"/>
    </row>
    <row r="8" spans="1:16">
      <c r="A8" s="27">
        <v>2007</v>
      </c>
      <c r="B8" s="1"/>
      <c r="C8" s="1"/>
      <c r="D8" s="1"/>
      <c r="E8" s="1"/>
      <c r="F8" s="1"/>
      <c r="G8" s="1"/>
      <c r="H8" s="1"/>
      <c r="I8" s="1"/>
    </row>
    <row r="9" spans="1:16">
      <c r="A9" s="20"/>
      <c r="B9" s="1"/>
      <c r="C9" s="1"/>
      <c r="D9" s="1"/>
      <c r="E9" s="1"/>
      <c r="F9" s="1"/>
      <c r="G9" s="1"/>
      <c r="H9" s="1"/>
      <c r="I9" s="1"/>
    </row>
    <row r="10" spans="1:16">
      <c r="A10" s="20"/>
      <c r="B10" s="1"/>
      <c r="C10" s="1"/>
      <c r="D10" s="1"/>
      <c r="E10" s="1"/>
      <c r="F10" s="1"/>
      <c r="G10" s="1"/>
      <c r="H10" s="1"/>
      <c r="I10" s="1"/>
    </row>
    <row r="11" spans="1:16">
      <c r="A11" s="28" t="s">
        <v>1533</v>
      </c>
      <c r="B11" s="231"/>
      <c r="C11" s="231">
        <v>214356000</v>
      </c>
      <c r="D11" s="231">
        <v>24496</v>
      </c>
      <c r="E11" s="1"/>
      <c r="F11" s="1"/>
      <c r="G11" s="1"/>
      <c r="H11" s="1"/>
      <c r="I11" s="1"/>
    </row>
    <row r="12" spans="1:16">
      <c r="A12" s="27">
        <v>2008</v>
      </c>
      <c r="B12" s="1" t="s">
        <v>1527</v>
      </c>
      <c r="C12" s="1"/>
      <c r="D12" s="1"/>
      <c r="E12" s="1">
        <v>2200000</v>
      </c>
      <c r="F12" s="1">
        <v>11786531</v>
      </c>
      <c r="G12" s="1"/>
      <c r="H12" s="1"/>
      <c r="I12" s="1"/>
    </row>
    <row r="13" spans="1:16">
      <c r="A13" s="20"/>
      <c r="B13" s="233" t="s">
        <v>2430</v>
      </c>
      <c r="C13" s="1"/>
      <c r="D13" s="1"/>
      <c r="E13" s="1">
        <v>8000000</v>
      </c>
      <c r="F13" s="1">
        <v>64153</v>
      </c>
      <c r="G13" s="1"/>
      <c r="H13" s="1"/>
      <c r="I13" s="1"/>
    </row>
    <row r="14" spans="1:16">
      <c r="A14" s="20"/>
      <c r="B14" s="233" t="s">
        <v>2431</v>
      </c>
      <c r="C14" s="1"/>
      <c r="D14" s="1"/>
      <c r="E14" s="1">
        <v>2260800</v>
      </c>
      <c r="F14" s="1">
        <v>89847</v>
      </c>
      <c r="G14" s="1"/>
      <c r="H14" s="1"/>
      <c r="I14" s="1"/>
    </row>
    <row r="15" spans="1:16">
      <c r="A15" s="28" t="s">
        <v>1533</v>
      </c>
      <c r="B15" s="231"/>
      <c r="C15" s="231">
        <v>225374000</v>
      </c>
      <c r="D15" s="231">
        <v>242198</v>
      </c>
      <c r="E15" s="1"/>
      <c r="F15" s="1"/>
      <c r="G15" s="1"/>
      <c r="H15" s="1"/>
      <c r="I15" s="1"/>
    </row>
    <row r="16" spans="1:16">
      <c r="A16" s="27">
        <v>2009</v>
      </c>
      <c r="B16" s="1" t="s">
        <v>1528</v>
      </c>
      <c r="C16" s="1"/>
      <c r="D16" s="1"/>
      <c r="E16" s="1">
        <v>3000000</v>
      </c>
      <c r="F16" s="1">
        <v>89929</v>
      </c>
      <c r="G16" s="1"/>
      <c r="H16" s="1"/>
      <c r="I16" s="1"/>
    </row>
    <row r="17" spans="1:9">
      <c r="A17" s="20"/>
      <c r="B17" s="1" t="s">
        <v>1529</v>
      </c>
      <c r="C17" s="1"/>
      <c r="D17" s="1"/>
      <c r="E17" s="1">
        <v>3960000</v>
      </c>
      <c r="F17" s="1">
        <v>66731</v>
      </c>
      <c r="G17" s="1"/>
      <c r="H17" s="1"/>
      <c r="I17" s="1"/>
    </row>
    <row r="18" spans="1:9">
      <c r="A18" s="20"/>
      <c r="B18" s="233" t="s">
        <v>2429</v>
      </c>
      <c r="C18" s="1"/>
      <c r="D18" s="1"/>
      <c r="E18" s="1">
        <v>25000000</v>
      </c>
      <c r="F18" s="1">
        <v>1419206</v>
      </c>
      <c r="G18" s="1"/>
      <c r="H18" s="1"/>
      <c r="I18" s="1"/>
    </row>
    <row r="19" spans="1:9">
      <c r="A19" s="28" t="s">
        <v>1533</v>
      </c>
      <c r="B19" s="231"/>
      <c r="C19" s="231">
        <v>223236000</v>
      </c>
      <c r="D19" s="231">
        <v>17660</v>
      </c>
      <c r="E19" s="1"/>
      <c r="F19" s="1"/>
      <c r="G19" s="1"/>
      <c r="H19" s="1"/>
      <c r="I19" s="1"/>
    </row>
    <row r="20" spans="1:9">
      <c r="A20" s="27">
        <v>2010</v>
      </c>
      <c r="B20" s="1" t="s">
        <v>1513</v>
      </c>
      <c r="C20" s="1">
        <v>3800230</v>
      </c>
      <c r="D20" s="1">
        <v>222570</v>
      </c>
      <c r="E20" s="1">
        <v>400000</v>
      </c>
      <c r="F20" s="232">
        <v>282102385</v>
      </c>
      <c r="G20" s="1">
        <f>F20/E20</f>
        <v>705.25596250000001</v>
      </c>
      <c r="H20" s="1"/>
      <c r="I20" s="1"/>
    </row>
    <row r="21" spans="1:9">
      <c r="A21" s="20"/>
      <c r="B21" s="1" t="s">
        <v>1514</v>
      </c>
      <c r="C21" s="1">
        <v>2671747</v>
      </c>
      <c r="D21" s="1">
        <v>562</v>
      </c>
      <c r="E21" s="1">
        <v>50000</v>
      </c>
      <c r="F21" s="1">
        <v>7803419</v>
      </c>
      <c r="G21" s="1">
        <f>F21/E21</f>
        <v>156.06837999999999</v>
      </c>
      <c r="H21" s="1"/>
      <c r="I21" s="1"/>
    </row>
    <row r="22" spans="1:9">
      <c r="A22" s="20"/>
      <c r="B22" s="1" t="s">
        <v>1515</v>
      </c>
      <c r="C22" s="1">
        <v>20397957</v>
      </c>
      <c r="D22" s="1">
        <v>1985</v>
      </c>
      <c r="E22" s="1">
        <v>900000</v>
      </c>
      <c r="F22" s="1">
        <v>130673677</v>
      </c>
      <c r="G22" s="1">
        <f>F22/E22</f>
        <v>145.19297444444445</v>
      </c>
      <c r="H22" s="1"/>
      <c r="I22" s="1"/>
    </row>
    <row r="23" spans="1:9">
      <c r="A23" s="20"/>
      <c r="B23" s="1" t="s">
        <v>1526</v>
      </c>
      <c r="C23" s="1"/>
      <c r="D23" s="1">
        <v>219</v>
      </c>
      <c r="E23" s="1">
        <v>3000000</v>
      </c>
      <c r="F23" s="1">
        <v>419748</v>
      </c>
      <c r="G23" s="1"/>
      <c r="H23" s="1"/>
      <c r="I23" s="1"/>
    </row>
    <row r="24" spans="1:9">
      <c r="A24" s="28" t="s">
        <v>1533</v>
      </c>
      <c r="B24" s="231"/>
      <c r="C24" s="231">
        <v>304388000</v>
      </c>
      <c r="D24" s="231">
        <v>304476</v>
      </c>
      <c r="E24" s="1"/>
      <c r="F24" s="1"/>
      <c r="G24" s="1"/>
      <c r="H24" s="1"/>
      <c r="I24" s="1"/>
    </row>
    <row r="25" spans="1:9">
      <c r="A25" s="27">
        <v>2011</v>
      </c>
      <c r="B25" s="1" t="s">
        <v>1525</v>
      </c>
      <c r="C25" s="1"/>
      <c r="D25" s="1"/>
      <c r="E25" s="1">
        <v>7300000</v>
      </c>
      <c r="F25" s="1">
        <v>1690166</v>
      </c>
      <c r="G25" s="1"/>
      <c r="H25" s="1"/>
      <c r="I25" s="1"/>
    </row>
    <row r="26" spans="1:9">
      <c r="A26" s="20"/>
      <c r="B26" s="1" t="s">
        <v>1530</v>
      </c>
      <c r="C26" s="1"/>
      <c r="D26" s="1"/>
      <c r="E26" s="1">
        <v>2135700</v>
      </c>
      <c r="F26" s="1">
        <v>194658</v>
      </c>
      <c r="G26" s="1"/>
      <c r="H26" s="1"/>
      <c r="I26" s="1"/>
    </row>
    <row r="27" spans="1:9">
      <c r="A27" s="28" t="s">
        <v>1533</v>
      </c>
      <c r="B27" s="28"/>
      <c r="C27" s="28"/>
      <c r="D27" s="28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zoomScale="80" zoomScaleNormal="80" workbookViewId="0">
      <selection activeCell="B3" sqref="B3"/>
    </sheetView>
  </sheetViews>
  <sheetFormatPr defaultRowHeight="12.75"/>
  <cols>
    <col min="1" max="1" width="29.85546875" customWidth="1"/>
    <col min="2" max="2" width="34.140625" customWidth="1"/>
    <col min="3" max="3" width="29.5703125" customWidth="1"/>
    <col min="4" max="4" width="25.85546875" customWidth="1"/>
    <col min="5" max="5" width="30.28515625" customWidth="1"/>
    <col min="6" max="6" width="26.42578125" customWidth="1"/>
    <col min="7" max="7" width="30" customWidth="1"/>
    <col min="8" max="8" width="23.7109375" customWidth="1"/>
    <col min="9" max="9" width="51.5703125" customWidth="1"/>
    <col min="10" max="10" width="30.7109375" customWidth="1"/>
    <col min="11" max="11" width="29.140625" customWidth="1"/>
    <col min="12" max="12" width="35.28515625" customWidth="1"/>
    <col min="13" max="13" width="41.42578125" customWidth="1"/>
    <col min="14" max="14" width="24.85546875" customWidth="1"/>
    <col min="15" max="15" width="47.28515625" customWidth="1"/>
    <col min="16" max="16" width="38" customWidth="1"/>
    <col min="17" max="17" width="25.28515625" customWidth="1"/>
    <col min="18" max="18" width="30.28515625" customWidth="1"/>
    <col min="19" max="19" width="43.42578125" customWidth="1"/>
  </cols>
  <sheetData>
    <row r="1" spans="1:19" s="252" customFormat="1" ht="15">
      <c r="A1" s="1006" t="s">
        <v>2316</v>
      </c>
      <c r="B1" s="1007" t="s">
        <v>2470</v>
      </c>
    </row>
    <row r="2" spans="1:19" s="252" customFormat="1" ht="15">
      <c r="A2" s="1006" t="s">
        <v>42</v>
      </c>
      <c r="B2" s="1007" t="s">
        <v>2470</v>
      </c>
    </row>
    <row r="3" spans="1:19" s="252" customFormat="1" ht="15">
      <c r="A3" s="1006" t="s">
        <v>2439</v>
      </c>
      <c r="B3" s="1007" t="s">
        <v>2470</v>
      </c>
    </row>
    <row r="4" spans="1:19" s="252" customFormat="1" ht="15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</row>
    <row r="5" spans="1:19" s="252" customFormat="1" ht="15">
      <c r="A5" s="1007"/>
      <c r="B5" s="1013" t="s">
        <v>2491</v>
      </c>
      <c r="C5" s="1007"/>
      <c r="D5" s="1007"/>
      <c r="E5" s="1007"/>
      <c r="F5" s="1007"/>
      <c r="G5" s="1007"/>
      <c r="H5" s="1007"/>
      <c r="I5" s="1007"/>
      <c r="J5" s="1007"/>
      <c r="K5" s="1007"/>
      <c r="L5" s="1007"/>
      <c r="M5" s="1007"/>
      <c r="N5" s="1007"/>
      <c r="O5" s="1007"/>
      <c r="P5" s="1007"/>
      <c r="Q5" s="1007"/>
      <c r="R5" s="1007"/>
      <c r="S5" s="1007"/>
    </row>
    <row r="6" spans="1:19" s="252" customFormat="1" ht="15">
      <c r="A6" s="1006" t="s">
        <v>2471</v>
      </c>
      <c r="B6" s="1008" t="s">
        <v>2473</v>
      </c>
      <c r="C6" s="1008" t="s">
        <v>2472</v>
      </c>
      <c r="D6" s="1008" t="s">
        <v>2476</v>
      </c>
      <c r="E6" s="1008" t="s">
        <v>2481</v>
      </c>
      <c r="F6" s="1009" t="s">
        <v>2474</v>
      </c>
      <c r="G6" s="1009" t="s">
        <v>2477</v>
      </c>
      <c r="H6" s="1009" t="s">
        <v>2478</v>
      </c>
      <c r="I6" s="1009" t="s">
        <v>2480</v>
      </c>
      <c r="J6" s="1009" t="s">
        <v>2479</v>
      </c>
      <c r="K6" s="1009" t="s">
        <v>2509</v>
      </c>
      <c r="L6" s="1009" t="s">
        <v>2483</v>
      </c>
      <c r="M6" s="1010" t="s">
        <v>2484</v>
      </c>
      <c r="N6" s="1010" t="s">
        <v>2486</v>
      </c>
      <c r="O6" s="1010" t="s">
        <v>2485</v>
      </c>
      <c r="P6" s="1010" t="s">
        <v>2487</v>
      </c>
      <c r="Q6" s="1010" t="s">
        <v>2488</v>
      </c>
      <c r="R6" s="1010" t="s">
        <v>2510</v>
      </c>
      <c r="S6" s="1010" t="s">
        <v>2489</v>
      </c>
    </row>
    <row r="7" spans="1:19" s="252" customFormat="1" ht="15">
      <c r="A7" s="1011" t="s">
        <v>1299</v>
      </c>
      <c r="B7" s="1012">
        <v>108182279</v>
      </c>
      <c r="C7" s="1012">
        <v>238750110.62160003</v>
      </c>
      <c r="D7" s="1012">
        <v>8662.0797005213408</v>
      </c>
      <c r="E7" s="1012">
        <v>82.738851826762655</v>
      </c>
      <c r="F7" s="1012">
        <v>8512433</v>
      </c>
      <c r="G7" s="1012">
        <v>1789472</v>
      </c>
      <c r="H7" s="1012">
        <v>8875383</v>
      </c>
      <c r="I7" s="1012">
        <v>13590135.379999999</v>
      </c>
      <c r="J7" s="1012">
        <v>57420</v>
      </c>
      <c r="K7" s="1012">
        <v>15906692</v>
      </c>
      <c r="L7" s="1012">
        <v>5.5204438181716133</v>
      </c>
      <c r="M7" s="1012">
        <v>207840</v>
      </c>
      <c r="N7" s="1012">
        <v>186116</v>
      </c>
      <c r="O7" s="1012">
        <v>49405359</v>
      </c>
      <c r="P7" s="1012">
        <v>3247114.6</v>
      </c>
      <c r="Q7" s="1012">
        <v>423613</v>
      </c>
      <c r="R7" s="1012">
        <v>50031364</v>
      </c>
      <c r="S7" s="1012">
        <v>4161761.07</v>
      </c>
    </row>
    <row r="8" spans="1:19" s="252" customFormat="1" ht="15">
      <c r="A8" s="1011" t="s">
        <v>1286</v>
      </c>
      <c r="B8" s="1012">
        <v>6337221</v>
      </c>
      <c r="C8" s="1012">
        <v>257655136.74000001</v>
      </c>
      <c r="D8" s="1012">
        <v>5877.3968043385266</v>
      </c>
      <c r="E8" s="1012">
        <v>90.181946035487215</v>
      </c>
      <c r="F8" s="1012">
        <v>777642</v>
      </c>
      <c r="G8" s="1012">
        <v>341358</v>
      </c>
      <c r="H8" s="1012">
        <v>929170</v>
      </c>
      <c r="I8" s="1012">
        <v>24652164.149999999</v>
      </c>
      <c r="J8" s="1012">
        <v>2411</v>
      </c>
      <c r="K8" s="1012">
        <v>2562411</v>
      </c>
      <c r="L8" s="1012">
        <v>13.821889359532845</v>
      </c>
      <c r="M8" s="1012">
        <v>706182</v>
      </c>
      <c r="N8" s="1012">
        <v>7591</v>
      </c>
      <c r="O8" s="1012">
        <v>2006768</v>
      </c>
      <c r="P8" s="1012">
        <v>215605</v>
      </c>
      <c r="Q8" s="1012">
        <v>65769</v>
      </c>
      <c r="R8" s="1012">
        <v>2776362</v>
      </c>
      <c r="S8" s="1012">
        <v>2334585.1</v>
      </c>
    </row>
    <row r="9" spans="1:19" s="252" customFormat="1" ht="15">
      <c r="A9" s="1011" t="s">
        <v>1261</v>
      </c>
      <c r="B9" s="1012">
        <v>30971200</v>
      </c>
      <c r="C9" s="1012">
        <v>1280466762.8999991</v>
      </c>
      <c r="D9" s="1012">
        <v>5058.7181096040031</v>
      </c>
      <c r="E9" s="1012">
        <v>89.350148174409682</v>
      </c>
      <c r="F9" s="1012">
        <v>4164657</v>
      </c>
      <c r="G9" s="1012">
        <v>2095832</v>
      </c>
      <c r="H9" s="1012">
        <v>4637213</v>
      </c>
      <c r="I9" s="1012">
        <v>100088140.66</v>
      </c>
      <c r="J9" s="1012">
        <v>4032</v>
      </c>
      <c r="K9" s="1012">
        <v>7284252</v>
      </c>
      <c r="L9" s="1012">
        <v>11.484753523125374</v>
      </c>
      <c r="M9" s="1012">
        <v>684173</v>
      </c>
      <c r="N9" s="1012">
        <v>92355</v>
      </c>
      <c r="O9" s="1012">
        <v>7380922</v>
      </c>
      <c r="P9" s="1012">
        <v>422107</v>
      </c>
      <c r="Q9" s="1012">
        <v>1056679</v>
      </c>
      <c r="R9" s="1012">
        <v>9121774</v>
      </c>
      <c r="S9" s="1012">
        <v>105556331.89</v>
      </c>
    </row>
    <row r="10" spans="1:19" s="252" customFormat="1" ht="15">
      <c r="A10" s="1011" t="s">
        <v>1260</v>
      </c>
      <c r="B10" s="1012">
        <v>3621111</v>
      </c>
      <c r="C10" s="1012">
        <v>23565193.939999998</v>
      </c>
      <c r="D10" s="1012">
        <v>3718.8714902639153</v>
      </c>
      <c r="E10" s="1012">
        <v>94.890319713660986</v>
      </c>
      <c r="F10" s="1012">
        <v>88503</v>
      </c>
      <c r="G10" s="1012">
        <v>8326</v>
      </c>
      <c r="H10" s="1012">
        <v>200039</v>
      </c>
      <c r="I10" s="1012">
        <v>1080552</v>
      </c>
      <c r="J10" s="1012">
        <v>1051</v>
      </c>
      <c r="K10" s="1012">
        <v>184159</v>
      </c>
      <c r="L10" s="1012">
        <v>9.7738226694216657</v>
      </c>
      <c r="M10" s="1012">
        <v>22423</v>
      </c>
      <c r="N10" s="1012">
        <v>12034</v>
      </c>
      <c r="O10" s="1012">
        <v>985540</v>
      </c>
      <c r="P10" s="1012">
        <v>0</v>
      </c>
      <c r="Q10" s="1012">
        <v>310</v>
      </c>
      <c r="R10" s="1012">
        <v>1008273</v>
      </c>
      <c r="S10" s="1012">
        <v>47066</v>
      </c>
    </row>
    <row r="11" spans="1:19" s="252" customFormat="1" ht="15">
      <c r="A11" s="1011" t="s">
        <v>1559</v>
      </c>
      <c r="B11" s="1012">
        <v>976000</v>
      </c>
      <c r="C11" s="1012"/>
      <c r="D11" s="1012">
        <v>0</v>
      </c>
      <c r="E11" s="1012"/>
      <c r="F11" s="1012">
        <v>0</v>
      </c>
      <c r="G11" s="1012">
        <v>0</v>
      </c>
      <c r="H11" s="1012">
        <v>0</v>
      </c>
      <c r="I11" s="1012">
        <v>0</v>
      </c>
      <c r="J11" s="1012">
        <v>0</v>
      </c>
      <c r="K11" s="1012">
        <v>0</v>
      </c>
      <c r="L11" s="1012"/>
      <c r="M11" s="1012">
        <v>0</v>
      </c>
      <c r="N11" s="1012">
        <v>0</v>
      </c>
      <c r="O11" s="1012">
        <v>0</v>
      </c>
      <c r="P11" s="1012">
        <v>0</v>
      </c>
      <c r="Q11" s="1012">
        <v>0</v>
      </c>
      <c r="R11" s="1012">
        <v>0</v>
      </c>
      <c r="S11" s="1012">
        <v>0</v>
      </c>
    </row>
    <row r="12" spans="1:19" s="252" customFormat="1" ht="15">
      <c r="A12" s="1011" t="s">
        <v>1278</v>
      </c>
      <c r="B12" s="1012">
        <v>3150838</v>
      </c>
      <c r="C12" s="1012">
        <v>52488811.620000005</v>
      </c>
      <c r="D12" s="1012">
        <v>2232.814284949186</v>
      </c>
      <c r="E12" s="1012">
        <v>84.473193473193476</v>
      </c>
      <c r="F12" s="1012">
        <v>16695</v>
      </c>
      <c r="G12" s="1012">
        <v>6963</v>
      </c>
      <c r="H12" s="1012">
        <v>20158</v>
      </c>
      <c r="I12" s="1012">
        <v>1315561.8999999999</v>
      </c>
      <c r="J12" s="1012">
        <v>570</v>
      </c>
      <c r="K12" s="1012">
        <v>235263</v>
      </c>
      <c r="L12" s="1012">
        <v>4.4759414384324208</v>
      </c>
      <c r="M12" s="1012">
        <v>34691</v>
      </c>
      <c r="N12" s="1012">
        <v>48096</v>
      </c>
      <c r="O12" s="1012">
        <v>60310</v>
      </c>
      <c r="P12" s="1012">
        <v>4568</v>
      </c>
      <c r="Q12" s="1012">
        <v>155834</v>
      </c>
      <c r="R12" s="1012">
        <v>250835</v>
      </c>
      <c r="S12" s="1012">
        <v>4009003</v>
      </c>
    </row>
    <row r="13" spans="1:19" s="252" customFormat="1" ht="15">
      <c r="A13" s="1011" t="s">
        <v>1719</v>
      </c>
      <c r="B13" s="1012">
        <v>153238649</v>
      </c>
      <c r="C13" s="1012">
        <v>1852926015.821599</v>
      </c>
      <c r="D13" s="1012">
        <v>25549.880389677004</v>
      </c>
      <c r="E13" s="1012">
        <v>86.752399758467902</v>
      </c>
      <c r="F13" s="1012">
        <v>13559930</v>
      </c>
      <c r="G13" s="1012">
        <v>4241951</v>
      </c>
      <c r="H13" s="1012">
        <v>14661963</v>
      </c>
      <c r="I13" s="1012">
        <v>140726554.09</v>
      </c>
      <c r="J13" s="1012">
        <v>65484</v>
      </c>
      <c r="K13" s="1012">
        <v>26172777</v>
      </c>
      <c r="L13" s="1012">
        <v>8.453558398484482</v>
      </c>
      <c r="M13" s="1012">
        <v>1655309</v>
      </c>
      <c r="N13" s="1012">
        <v>346192</v>
      </c>
      <c r="O13" s="1012">
        <v>59838899</v>
      </c>
      <c r="P13" s="1012">
        <v>3889394.6</v>
      </c>
      <c r="Q13" s="1012">
        <v>1702205</v>
      </c>
      <c r="R13" s="1012">
        <v>63188608</v>
      </c>
      <c r="S13" s="1012">
        <v>116108747.06</v>
      </c>
    </row>
    <row r="14" spans="1:19" s="252" customFormat="1" ht="15">
      <c r="A14" s="1006" t="s">
        <v>2316</v>
      </c>
      <c r="B14" s="1007" t="s">
        <v>2470</v>
      </c>
    </row>
    <row r="15" spans="1:19" s="252" customFormat="1" ht="15">
      <c r="A15" s="1006" t="s">
        <v>42</v>
      </c>
      <c r="B15" s="1007" t="s">
        <v>2470</v>
      </c>
    </row>
    <row r="16" spans="1:19" s="252" customFormat="1" ht="15">
      <c r="A16" s="1006" t="s">
        <v>2439</v>
      </c>
      <c r="B16" s="1007" t="s">
        <v>2470</v>
      </c>
    </row>
    <row r="17" spans="1:19" s="252" customFormat="1" ht="15"/>
    <row r="18" spans="1:19" s="252" customFormat="1" ht="15">
      <c r="A18" s="1007"/>
      <c r="B18" s="1014" t="s">
        <v>2492</v>
      </c>
      <c r="C18" s="1007"/>
      <c r="D18" s="1007"/>
      <c r="E18" s="1007"/>
      <c r="F18" s="1007"/>
      <c r="G18" s="1007"/>
      <c r="H18" s="1007"/>
      <c r="I18" s="1007"/>
      <c r="J18" s="1007"/>
      <c r="K18" s="1007"/>
      <c r="L18" s="1007"/>
      <c r="M18" s="1007"/>
      <c r="N18" s="1007"/>
      <c r="O18" s="1007"/>
      <c r="P18" s="1007"/>
      <c r="Q18" s="1007"/>
      <c r="R18" s="1007"/>
      <c r="S18" s="1007"/>
    </row>
    <row r="19" spans="1:19" s="252" customFormat="1" ht="15">
      <c r="A19" s="1006" t="s">
        <v>2471</v>
      </c>
      <c r="B19" s="1008" t="s">
        <v>2490</v>
      </c>
      <c r="C19" s="1008" t="s">
        <v>2493</v>
      </c>
      <c r="D19" s="1008" t="s">
        <v>2482</v>
      </c>
      <c r="E19" s="1008" t="s">
        <v>2481</v>
      </c>
      <c r="F19" s="1009" t="s">
        <v>2494</v>
      </c>
      <c r="G19" s="1009" t="s">
        <v>2495</v>
      </c>
      <c r="H19" s="1009" t="s">
        <v>2496</v>
      </c>
      <c r="I19" s="1009" t="s">
        <v>2498</v>
      </c>
      <c r="J19" s="1009" t="s">
        <v>2497</v>
      </c>
      <c r="K19" s="1009" t="s">
        <v>2511</v>
      </c>
      <c r="L19" s="1009" t="s">
        <v>2483</v>
      </c>
      <c r="M19" s="1010" t="s">
        <v>2499</v>
      </c>
      <c r="N19" s="1010" t="s">
        <v>2504</v>
      </c>
      <c r="O19" s="1010" t="s">
        <v>2500</v>
      </c>
      <c r="P19" s="1010" t="s">
        <v>2503</v>
      </c>
      <c r="Q19" s="1010" t="s">
        <v>2502</v>
      </c>
      <c r="R19" s="1010" t="s">
        <v>2512</v>
      </c>
      <c r="S19" s="1010" t="s">
        <v>2501</v>
      </c>
    </row>
    <row r="20" spans="1:19" s="252" customFormat="1" ht="15">
      <c r="A20" s="1011" t="s">
        <v>1299</v>
      </c>
      <c r="B20" s="1012">
        <v>316322.45321637427</v>
      </c>
      <c r="C20" s="1012">
        <v>686063.53626896557</v>
      </c>
      <c r="D20" s="1012">
        <v>25.401993256660823</v>
      </c>
      <c r="E20" s="1012">
        <v>82.738851826762655</v>
      </c>
      <c r="F20" s="1012">
        <v>53876.1582278481</v>
      </c>
      <c r="G20" s="1012">
        <v>14912.266666666666</v>
      </c>
      <c r="H20" s="1012">
        <v>49861.70224719101</v>
      </c>
      <c r="I20" s="1012">
        <v>67612.613830845759</v>
      </c>
      <c r="J20" s="1012">
        <v>368.07692307692309</v>
      </c>
      <c r="K20" s="1012">
        <v>83281.109947643985</v>
      </c>
      <c r="L20" s="1012">
        <v>5.5204438181716133</v>
      </c>
      <c r="M20" s="1012">
        <v>9447.2727272727279</v>
      </c>
      <c r="N20" s="1012">
        <v>1039.7541899441342</v>
      </c>
      <c r="O20" s="1012">
        <v>277558.19662921346</v>
      </c>
      <c r="P20" s="1012">
        <v>25770.750793650794</v>
      </c>
      <c r="Q20" s="1012">
        <v>11147.71052631579</v>
      </c>
      <c r="R20" s="1012">
        <v>139363.13091922004</v>
      </c>
      <c r="S20" s="1012">
        <v>24920.72497005988</v>
      </c>
    </row>
    <row r="21" spans="1:19" s="252" customFormat="1" ht="15">
      <c r="A21" s="1011" t="s">
        <v>1286</v>
      </c>
      <c r="B21" s="1012">
        <v>42531.68456375839</v>
      </c>
      <c r="C21" s="1012">
        <v>1673085.3035064936</v>
      </c>
      <c r="D21" s="1012">
        <v>39.445616136500178</v>
      </c>
      <c r="E21" s="1012">
        <v>90.181946035487215</v>
      </c>
      <c r="F21" s="1012">
        <v>13642.842105263158</v>
      </c>
      <c r="G21" s="1012">
        <v>13129.153846153846</v>
      </c>
      <c r="H21" s="1012">
        <v>14986.612903225807</v>
      </c>
      <c r="I21" s="1012">
        <v>385190.06484374998</v>
      </c>
      <c r="J21" s="1012">
        <v>109.59090909090909</v>
      </c>
      <c r="K21" s="1012">
        <v>48347.377358490565</v>
      </c>
      <c r="L21" s="1012">
        <v>13.821889359532845</v>
      </c>
      <c r="M21" s="1012">
        <v>19086</v>
      </c>
      <c r="N21" s="1012">
        <v>158.14583333333334</v>
      </c>
      <c r="O21" s="1012">
        <v>42697.191489361699</v>
      </c>
      <c r="P21" s="1012">
        <v>5390.125</v>
      </c>
      <c r="Q21" s="1012">
        <v>5059.1538461538457</v>
      </c>
      <c r="R21" s="1012">
        <v>18759.202702702703</v>
      </c>
      <c r="S21" s="1012">
        <v>48637.189583333333</v>
      </c>
    </row>
    <row r="22" spans="1:19" s="252" customFormat="1" ht="15">
      <c r="A22" s="1011" t="s">
        <v>1261</v>
      </c>
      <c r="B22" s="1012">
        <v>271677.19298245612</v>
      </c>
      <c r="C22" s="1012">
        <v>10851413.244915247</v>
      </c>
      <c r="D22" s="1012">
        <v>44.767416899150469</v>
      </c>
      <c r="E22" s="1012">
        <v>89.350148174409682</v>
      </c>
      <c r="F22" s="1012">
        <v>73064.15789473684</v>
      </c>
      <c r="G22" s="1012">
        <v>72270.068965517246</v>
      </c>
      <c r="H22" s="1012">
        <v>71341.738461538465</v>
      </c>
      <c r="I22" s="1012">
        <v>1755932.2922807017</v>
      </c>
      <c r="J22" s="1012">
        <v>192</v>
      </c>
      <c r="K22" s="1012">
        <v>140081.76923076922</v>
      </c>
      <c r="L22" s="1012">
        <v>11.484753523125374</v>
      </c>
      <c r="M22" s="1012">
        <v>42760.8125</v>
      </c>
      <c r="N22" s="1012">
        <v>2638.7142857142858</v>
      </c>
      <c r="O22" s="1012">
        <v>254514.55172413794</v>
      </c>
      <c r="P22" s="1012">
        <v>15075.25</v>
      </c>
      <c r="Q22" s="1012">
        <v>62157.588235294119</v>
      </c>
      <c r="R22" s="1012">
        <v>78635.982758620696</v>
      </c>
      <c r="S22" s="1012">
        <v>2294702.8671739129</v>
      </c>
    </row>
    <row r="23" spans="1:19" s="252" customFormat="1" ht="15">
      <c r="A23" s="1011" t="s">
        <v>1260</v>
      </c>
      <c r="B23" s="1012">
        <v>44159.890243902439</v>
      </c>
      <c r="C23" s="1012">
        <v>258958.17516483515</v>
      </c>
      <c r="D23" s="1012">
        <v>45.352091344681895</v>
      </c>
      <c r="E23" s="1012">
        <v>94.890319713660986</v>
      </c>
      <c r="F23" s="1012">
        <v>4022.8636363636365</v>
      </c>
      <c r="G23" s="1012">
        <v>2081.5</v>
      </c>
      <c r="H23" s="1012">
        <v>7144.25</v>
      </c>
      <c r="I23" s="1012">
        <v>28435.57894736842</v>
      </c>
      <c r="J23" s="1012">
        <v>105.1</v>
      </c>
      <c r="K23" s="1012">
        <v>7366.36</v>
      </c>
      <c r="L23" s="1012">
        <v>9.7738226694216657</v>
      </c>
      <c r="M23" s="1012">
        <v>1319</v>
      </c>
      <c r="N23" s="1012">
        <v>601.70000000000005</v>
      </c>
      <c r="O23" s="1012">
        <v>82128.333333333328</v>
      </c>
      <c r="P23" s="1012" t="e">
        <v>#DIV/0!</v>
      </c>
      <c r="Q23" s="1012">
        <v>155</v>
      </c>
      <c r="R23" s="1012">
        <v>11328.91011235955</v>
      </c>
      <c r="S23" s="1012">
        <v>2768.5882352941176</v>
      </c>
    </row>
    <row r="24" spans="1:19" s="252" customFormat="1" ht="15">
      <c r="A24" s="1011" t="s">
        <v>1559</v>
      </c>
      <c r="B24" s="1012">
        <v>976000</v>
      </c>
      <c r="C24" s="1012"/>
      <c r="D24" s="1012">
        <v>0</v>
      </c>
      <c r="E24" s="1012"/>
      <c r="F24" s="1012" t="e">
        <v>#DIV/0!</v>
      </c>
      <c r="G24" s="1012" t="e">
        <v>#DIV/0!</v>
      </c>
      <c r="H24" s="1012" t="e">
        <v>#DIV/0!</v>
      </c>
      <c r="I24" s="1012" t="e">
        <v>#DIV/0!</v>
      </c>
      <c r="J24" s="1012" t="e">
        <v>#DIV/0!</v>
      </c>
      <c r="K24" s="1012" t="e">
        <v>#DIV/0!</v>
      </c>
      <c r="L24" s="1012"/>
      <c r="M24" s="1012" t="e">
        <v>#DIV/0!</v>
      </c>
      <c r="N24" s="1012" t="e">
        <v>#DIV/0!</v>
      </c>
      <c r="O24" s="1012" t="e">
        <v>#DIV/0!</v>
      </c>
      <c r="P24" s="1012" t="e">
        <v>#DIV/0!</v>
      </c>
      <c r="Q24" s="1012" t="e">
        <v>#DIV/0!</v>
      </c>
      <c r="R24" s="1012">
        <v>0</v>
      </c>
      <c r="S24" s="1012" t="e">
        <v>#DIV/0!</v>
      </c>
    </row>
    <row r="25" spans="1:19" s="252" customFormat="1" ht="15">
      <c r="A25" s="1011" t="s">
        <v>1278</v>
      </c>
      <c r="B25" s="1012">
        <v>78770.95</v>
      </c>
      <c r="C25" s="1012">
        <v>1220670.0376744187</v>
      </c>
      <c r="D25" s="1012">
        <v>55.82035712372965</v>
      </c>
      <c r="E25" s="1012">
        <v>84.473193473193476</v>
      </c>
      <c r="F25" s="1012">
        <v>2782.5</v>
      </c>
      <c r="G25" s="1012">
        <v>994.71428571428567</v>
      </c>
      <c r="H25" s="1012">
        <v>2239.7777777777778</v>
      </c>
      <c r="I25" s="1012">
        <v>109630.15833333333</v>
      </c>
      <c r="J25" s="1012">
        <v>142.5</v>
      </c>
      <c r="K25" s="1012">
        <v>23526.3</v>
      </c>
      <c r="L25" s="1012">
        <v>4.4759414384324208</v>
      </c>
      <c r="M25" s="1012">
        <v>2668.5384615384614</v>
      </c>
      <c r="N25" s="1012">
        <v>2829.1764705882351</v>
      </c>
      <c r="O25" s="1012">
        <v>8615.7142857142862</v>
      </c>
      <c r="P25" s="1012">
        <v>4568</v>
      </c>
      <c r="Q25" s="1012">
        <v>31166.799999999999</v>
      </c>
      <c r="R25" s="1012">
        <v>5574.1111111111113</v>
      </c>
      <c r="S25" s="1012">
        <v>222722.38888888888</v>
      </c>
    </row>
    <row r="26" spans="1:19" s="252" customFormat="1" ht="15">
      <c r="A26" s="1011" t="s">
        <v>1719</v>
      </c>
      <c r="B26" s="1012">
        <v>210492.64972527474</v>
      </c>
      <c r="C26" s="1012">
        <v>2457461.5594450915</v>
      </c>
      <c r="D26" s="1012">
        <v>35.192672713053724</v>
      </c>
      <c r="E26" s="1012">
        <v>86.752399758467902</v>
      </c>
      <c r="F26" s="1012">
        <v>45199.76666666667</v>
      </c>
      <c r="G26" s="1012">
        <v>22806.18817204301</v>
      </c>
      <c r="H26" s="1012">
        <v>42871.23684210526</v>
      </c>
      <c r="I26" s="1012">
        <v>378297.1884139785</v>
      </c>
      <c r="J26" s="1012">
        <v>307.43661971830988</v>
      </c>
      <c r="K26" s="1012">
        <v>79071.833836858001</v>
      </c>
      <c r="L26" s="1012">
        <v>8.453558398484482</v>
      </c>
      <c r="M26" s="1012">
        <v>15764.847619047619</v>
      </c>
      <c r="N26" s="1012">
        <v>1157.8327759197325</v>
      </c>
      <c r="O26" s="1012">
        <v>219190.10622710624</v>
      </c>
      <c r="P26" s="1012">
        <v>19945.613333333335</v>
      </c>
      <c r="Q26" s="1012">
        <v>22696.066666666666</v>
      </c>
      <c r="R26" s="1012">
        <v>83362.279683377303</v>
      </c>
      <c r="S26" s="1012">
        <v>392259.28060810809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N788"/>
  <sheetViews>
    <sheetView topLeftCell="O1" zoomScale="90" zoomScaleNormal="90" zoomScalePageLayoutView="125" workbookViewId="0">
      <pane ySplit="1" topLeftCell="A2" activePane="bottomLeft" state="frozen"/>
      <selection pane="bottomLeft" activeCell="V3" sqref="V3"/>
    </sheetView>
  </sheetViews>
  <sheetFormatPr defaultColWidth="11.42578125" defaultRowHeight="12.75"/>
  <cols>
    <col min="1" max="1" width="11.42578125" style="64"/>
    <col min="2" max="2" width="20.140625" style="94" customWidth="1"/>
    <col min="3" max="3" width="25.7109375" style="94" customWidth="1"/>
    <col min="4" max="4" width="13.85546875" style="770" customWidth="1"/>
    <col min="5" max="5" width="11.42578125" style="770"/>
    <col min="6" max="6" width="11.42578125" style="769"/>
    <col min="7" max="7" width="18.7109375" style="64" customWidth="1"/>
    <col min="8" max="8" width="35.85546875" style="64" customWidth="1"/>
    <col min="9" max="9" width="34" style="64" customWidth="1"/>
    <col min="10" max="10" width="20.5703125" style="64" customWidth="1"/>
    <col min="11" max="11" width="24.140625" style="94" customWidth="1"/>
    <col min="12" max="12" width="19.140625" style="94" customWidth="1"/>
    <col min="13" max="13" width="16" style="94" customWidth="1"/>
    <col min="14" max="14" width="16.5703125" style="94" customWidth="1"/>
    <col min="15" max="15" width="16.140625" style="768" customWidth="1"/>
    <col min="16" max="16" width="11.5703125" style="94" customWidth="1"/>
    <col min="17" max="17" width="14" style="94" customWidth="1"/>
    <col min="18" max="18" width="12.5703125" style="94" customWidth="1"/>
    <col min="19" max="19" width="14" style="94" customWidth="1"/>
    <col min="20" max="21" width="11.5703125" style="94" customWidth="1"/>
    <col min="22" max="22" width="13.7109375" style="94" customWidth="1"/>
    <col min="23" max="23" width="14.7109375" style="94" customWidth="1"/>
    <col min="24" max="24" width="14.85546875" style="94" customWidth="1"/>
    <col min="25" max="25" width="17" style="767" customWidth="1"/>
    <col min="26" max="26" width="13.28515625" style="94" customWidth="1"/>
    <col min="27" max="27" width="14.42578125" style="94" customWidth="1"/>
    <col min="28" max="28" width="11.5703125" style="94" bestFit="1" customWidth="1"/>
    <col min="29" max="29" width="12" style="94" bestFit="1" customWidth="1"/>
    <col min="30" max="30" width="11.5703125" style="94" bestFit="1" customWidth="1"/>
    <col min="31" max="31" width="13.7109375" style="94" bestFit="1" customWidth="1"/>
    <col min="32" max="33" width="11.5703125" style="94" bestFit="1" customWidth="1"/>
    <col min="34" max="34" width="12" style="767" bestFit="1" customWidth="1"/>
    <col min="35" max="35" width="11.5703125" style="94" bestFit="1" customWidth="1"/>
    <col min="36" max="36" width="15.28515625" style="94" customWidth="1"/>
    <col min="37" max="37" width="15.42578125" style="94" customWidth="1"/>
    <col min="38" max="38" width="15.5703125" style="94" customWidth="1"/>
    <col min="39" max="39" width="11.42578125" style="94"/>
    <col min="40" max="45" width="11.5703125" style="94" bestFit="1" customWidth="1"/>
    <col min="46" max="47" width="11.42578125" style="94"/>
    <col min="48" max="16384" width="11.42578125" style="64"/>
  </cols>
  <sheetData>
    <row r="1" spans="1:47" s="957" customFormat="1" ht="60" customHeight="1">
      <c r="D1" s="1020" t="s">
        <v>41</v>
      </c>
      <c r="E1" s="1021"/>
      <c r="F1" s="1022"/>
      <c r="K1" s="1028" t="s">
        <v>1505</v>
      </c>
      <c r="L1" s="1029"/>
      <c r="M1" s="1029"/>
      <c r="N1" s="1029"/>
      <c r="O1" s="1029"/>
      <c r="P1" s="1030"/>
      <c r="Q1" s="1034" t="s">
        <v>2442</v>
      </c>
      <c r="R1" s="1035"/>
      <c r="S1" s="1036"/>
      <c r="T1" s="1034" t="s">
        <v>2445</v>
      </c>
      <c r="U1" s="1035"/>
      <c r="V1" s="1037"/>
      <c r="W1" s="1031" t="s">
        <v>2434</v>
      </c>
      <c r="X1" s="1032"/>
      <c r="Y1" s="1033"/>
      <c r="Z1" s="1023" t="s">
        <v>2475</v>
      </c>
      <c r="AA1" s="1023"/>
      <c r="AB1" s="1023"/>
      <c r="AC1" s="1023"/>
      <c r="AD1" s="1023"/>
      <c r="AE1" s="1023"/>
      <c r="AF1" s="1023"/>
      <c r="AG1" s="1023"/>
      <c r="AH1" s="1024"/>
      <c r="AI1" s="1023"/>
      <c r="AJ1" s="1025"/>
      <c r="AK1" s="1042" t="s">
        <v>2435</v>
      </c>
      <c r="AL1" s="1043"/>
      <c r="AM1" s="958"/>
      <c r="AN1" s="1038" t="s">
        <v>35</v>
      </c>
      <c r="AO1" s="1039"/>
      <c r="AP1" s="1039"/>
      <c r="AQ1" s="1039"/>
      <c r="AR1" s="1040"/>
      <c r="AS1" s="1041" t="s">
        <v>112</v>
      </c>
      <c r="AT1" s="1040"/>
      <c r="AU1" s="1026" t="s">
        <v>51</v>
      </c>
    </row>
    <row r="2" spans="1:47" s="940" customFormat="1" ht="48" customHeight="1">
      <c r="A2" s="953" t="s">
        <v>3</v>
      </c>
      <c r="B2" s="953" t="s">
        <v>46</v>
      </c>
      <c r="C2" s="953" t="s">
        <v>1038</v>
      </c>
      <c r="D2" s="956" t="s">
        <v>108</v>
      </c>
      <c r="E2" s="956" t="s">
        <v>107</v>
      </c>
      <c r="F2" s="955" t="s">
        <v>2316</v>
      </c>
      <c r="G2" s="954" t="s">
        <v>42</v>
      </c>
      <c r="H2" s="953" t="s">
        <v>1448</v>
      </c>
      <c r="I2" s="953" t="s">
        <v>2436</v>
      </c>
      <c r="J2" s="953" t="s">
        <v>2439</v>
      </c>
      <c r="K2" s="950" t="s">
        <v>13</v>
      </c>
      <c r="L2" s="950" t="s">
        <v>45</v>
      </c>
      <c r="M2" s="952" t="s">
        <v>111</v>
      </c>
      <c r="N2" s="950" t="s">
        <v>67</v>
      </c>
      <c r="O2" s="951" t="s">
        <v>2299</v>
      </c>
      <c r="P2" s="950" t="s">
        <v>115</v>
      </c>
      <c r="Q2" s="949" t="s">
        <v>2443</v>
      </c>
      <c r="R2" s="947" t="s">
        <v>2444</v>
      </c>
      <c r="S2" s="947" t="s">
        <v>50</v>
      </c>
      <c r="T2" s="948" t="s">
        <v>93</v>
      </c>
      <c r="U2" s="948" t="s">
        <v>92</v>
      </c>
      <c r="V2" s="948" t="s">
        <v>2508</v>
      </c>
      <c r="W2" s="947" t="s">
        <v>48</v>
      </c>
      <c r="X2" s="947" t="s">
        <v>49</v>
      </c>
      <c r="Y2" s="946" t="s">
        <v>2360</v>
      </c>
      <c r="Z2" s="945" t="s">
        <v>76</v>
      </c>
      <c r="AA2" s="945" t="s">
        <v>77</v>
      </c>
      <c r="AB2" s="945" t="s">
        <v>82</v>
      </c>
      <c r="AC2" s="945" t="s">
        <v>109</v>
      </c>
      <c r="AD2" s="945" t="s">
        <v>110</v>
      </c>
      <c r="AE2" s="945" t="s">
        <v>81</v>
      </c>
      <c r="AF2" s="945" t="s">
        <v>33</v>
      </c>
      <c r="AG2" s="945" t="s">
        <v>34</v>
      </c>
      <c r="AH2" s="945" t="s">
        <v>32</v>
      </c>
      <c r="AI2" s="944" t="s">
        <v>86</v>
      </c>
      <c r="AJ2" s="967" t="s">
        <v>2507</v>
      </c>
      <c r="AK2" s="943" t="s">
        <v>47</v>
      </c>
      <c r="AL2" s="943" t="s">
        <v>74</v>
      </c>
      <c r="AM2" s="941" t="s">
        <v>0</v>
      </c>
      <c r="AN2" s="942" t="s">
        <v>57</v>
      </c>
      <c r="AO2" s="942" t="s">
        <v>39</v>
      </c>
      <c r="AP2" s="942" t="s">
        <v>40</v>
      </c>
      <c r="AQ2" s="942" t="s">
        <v>37</v>
      </c>
      <c r="AR2" s="942" t="s">
        <v>36</v>
      </c>
      <c r="AS2" s="942" t="s">
        <v>113</v>
      </c>
      <c r="AT2" s="941" t="s">
        <v>114</v>
      </c>
      <c r="AU2" s="1027"/>
    </row>
    <row r="3" spans="1:47" s="837" customFormat="1" ht="14.25" customHeight="1">
      <c r="A3" s="939">
        <v>1</v>
      </c>
      <c r="B3" s="800" t="s">
        <v>1328</v>
      </c>
      <c r="C3" s="800" t="s">
        <v>1286</v>
      </c>
      <c r="D3" s="819">
        <v>40787</v>
      </c>
      <c r="E3" s="819">
        <v>40909</v>
      </c>
      <c r="F3" s="934">
        <v>2011</v>
      </c>
      <c r="G3" s="800" t="s">
        <v>1335</v>
      </c>
      <c r="H3" s="837" t="s">
        <v>1450</v>
      </c>
      <c r="I3" s="800" t="s">
        <v>1334</v>
      </c>
      <c r="J3" s="800" t="s">
        <v>2331</v>
      </c>
      <c r="K3" s="808">
        <v>395</v>
      </c>
      <c r="L3" s="808">
        <v>27516</v>
      </c>
      <c r="M3" s="808">
        <v>27516</v>
      </c>
      <c r="N3" s="808">
        <v>27516</v>
      </c>
      <c r="O3" s="808">
        <f t="shared" ref="O3:O34" si="0">N3/K3</f>
        <v>69.660759493670881</v>
      </c>
      <c r="P3" s="920">
        <v>100</v>
      </c>
      <c r="Q3" s="808"/>
      <c r="R3" s="808"/>
      <c r="S3" s="808"/>
      <c r="T3" s="808" t="s">
        <v>233</v>
      </c>
      <c r="U3" s="808"/>
      <c r="V3" s="808"/>
      <c r="W3" s="808">
        <v>927</v>
      </c>
      <c r="X3" s="808">
        <v>927</v>
      </c>
      <c r="Y3" s="808"/>
      <c r="Z3" s="808"/>
      <c r="AA3" s="808"/>
      <c r="AB3" s="808"/>
      <c r="AC3" s="808"/>
      <c r="AD3" s="808"/>
      <c r="AE3" s="808"/>
      <c r="AF3" s="808"/>
      <c r="AG3" s="808"/>
      <c r="AH3" s="808"/>
      <c r="AI3" s="808"/>
      <c r="AJ3" s="787">
        <f t="shared" ref="AJ3:AJ34" si="1">SUM(Z3,AA3,AH3)</f>
        <v>0</v>
      </c>
      <c r="AK3" s="920" t="s">
        <v>66</v>
      </c>
      <c r="AL3" s="920" t="s">
        <v>66</v>
      </c>
      <c r="AM3" s="808"/>
      <c r="AN3" s="808"/>
      <c r="AO3" s="808"/>
      <c r="AP3" s="808"/>
      <c r="AQ3" s="808"/>
      <c r="AR3" s="808"/>
      <c r="AS3" s="808"/>
      <c r="AT3" s="808"/>
      <c r="AU3" s="258" t="s">
        <v>1336</v>
      </c>
    </row>
    <row r="4" spans="1:47" s="837" customFormat="1" ht="14.25" customHeight="1">
      <c r="A4" s="794">
        <v>2</v>
      </c>
      <c r="B4" s="785" t="s">
        <v>515</v>
      </c>
      <c r="C4" s="785" t="s">
        <v>1299</v>
      </c>
      <c r="D4" s="792">
        <v>40634</v>
      </c>
      <c r="E4" s="792">
        <v>41030</v>
      </c>
      <c r="F4" s="934">
        <v>2011</v>
      </c>
      <c r="G4" s="785" t="s">
        <v>5</v>
      </c>
      <c r="H4" s="837" t="s">
        <v>1451</v>
      </c>
      <c r="I4" s="785" t="s">
        <v>516</v>
      </c>
      <c r="J4" s="800" t="s">
        <v>2331</v>
      </c>
      <c r="K4" s="842">
        <v>695</v>
      </c>
      <c r="L4" s="842">
        <v>29829</v>
      </c>
      <c r="M4" s="920">
        <v>26634</v>
      </c>
      <c r="N4" s="842">
        <v>26634</v>
      </c>
      <c r="O4" s="808">
        <f t="shared" si="0"/>
        <v>38.322302158273381</v>
      </c>
      <c r="P4" s="842">
        <v>100</v>
      </c>
      <c r="Q4" s="842"/>
      <c r="R4" s="842"/>
      <c r="S4" s="842"/>
      <c r="T4" s="842"/>
      <c r="U4" s="842"/>
      <c r="V4" s="842"/>
      <c r="W4" s="842">
        <v>1061</v>
      </c>
      <c r="X4" s="842">
        <v>1061</v>
      </c>
      <c r="Y4" s="842"/>
      <c r="Z4" s="842"/>
      <c r="AA4" s="842"/>
      <c r="AB4" s="842"/>
      <c r="AC4" s="842"/>
      <c r="AD4" s="842"/>
      <c r="AE4" s="842"/>
      <c r="AF4" s="842"/>
      <c r="AG4" s="842"/>
      <c r="AH4" s="842"/>
      <c r="AI4" s="842"/>
      <c r="AJ4" s="787">
        <f t="shared" si="1"/>
        <v>0</v>
      </c>
      <c r="AK4" s="842">
        <v>0</v>
      </c>
      <c r="AL4" s="842">
        <v>0</v>
      </c>
      <c r="AM4" s="842"/>
      <c r="AN4" s="842"/>
      <c r="AO4" s="842"/>
      <c r="AP4" s="842"/>
      <c r="AQ4" s="842"/>
      <c r="AR4" s="842"/>
      <c r="AS4" s="842"/>
      <c r="AT4" s="842"/>
      <c r="AU4" s="265" t="s">
        <v>517</v>
      </c>
    </row>
    <row r="5" spans="1:47" s="837" customFormat="1" ht="14.25" customHeight="1">
      <c r="A5" s="794">
        <v>3</v>
      </c>
      <c r="B5" s="857" t="s">
        <v>1641</v>
      </c>
      <c r="C5" s="907" t="s">
        <v>1299</v>
      </c>
      <c r="D5" s="792">
        <v>40544</v>
      </c>
      <c r="E5" s="792">
        <v>40848</v>
      </c>
      <c r="F5" s="934">
        <v>2011</v>
      </c>
      <c r="G5" s="785" t="s">
        <v>1359</v>
      </c>
      <c r="H5" s="837" t="s">
        <v>1463</v>
      </c>
      <c r="I5" s="785" t="s">
        <v>1360</v>
      </c>
      <c r="J5" s="800" t="s">
        <v>2331</v>
      </c>
      <c r="K5" s="842">
        <v>910</v>
      </c>
      <c r="L5" s="842">
        <v>39396</v>
      </c>
      <c r="M5" s="920">
        <v>37222</v>
      </c>
      <c r="N5" s="842">
        <v>39396</v>
      </c>
      <c r="O5" s="808">
        <f t="shared" si="0"/>
        <v>43.292307692307695</v>
      </c>
      <c r="P5" s="842">
        <v>94</v>
      </c>
      <c r="Q5" s="842"/>
      <c r="R5" s="842"/>
      <c r="S5" s="842"/>
      <c r="T5" s="842"/>
      <c r="U5" s="842"/>
      <c r="V5" s="842"/>
      <c r="W5" s="842"/>
      <c r="X5" s="842">
        <v>2454</v>
      </c>
      <c r="Y5" s="842"/>
      <c r="Z5" s="842">
        <v>910</v>
      </c>
      <c r="AA5" s="842">
        <v>60000</v>
      </c>
      <c r="AB5" s="842">
        <v>45</v>
      </c>
      <c r="AC5" s="842" t="s">
        <v>2</v>
      </c>
      <c r="AD5" s="842"/>
      <c r="AE5" s="842"/>
      <c r="AF5" s="842"/>
      <c r="AG5" s="842"/>
      <c r="AH5" s="842">
        <v>65</v>
      </c>
      <c r="AI5" s="842"/>
      <c r="AJ5" s="787">
        <f t="shared" si="1"/>
        <v>60975</v>
      </c>
      <c r="AK5" s="842">
        <v>7251</v>
      </c>
      <c r="AL5" s="842">
        <v>4542</v>
      </c>
      <c r="AM5" s="842"/>
      <c r="AN5" s="842"/>
      <c r="AO5" s="842"/>
      <c r="AP5" s="842"/>
      <c r="AQ5" s="842"/>
      <c r="AR5" s="842"/>
      <c r="AS5" s="842"/>
      <c r="AT5" s="842"/>
      <c r="AU5" s="842" t="s">
        <v>1361</v>
      </c>
    </row>
    <row r="6" spans="1:47" s="837" customFormat="1" ht="14.25" customHeight="1">
      <c r="A6" s="794">
        <v>4</v>
      </c>
      <c r="B6" s="790" t="s">
        <v>871</v>
      </c>
      <c r="C6" s="790" t="s">
        <v>1260</v>
      </c>
      <c r="D6" s="824">
        <v>40725</v>
      </c>
      <c r="E6" s="824">
        <v>40909</v>
      </c>
      <c r="F6" s="934">
        <v>2011</v>
      </c>
      <c r="G6" s="837" t="s">
        <v>1071</v>
      </c>
      <c r="H6" s="837" t="s">
        <v>1463</v>
      </c>
      <c r="I6" s="837" t="s">
        <v>1072</v>
      </c>
      <c r="J6" s="800" t="s">
        <v>2331</v>
      </c>
      <c r="K6" s="787">
        <v>1000</v>
      </c>
      <c r="L6" s="787">
        <v>25358</v>
      </c>
      <c r="M6" s="787">
        <v>25358</v>
      </c>
      <c r="N6" s="787">
        <v>25358</v>
      </c>
      <c r="O6" s="808">
        <f t="shared" si="0"/>
        <v>25.358000000000001</v>
      </c>
      <c r="P6" s="787">
        <v>100</v>
      </c>
      <c r="Q6" s="787" t="s">
        <v>75</v>
      </c>
      <c r="R6" s="787" t="s">
        <v>75</v>
      </c>
      <c r="S6" s="787" t="s">
        <v>75</v>
      </c>
      <c r="T6" s="787" t="s">
        <v>233</v>
      </c>
      <c r="U6" s="787" t="s">
        <v>75</v>
      </c>
      <c r="V6" s="787" t="s">
        <v>75</v>
      </c>
      <c r="W6" s="787" t="s">
        <v>66</v>
      </c>
      <c r="X6" s="787" t="s">
        <v>66</v>
      </c>
      <c r="Y6" s="808"/>
      <c r="Z6" s="787">
        <v>1000</v>
      </c>
      <c r="AA6" s="787"/>
      <c r="AB6" s="787">
        <v>13</v>
      </c>
      <c r="AC6" s="787"/>
      <c r="AD6" s="808"/>
      <c r="AE6" s="787"/>
      <c r="AF6" s="787"/>
      <c r="AG6" s="787"/>
      <c r="AH6" s="808"/>
      <c r="AI6" s="787"/>
      <c r="AJ6" s="787">
        <f t="shared" si="1"/>
        <v>1000</v>
      </c>
      <c r="AK6" s="787" t="s">
        <v>66</v>
      </c>
      <c r="AL6" s="787" t="s">
        <v>66</v>
      </c>
      <c r="AM6" s="787"/>
      <c r="AN6" s="787"/>
      <c r="AO6" s="787"/>
      <c r="AP6" s="787"/>
      <c r="AQ6" s="787"/>
      <c r="AR6" s="787"/>
      <c r="AS6" s="787"/>
      <c r="AT6" s="787"/>
      <c r="AU6" s="837" t="s">
        <v>1096</v>
      </c>
    </row>
    <row r="7" spans="1:47" s="837" customFormat="1" ht="14.25" customHeight="1">
      <c r="A7" s="794">
        <v>5</v>
      </c>
      <c r="B7" s="790" t="s">
        <v>1147</v>
      </c>
      <c r="C7" s="790" t="s">
        <v>1286</v>
      </c>
      <c r="D7" s="824">
        <v>40664</v>
      </c>
      <c r="E7" s="824">
        <v>40817</v>
      </c>
      <c r="F7" s="934">
        <v>2011</v>
      </c>
      <c r="G7" s="837" t="s">
        <v>5</v>
      </c>
      <c r="H7" s="837" t="s">
        <v>1451</v>
      </c>
      <c r="I7" s="837" t="s">
        <v>1162</v>
      </c>
      <c r="J7" s="800" t="s">
        <v>2331</v>
      </c>
      <c r="K7" s="787">
        <v>1000</v>
      </c>
      <c r="L7" s="787">
        <v>36303</v>
      </c>
      <c r="M7" s="787">
        <v>36303</v>
      </c>
      <c r="N7" s="787">
        <v>13132</v>
      </c>
      <c r="O7" s="808">
        <f t="shared" si="0"/>
        <v>13.132</v>
      </c>
      <c r="P7" s="787">
        <v>100</v>
      </c>
      <c r="Q7" s="787">
        <v>1000</v>
      </c>
      <c r="R7" s="787" t="s">
        <v>75</v>
      </c>
      <c r="S7" s="787">
        <v>1000</v>
      </c>
      <c r="T7" s="787" t="s">
        <v>233</v>
      </c>
      <c r="U7" s="787" t="s">
        <v>75</v>
      </c>
      <c r="V7" s="787" t="s">
        <v>75</v>
      </c>
      <c r="W7" s="787">
        <v>13634</v>
      </c>
      <c r="X7" s="787">
        <v>2348</v>
      </c>
      <c r="Y7" s="808">
        <f>X7/S7</f>
        <v>2.3479999999999999</v>
      </c>
      <c r="Z7" s="787"/>
      <c r="AA7" s="787"/>
      <c r="AB7" s="787"/>
      <c r="AC7" s="787"/>
      <c r="AD7" s="808"/>
      <c r="AE7" s="787"/>
      <c r="AF7" s="787"/>
      <c r="AG7" s="787"/>
      <c r="AH7" s="808"/>
      <c r="AI7" s="787"/>
      <c r="AJ7" s="787">
        <f t="shared" si="1"/>
        <v>0</v>
      </c>
      <c r="AK7" s="787" t="s">
        <v>66</v>
      </c>
      <c r="AL7" s="787" t="s">
        <v>66</v>
      </c>
      <c r="AM7" s="787"/>
      <c r="AN7" s="787"/>
      <c r="AO7" s="787"/>
      <c r="AP7" s="787"/>
      <c r="AQ7" s="787"/>
      <c r="AR7" s="787"/>
      <c r="AS7" s="787"/>
      <c r="AT7" s="787"/>
      <c r="AU7" s="837" t="s">
        <v>1300</v>
      </c>
    </row>
    <row r="8" spans="1:47" s="837" customFormat="1" ht="14.25" customHeight="1">
      <c r="A8" s="794">
        <v>6</v>
      </c>
      <c r="B8" s="785" t="s">
        <v>511</v>
      </c>
      <c r="C8" s="785" t="s">
        <v>1260</v>
      </c>
      <c r="D8" s="925">
        <v>40575</v>
      </c>
      <c r="E8" s="792">
        <v>40634</v>
      </c>
      <c r="F8" s="934">
        <v>2011</v>
      </c>
      <c r="G8" s="785" t="s">
        <v>512</v>
      </c>
      <c r="H8" s="837" t="s">
        <v>1452</v>
      </c>
      <c r="I8" s="785" t="s">
        <v>513</v>
      </c>
      <c r="J8" s="800" t="s">
        <v>2331</v>
      </c>
      <c r="K8" s="842">
        <v>1000</v>
      </c>
      <c r="L8" s="842">
        <v>83603</v>
      </c>
      <c r="M8" s="920">
        <v>83603</v>
      </c>
      <c r="N8" s="842">
        <v>77151</v>
      </c>
      <c r="O8" s="808">
        <f t="shared" si="0"/>
        <v>77.150999999999996</v>
      </c>
      <c r="P8" s="842">
        <v>100</v>
      </c>
      <c r="Q8" s="842"/>
      <c r="R8" s="842"/>
      <c r="S8" s="842"/>
      <c r="T8" s="842"/>
      <c r="U8" s="842"/>
      <c r="V8" s="842"/>
      <c r="W8" s="842">
        <v>0</v>
      </c>
      <c r="X8" s="842">
        <v>7754</v>
      </c>
      <c r="Y8" s="842"/>
      <c r="Z8" s="842">
        <v>1000</v>
      </c>
      <c r="AA8" s="842"/>
      <c r="AB8" s="842">
        <v>8</v>
      </c>
      <c r="AC8" s="842"/>
      <c r="AD8" s="842"/>
      <c r="AE8" s="842"/>
      <c r="AF8" s="842"/>
      <c r="AG8" s="842"/>
      <c r="AH8" s="842"/>
      <c r="AI8" s="842"/>
      <c r="AJ8" s="787">
        <f t="shared" si="1"/>
        <v>1000</v>
      </c>
      <c r="AK8" s="842">
        <v>5000</v>
      </c>
      <c r="AL8" s="842">
        <v>2770</v>
      </c>
      <c r="AM8" s="842"/>
      <c r="AN8" s="842"/>
      <c r="AO8" s="842"/>
      <c r="AP8" s="842"/>
      <c r="AQ8" s="842"/>
      <c r="AR8" s="842"/>
      <c r="AS8" s="842"/>
      <c r="AT8" s="842"/>
      <c r="AU8" s="265" t="s">
        <v>514</v>
      </c>
    </row>
    <row r="9" spans="1:47" s="841" customFormat="1" ht="14.25" customHeight="1">
      <c r="A9" s="794">
        <v>7</v>
      </c>
      <c r="B9" s="785" t="s">
        <v>171</v>
      </c>
      <c r="C9" s="785" t="s">
        <v>1299</v>
      </c>
      <c r="D9" s="792">
        <v>40603</v>
      </c>
      <c r="E9" s="792">
        <v>40634</v>
      </c>
      <c r="F9" s="934">
        <v>2011</v>
      </c>
      <c r="G9" s="785" t="s">
        <v>518</v>
      </c>
      <c r="H9" s="841" t="s">
        <v>1461</v>
      </c>
      <c r="I9" s="785" t="s">
        <v>519</v>
      </c>
      <c r="J9" s="800" t="s">
        <v>2331</v>
      </c>
      <c r="K9" s="842">
        <v>1000</v>
      </c>
      <c r="L9" s="842">
        <v>36210</v>
      </c>
      <c r="M9" s="920">
        <v>36210</v>
      </c>
      <c r="N9" s="842">
        <v>35725</v>
      </c>
      <c r="O9" s="808">
        <f t="shared" si="0"/>
        <v>35.725000000000001</v>
      </c>
      <c r="P9" s="842">
        <v>100</v>
      </c>
      <c r="Q9" s="842">
        <v>1000</v>
      </c>
      <c r="R9" s="849"/>
      <c r="S9" s="842">
        <v>1000</v>
      </c>
      <c r="T9" s="842" t="s">
        <v>233</v>
      </c>
      <c r="U9" s="842"/>
      <c r="V9" s="842">
        <v>1000</v>
      </c>
      <c r="W9" s="842">
        <v>3300</v>
      </c>
      <c r="X9" s="842">
        <v>4233</v>
      </c>
      <c r="Y9" s="808">
        <f>X9/S9</f>
        <v>4.2329999999999997</v>
      </c>
      <c r="Z9" s="842"/>
      <c r="AA9" s="842"/>
      <c r="AB9" s="842"/>
      <c r="AC9" s="842"/>
      <c r="AD9" s="842"/>
      <c r="AE9" s="842"/>
      <c r="AF9" s="842"/>
      <c r="AG9" s="842"/>
      <c r="AH9" s="842"/>
      <c r="AI9" s="842"/>
      <c r="AJ9" s="787">
        <f t="shared" si="1"/>
        <v>0</v>
      </c>
      <c r="AK9" s="842">
        <v>4200</v>
      </c>
      <c r="AL9" s="842">
        <v>2499</v>
      </c>
      <c r="AM9" s="842"/>
      <c r="AN9" s="842"/>
      <c r="AO9" s="842"/>
      <c r="AP9" s="842"/>
      <c r="AQ9" s="842"/>
      <c r="AR9" s="842"/>
      <c r="AS9" s="842"/>
      <c r="AT9" s="842"/>
      <c r="AU9" s="265" t="s">
        <v>520</v>
      </c>
    </row>
    <row r="10" spans="1:47" s="837" customFormat="1" ht="14.25" customHeight="1">
      <c r="A10" s="794">
        <v>8</v>
      </c>
      <c r="B10" s="785" t="s">
        <v>161</v>
      </c>
      <c r="C10" s="842" t="s">
        <v>1286</v>
      </c>
      <c r="D10" s="792">
        <v>40817</v>
      </c>
      <c r="E10" s="792">
        <v>40848</v>
      </c>
      <c r="F10" s="934">
        <v>2011</v>
      </c>
      <c r="G10" s="785" t="s">
        <v>1305</v>
      </c>
      <c r="H10" s="837" t="s">
        <v>1450</v>
      </c>
      <c r="I10" s="785" t="s">
        <v>1304</v>
      </c>
      <c r="J10" s="800" t="s">
        <v>2331</v>
      </c>
      <c r="K10" s="842">
        <v>1000</v>
      </c>
      <c r="L10" s="842">
        <v>71014</v>
      </c>
      <c r="M10" s="842">
        <v>71014</v>
      </c>
      <c r="N10" s="842">
        <v>71014</v>
      </c>
      <c r="O10" s="808">
        <f t="shared" si="0"/>
        <v>71.013999999999996</v>
      </c>
      <c r="P10" s="920">
        <v>100</v>
      </c>
      <c r="Q10" s="842">
        <v>1000</v>
      </c>
      <c r="R10" s="842" t="s">
        <v>75</v>
      </c>
      <c r="S10" s="842">
        <v>1000</v>
      </c>
      <c r="T10" s="842" t="s">
        <v>233</v>
      </c>
      <c r="U10" s="842"/>
      <c r="V10" s="842">
        <v>1000</v>
      </c>
      <c r="W10" s="842">
        <v>4880</v>
      </c>
      <c r="X10" s="842">
        <v>4880</v>
      </c>
      <c r="Y10" s="808">
        <f>X10/S10</f>
        <v>4.88</v>
      </c>
      <c r="Z10" s="842"/>
      <c r="AA10" s="842">
        <v>1000</v>
      </c>
      <c r="AB10" s="842"/>
      <c r="AC10" s="842" t="s">
        <v>2</v>
      </c>
      <c r="AD10" s="842" t="s">
        <v>2</v>
      </c>
      <c r="AE10" s="842"/>
      <c r="AF10" s="842"/>
      <c r="AG10" s="842"/>
      <c r="AH10" s="842"/>
      <c r="AI10" s="842"/>
      <c r="AJ10" s="787">
        <f t="shared" si="1"/>
        <v>1000</v>
      </c>
      <c r="AK10" s="842">
        <v>2000</v>
      </c>
      <c r="AL10" s="842">
        <v>2000</v>
      </c>
      <c r="AM10" s="842"/>
      <c r="AN10" s="842"/>
      <c r="AO10" s="842"/>
      <c r="AP10" s="842"/>
      <c r="AQ10" s="842"/>
      <c r="AR10" s="842"/>
      <c r="AS10" s="842"/>
      <c r="AT10" s="842"/>
      <c r="AU10" s="275" t="s">
        <v>1303</v>
      </c>
    </row>
    <row r="11" spans="1:47" s="841" customFormat="1" ht="14.25" customHeight="1">
      <c r="A11" s="794">
        <v>9</v>
      </c>
      <c r="B11" s="800" t="s">
        <v>129</v>
      </c>
      <c r="C11" s="800" t="s">
        <v>1278</v>
      </c>
      <c r="D11" s="819">
        <v>40634</v>
      </c>
      <c r="E11" s="819">
        <v>40756</v>
      </c>
      <c r="F11" s="934">
        <v>2011</v>
      </c>
      <c r="G11" s="800" t="s">
        <v>623</v>
      </c>
      <c r="H11" s="841" t="s">
        <v>1451</v>
      </c>
      <c r="I11" s="800" t="s">
        <v>1352</v>
      </c>
      <c r="J11" s="800" t="s">
        <v>2331</v>
      </c>
      <c r="K11" s="808">
        <v>1000</v>
      </c>
      <c r="L11" s="808">
        <v>165385</v>
      </c>
      <c r="M11" s="808">
        <v>165385</v>
      </c>
      <c r="N11" s="808">
        <v>165385</v>
      </c>
      <c r="O11" s="808">
        <f t="shared" si="0"/>
        <v>165.38499999999999</v>
      </c>
      <c r="P11" s="920">
        <v>100</v>
      </c>
      <c r="Q11" s="808">
        <v>1000</v>
      </c>
      <c r="R11" s="808">
        <v>1000</v>
      </c>
      <c r="S11" s="808">
        <v>1000</v>
      </c>
      <c r="T11" s="808" t="s">
        <v>233</v>
      </c>
      <c r="U11" s="808" t="s">
        <v>75</v>
      </c>
      <c r="V11" s="808" t="s">
        <v>75</v>
      </c>
      <c r="W11" s="808">
        <v>16500</v>
      </c>
      <c r="X11" s="808">
        <v>16500</v>
      </c>
      <c r="Y11" s="808">
        <f>X11/S11</f>
        <v>16.5</v>
      </c>
      <c r="Z11" s="808"/>
      <c r="AA11" s="808"/>
      <c r="AB11" s="808"/>
      <c r="AC11" s="808"/>
      <c r="AD11" s="808"/>
      <c r="AE11" s="808"/>
      <c r="AF11" s="808"/>
      <c r="AG11" s="808"/>
      <c r="AH11" s="808">
        <v>1000</v>
      </c>
      <c r="AI11" s="808"/>
      <c r="AJ11" s="787">
        <f t="shared" si="1"/>
        <v>1000</v>
      </c>
      <c r="AK11" s="808">
        <v>8000</v>
      </c>
      <c r="AL11" s="808">
        <v>8000</v>
      </c>
      <c r="AM11" s="808"/>
      <c r="AN11" s="808"/>
      <c r="AO11" s="808"/>
      <c r="AP11" s="808"/>
      <c r="AQ11" s="808"/>
      <c r="AR11" s="808"/>
      <c r="AS11" s="808"/>
      <c r="AT11" s="808"/>
      <c r="AU11" s="258" t="s">
        <v>1351</v>
      </c>
    </row>
    <row r="12" spans="1:47" s="837" customFormat="1" ht="14.25" customHeight="1">
      <c r="A12" s="794">
        <v>10</v>
      </c>
      <c r="B12" s="785" t="s">
        <v>472</v>
      </c>
      <c r="C12" s="785" t="s">
        <v>1299</v>
      </c>
      <c r="D12" s="792">
        <v>40544</v>
      </c>
      <c r="E12" s="792">
        <v>40634</v>
      </c>
      <c r="F12" s="934">
        <v>2011</v>
      </c>
      <c r="G12" s="785" t="s">
        <v>473</v>
      </c>
      <c r="H12" s="837" t="s">
        <v>1457</v>
      </c>
      <c r="I12" s="785" t="s">
        <v>474</v>
      </c>
      <c r="J12" s="800" t="s">
        <v>2331</v>
      </c>
      <c r="K12" s="842">
        <v>1015</v>
      </c>
      <c r="L12" s="842">
        <v>96960</v>
      </c>
      <c r="M12" s="920">
        <v>96857</v>
      </c>
      <c r="N12" s="842">
        <v>96857</v>
      </c>
      <c r="O12" s="808">
        <f t="shared" si="0"/>
        <v>95.425615763546801</v>
      </c>
      <c r="P12" s="842">
        <v>100</v>
      </c>
      <c r="Q12" s="842"/>
      <c r="R12" s="842">
        <v>1015</v>
      </c>
      <c r="S12" s="842">
        <v>1015</v>
      </c>
      <c r="T12" s="842" t="s">
        <v>95</v>
      </c>
      <c r="U12" s="842" t="s">
        <v>475</v>
      </c>
      <c r="V12" s="842">
        <v>1015</v>
      </c>
      <c r="W12" s="842">
        <v>914</v>
      </c>
      <c r="X12" s="842">
        <v>10413</v>
      </c>
      <c r="Y12" s="808">
        <f>X12/S12</f>
        <v>10.259113300492611</v>
      </c>
      <c r="Z12" s="842"/>
      <c r="AA12" s="842">
        <v>1015</v>
      </c>
      <c r="AB12" s="842">
        <v>77</v>
      </c>
      <c r="AC12" s="842"/>
      <c r="AD12" s="842"/>
      <c r="AE12" s="842">
        <v>609</v>
      </c>
      <c r="AF12" s="842"/>
      <c r="AG12" s="842"/>
      <c r="AH12" s="842"/>
      <c r="AI12" s="842"/>
      <c r="AJ12" s="787">
        <f t="shared" si="1"/>
        <v>1015</v>
      </c>
      <c r="AK12" s="842">
        <v>999</v>
      </c>
      <c r="AL12" s="842">
        <v>1839</v>
      </c>
      <c r="AM12" s="842"/>
      <c r="AN12" s="842"/>
      <c r="AO12" s="842"/>
      <c r="AP12" s="842"/>
      <c r="AQ12" s="842"/>
      <c r="AR12" s="842"/>
      <c r="AS12" s="842">
        <v>1</v>
      </c>
      <c r="AT12" s="842"/>
      <c r="AU12" s="265" t="s">
        <v>476</v>
      </c>
    </row>
    <row r="13" spans="1:47" s="841" customFormat="1" ht="14.25" customHeight="1">
      <c r="A13" s="794">
        <v>11</v>
      </c>
      <c r="B13" s="785" t="s">
        <v>465</v>
      </c>
      <c r="C13" s="785" t="s">
        <v>1260</v>
      </c>
      <c r="D13" s="792">
        <v>40695</v>
      </c>
      <c r="E13" s="792">
        <v>40787</v>
      </c>
      <c r="F13" s="934">
        <v>2011</v>
      </c>
      <c r="G13" s="785" t="s">
        <v>5</v>
      </c>
      <c r="H13" s="841" t="s">
        <v>1451</v>
      </c>
      <c r="I13" s="785" t="s">
        <v>1552</v>
      </c>
      <c r="J13" s="800" t="s">
        <v>2331</v>
      </c>
      <c r="K13" s="842">
        <v>1278</v>
      </c>
      <c r="L13" s="842">
        <v>59406</v>
      </c>
      <c r="M13" s="920">
        <v>59406</v>
      </c>
      <c r="N13" s="842">
        <v>59406</v>
      </c>
      <c r="O13" s="808">
        <f t="shared" si="0"/>
        <v>46.483568075117368</v>
      </c>
      <c r="P13" s="842">
        <v>100</v>
      </c>
      <c r="Q13" s="842">
        <v>1278</v>
      </c>
      <c r="R13" s="849"/>
      <c r="S13" s="842">
        <v>1278</v>
      </c>
      <c r="T13" s="842"/>
      <c r="U13" s="842"/>
      <c r="V13" s="842"/>
      <c r="W13" s="842">
        <v>0</v>
      </c>
      <c r="X13" s="842">
        <v>2246</v>
      </c>
      <c r="Y13" s="808">
        <f>X13/S13</f>
        <v>1.7574334898278561</v>
      </c>
      <c r="Z13" s="842" t="s">
        <v>75</v>
      </c>
      <c r="AA13" s="842" t="s">
        <v>75</v>
      </c>
      <c r="AB13" s="842" t="s">
        <v>75</v>
      </c>
      <c r="AC13" s="842" t="s">
        <v>75</v>
      </c>
      <c r="AD13" s="842" t="s">
        <v>75</v>
      </c>
      <c r="AE13" s="842" t="s">
        <v>75</v>
      </c>
      <c r="AF13" s="842" t="s">
        <v>75</v>
      </c>
      <c r="AG13" s="842" t="s">
        <v>75</v>
      </c>
      <c r="AH13" s="842" t="s">
        <v>75</v>
      </c>
      <c r="AI13" s="842" t="s">
        <v>75</v>
      </c>
      <c r="AJ13" s="787">
        <f t="shared" si="1"/>
        <v>0</v>
      </c>
      <c r="AK13" s="842" t="s">
        <v>75</v>
      </c>
      <c r="AL13" s="842" t="s">
        <v>75</v>
      </c>
      <c r="AM13" s="842"/>
      <c r="AN13" s="842"/>
      <c r="AO13" s="842"/>
      <c r="AP13" s="842"/>
      <c r="AQ13" s="842"/>
      <c r="AR13" s="842"/>
      <c r="AS13" s="842"/>
      <c r="AT13" s="842"/>
      <c r="AU13" s="842" t="s">
        <v>1553</v>
      </c>
    </row>
    <row r="14" spans="1:47" s="837" customFormat="1" ht="14.25" customHeight="1">
      <c r="A14" s="794">
        <v>12</v>
      </c>
      <c r="B14" s="785" t="s">
        <v>469</v>
      </c>
      <c r="C14" s="785" t="s">
        <v>1278</v>
      </c>
      <c r="D14" s="792">
        <v>40664</v>
      </c>
      <c r="E14" s="792">
        <v>40878</v>
      </c>
      <c r="F14" s="934">
        <v>2011</v>
      </c>
      <c r="G14" s="785" t="s">
        <v>78</v>
      </c>
      <c r="H14" s="837" t="s">
        <v>1452</v>
      </c>
      <c r="I14" s="785" t="s">
        <v>470</v>
      </c>
      <c r="J14" s="800" t="s">
        <v>2331</v>
      </c>
      <c r="K14" s="842">
        <v>1500</v>
      </c>
      <c r="L14" s="842">
        <v>36849</v>
      </c>
      <c r="M14" s="920">
        <v>36849</v>
      </c>
      <c r="N14" s="842">
        <v>36889</v>
      </c>
      <c r="O14" s="808">
        <f t="shared" si="0"/>
        <v>24.592666666666666</v>
      </c>
      <c r="P14" s="842">
        <v>100</v>
      </c>
      <c r="Q14" s="842" t="s">
        <v>75</v>
      </c>
      <c r="R14" s="842" t="s">
        <v>75</v>
      </c>
      <c r="S14" s="842" t="s">
        <v>75</v>
      </c>
      <c r="T14" s="842" t="s">
        <v>75</v>
      </c>
      <c r="U14" s="842" t="s">
        <v>75</v>
      </c>
      <c r="V14" s="842" t="s">
        <v>75</v>
      </c>
      <c r="W14" s="842" t="s">
        <v>75</v>
      </c>
      <c r="X14" s="842" t="s">
        <v>75</v>
      </c>
      <c r="Y14" s="842"/>
      <c r="Z14" s="842" t="s">
        <v>75</v>
      </c>
      <c r="AA14" s="842">
        <v>1500</v>
      </c>
      <c r="AB14" s="842"/>
      <c r="AC14" s="842"/>
      <c r="AD14" s="842"/>
      <c r="AE14" s="842"/>
      <c r="AF14" s="842"/>
      <c r="AG14" s="842"/>
      <c r="AH14" s="842"/>
      <c r="AI14" s="842"/>
      <c r="AJ14" s="787">
        <f t="shared" si="1"/>
        <v>1500</v>
      </c>
      <c r="AK14" s="842">
        <v>5000</v>
      </c>
      <c r="AL14" s="842">
        <v>5000</v>
      </c>
      <c r="AM14" s="842"/>
      <c r="AN14" s="842"/>
      <c r="AO14" s="842"/>
      <c r="AP14" s="842"/>
      <c r="AQ14" s="842"/>
      <c r="AR14" s="842"/>
      <c r="AS14" s="842"/>
      <c r="AT14" s="842"/>
      <c r="AU14" s="265" t="s">
        <v>471</v>
      </c>
    </row>
    <row r="15" spans="1:47" s="837" customFormat="1" ht="14.25" customHeight="1">
      <c r="A15" s="794">
        <v>13</v>
      </c>
      <c r="B15" s="785" t="s">
        <v>148</v>
      </c>
      <c r="C15" s="785" t="s">
        <v>1299</v>
      </c>
      <c r="D15" s="792">
        <v>40664</v>
      </c>
      <c r="E15" s="792">
        <v>40787</v>
      </c>
      <c r="F15" s="934">
        <v>2011</v>
      </c>
      <c r="G15" s="785" t="s">
        <v>922</v>
      </c>
      <c r="H15" s="837" t="s">
        <v>1452</v>
      </c>
      <c r="I15" s="785" t="s">
        <v>921</v>
      </c>
      <c r="J15" s="800" t="s">
        <v>2331</v>
      </c>
      <c r="K15" s="842">
        <v>1500</v>
      </c>
      <c r="L15" s="842">
        <v>99879</v>
      </c>
      <c r="M15" s="842">
        <v>99879</v>
      </c>
      <c r="N15" s="842">
        <v>99879</v>
      </c>
      <c r="O15" s="808">
        <f t="shared" si="0"/>
        <v>66.585999999999999</v>
      </c>
      <c r="P15" s="842">
        <v>100</v>
      </c>
      <c r="Q15" s="842" t="s">
        <v>75</v>
      </c>
      <c r="R15" s="842" t="s">
        <v>75</v>
      </c>
      <c r="S15" s="842" t="s">
        <v>75</v>
      </c>
      <c r="T15" s="842" t="s">
        <v>233</v>
      </c>
      <c r="U15" s="842" t="s">
        <v>75</v>
      </c>
      <c r="V15" s="842" t="s">
        <v>75</v>
      </c>
      <c r="W15" s="842" t="s">
        <v>66</v>
      </c>
      <c r="X15" s="842" t="s">
        <v>66</v>
      </c>
      <c r="Y15" s="842"/>
      <c r="Z15" s="842">
        <v>491</v>
      </c>
      <c r="AA15" s="842" t="s">
        <v>930</v>
      </c>
      <c r="AB15" s="842">
        <v>314</v>
      </c>
      <c r="AC15" s="842" t="s">
        <v>75</v>
      </c>
      <c r="AD15" s="842" t="s">
        <v>75</v>
      </c>
      <c r="AE15" s="842" t="s">
        <v>75</v>
      </c>
      <c r="AF15" s="842" t="s">
        <v>75</v>
      </c>
      <c r="AG15" s="842" t="s">
        <v>75</v>
      </c>
      <c r="AH15" s="842" t="s">
        <v>75</v>
      </c>
      <c r="AI15" s="842" t="s">
        <v>75</v>
      </c>
      <c r="AJ15" s="787">
        <f t="shared" si="1"/>
        <v>491</v>
      </c>
      <c r="AK15" s="842">
        <v>27113</v>
      </c>
      <c r="AL15" s="842">
        <v>27113</v>
      </c>
      <c r="AM15" s="842"/>
      <c r="AN15" s="842"/>
      <c r="AO15" s="842"/>
      <c r="AP15" s="842"/>
      <c r="AQ15" s="842"/>
      <c r="AR15" s="842"/>
      <c r="AS15" s="842" t="s">
        <v>75</v>
      </c>
      <c r="AT15" s="842" t="s">
        <v>75</v>
      </c>
      <c r="AU15" s="276" t="s">
        <v>920</v>
      </c>
    </row>
    <row r="16" spans="1:47" s="837" customFormat="1" ht="15" customHeight="1">
      <c r="A16" s="794">
        <v>14</v>
      </c>
      <c r="B16" s="790" t="s">
        <v>353</v>
      </c>
      <c r="C16" s="790" t="s">
        <v>1299</v>
      </c>
      <c r="D16" s="824">
        <v>40696</v>
      </c>
      <c r="E16" s="824">
        <v>40817</v>
      </c>
      <c r="F16" s="934">
        <v>2011</v>
      </c>
      <c r="G16" s="837" t="s">
        <v>1157</v>
      </c>
      <c r="H16" s="837" t="s">
        <v>1453</v>
      </c>
      <c r="I16" s="837" t="s">
        <v>1158</v>
      </c>
      <c r="J16" s="800" t="s">
        <v>2331</v>
      </c>
      <c r="K16" s="787">
        <v>1626</v>
      </c>
      <c r="L16" s="787">
        <v>114935</v>
      </c>
      <c r="M16" s="787">
        <v>114935</v>
      </c>
      <c r="N16" s="787">
        <v>64388</v>
      </c>
      <c r="O16" s="808">
        <f t="shared" si="0"/>
        <v>39.599015990159899</v>
      </c>
      <c r="P16" s="787">
        <v>100</v>
      </c>
      <c r="Q16" s="787">
        <v>1626</v>
      </c>
      <c r="R16" s="787">
        <v>940</v>
      </c>
      <c r="S16" s="787">
        <v>1626</v>
      </c>
      <c r="T16" s="787" t="s">
        <v>233</v>
      </c>
      <c r="U16" s="787">
        <v>30</v>
      </c>
      <c r="V16" s="787">
        <v>13000</v>
      </c>
      <c r="W16" s="787">
        <v>15210</v>
      </c>
      <c r="X16" s="787">
        <v>7156</v>
      </c>
      <c r="Y16" s="808">
        <f>X16/S16</f>
        <v>4.4009840098400987</v>
      </c>
      <c r="Z16" s="787"/>
      <c r="AA16" s="787">
        <v>13000</v>
      </c>
      <c r="AB16" s="787">
        <v>30</v>
      </c>
      <c r="AC16" s="787"/>
      <c r="AD16" s="808"/>
      <c r="AE16" s="787">
        <v>652</v>
      </c>
      <c r="AF16" s="787"/>
      <c r="AG16" s="787"/>
      <c r="AH16" s="808"/>
      <c r="AI16" s="787"/>
      <c r="AJ16" s="787">
        <f t="shared" si="1"/>
        <v>13000</v>
      </c>
      <c r="AK16" s="787" t="s">
        <v>66</v>
      </c>
      <c r="AL16" s="787" t="s">
        <v>66</v>
      </c>
      <c r="AM16" s="787"/>
      <c r="AN16" s="787"/>
      <c r="AO16" s="787"/>
      <c r="AP16" s="787"/>
      <c r="AQ16" s="787"/>
      <c r="AR16" s="787"/>
      <c r="AS16" s="787"/>
      <c r="AT16" s="787"/>
      <c r="AU16" s="277" t="s">
        <v>1156</v>
      </c>
    </row>
    <row r="17" spans="1:47" s="837" customFormat="1" ht="14.25" customHeight="1">
      <c r="A17" s="794">
        <v>15</v>
      </c>
      <c r="B17" s="812" t="s">
        <v>4</v>
      </c>
      <c r="C17" s="785" t="s">
        <v>1260</v>
      </c>
      <c r="D17" s="925">
        <v>40695</v>
      </c>
      <c r="E17" s="925">
        <v>40878</v>
      </c>
      <c r="F17" s="934">
        <v>2011</v>
      </c>
      <c r="G17" s="812" t="s">
        <v>5</v>
      </c>
      <c r="H17" s="837" t="s">
        <v>1451</v>
      </c>
      <c r="I17" s="812" t="s">
        <v>1485</v>
      </c>
      <c r="J17" s="800" t="s">
        <v>2331</v>
      </c>
      <c r="K17" s="871">
        <v>1750</v>
      </c>
      <c r="L17" s="871">
        <v>59960</v>
      </c>
      <c r="M17" s="871">
        <v>59960</v>
      </c>
      <c r="N17" s="871">
        <v>59960</v>
      </c>
      <c r="O17" s="808">
        <f t="shared" si="0"/>
        <v>34.262857142857143</v>
      </c>
      <c r="P17" s="871" t="s">
        <v>66</v>
      </c>
      <c r="Q17" s="871"/>
      <c r="R17" s="871"/>
      <c r="S17" s="871"/>
      <c r="T17" s="871"/>
      <c r="U17" s="871"/>
      <c r="V17" s="871"/>
      <c r="W17" s="871">
        <v>0</v>
      </c>
      <c r="X17" s="871">
        <v>5211</v>
      </c>
      <c r="Y17" s="871"/>
      <c r="Z17" s="871"/>
      <c r="AA17" s="871"/>
      <c r="AB17" s="871"/>
      <c r="AC17" s="871"/>
      <c r="AD17" s="871"/>
      <c r="AE17" s="871"/>
      <c r="AF17" s="871"/>
      <c r="AG17" s="871"/>
      <c r="AH17" s="871"/>
      <c r="AI17" s="871"/>
      <c r="AJ17" s="787">
        <f t="shared" si="1"/>
        <v>0</v>
      </c>
      <c r="AK17" s="871" t="s">
        <v>66</v>
      </c>
      <c r="AL17" s="871" t="s">
        <v>66</v>
      </c>
      <c r="AM17" s="871"/>
      <c r="AN17" s="871"/>
      <c r="AO17" s="871"/>
      <c r="AP17" s="871"/>
      <c r="AQ17" s="871"/>
      <c r="AR17" s="871"/>
      <c r="AS17" s="871"/>
      <c r="AT17" s="871"/>
      <c r="AU17" s="281" t="s">
        <v>573</v>
      </c>
    </row>
    <row r="18" spans="1:47" s="841" customFormat="1" ht="14.25" customHeight="1">
      <c r="A18" s="794">
        <v>16</v>
      </c>
      <c r="B18" s="785" t="s">
        <v>353</v>
      </c>
      <c r="C18" s="842" t="s">
        <v>1299</v>
      </c>
      <c r="D18" s="792">
        <v>40817</v>
      </c>
      <c r="E18" s="792">
        <v>40940</v>
      </c>
      <c r="F18" s="934">
        <v>2011</v>
      </c>
      <c r="G18" s="785" t="s">
        <v>1318</v>
      </c>
      <c r="H18" s="841" t="s">
        <v>1451</v>
      </c>
      <c r="I18" s="785" t="s">
        <v>1319</v>
      </c>
      <c r="J18" s="800" t="s">
        <v>2331</v>
      </c>
      <c r="K18" s="842">
        <v>1765</v>
      </c>
      <c r="L18" s="842">
        <v>166245</v>
      </c>
      <c r="M18" s="842">
        <v>166245</v>
      </c>
      <c r="N18" s="842">
        <v>166245</v>
      </c>
      <c r="O18" s="808">
        <f t="shared" si="0"/>
        <v>94.18980169971671</v>
      </c>
      <c r="P18" s="920" t="s">
        <v>66</v>
      </c>
      <c r="Q18" s="842">
        <v>1765</v>
      </c>
      <c r="R18" s="842">
        <v>1765</v>
      </c>
      <c r="S18" s="842">
        <v>1765</v>
      </c>
      <c r="T18" s="842" t="s">
        <v>233</v>
      </c>
      <c r="U18" s="842">
        <v>85</v>
      </c>
      <c r="V18" s="842">
        <v>1765</v>
      </c>
      <c r="W18" s="842">
        <v>17311</v>
      </c>
      <c r="X18" s="842"/>
      <c r="Y18" s="808">
        <f>X18/S18</f>
        <v>0</v>
      </c>
      <c r="Z18" s="842"/>
      <c r="AA18" s="842"/>
      <c r="AB18" s="842"/>
      <c r="AC18" s="842"/>
      <c r="AD18" s="842"/>
      <c r="AE18" s="842">
        <v>706</v>
      </c>
      <c r="AF18" s="842"/>
      <c r="AG18" s="842"/>
      <c r="AH18" s="842"/>
      <c r="AI18" s="842"/>
      <c r="AJ18" s="787">
        <f t="shared" si="1"/>
        <v>0</v>
      </c>
      <c r="AK18" s="920" t="s">
        <v>66</v>
      </c>
      <c r="AL18" s="920" t="s">
        <v>66</v>
      </c>
      <c r="AM18" s="842"/>
      <c r="AN18" s="842"/>
      <c r="AO18" s="842"/>
      <c r="AP18" s="842"/>
      <c r="AQ18" s="842"/>
      <c r="AR18" s="842"/>
      <c r="AS18" s="842"/>
      <c r="AT18" s="842"/>
      <c r="AU18" s="275" t="s">
        <v>1317</v>
      </c>
    </row>
    <row r="19" spans="1:47" s="837" customFormat="1" ht="14.25" customHeight="1">
      <c r="A19" s="794">
        <v>17</v>
      </c>
      <c r="B19" s="785" t="s">
        <v>153</v>
      </c>
      <c r="C19" s="785" t="s">
        <v>1299</v>
      </c>
      <c r="D19" s="792">
        <v>40664</v>
      </c>
      <c r="E19" s="925">
        <v>40725</v>
      </c>
      <c r="F19" s="934">
        <v>2011</v>
      </c>
      <c r="G19" s="785" t="s">
        <v>497</v>
      </c>
      <c r="H19" s="837" t="s">
        <v>1458</v>
      </c>
      <c r="I19" s="785" t="s">
        <v>498</v>
      </c>
      <c r="J19" s="800" t="s">
        <v>2331</v>
      </c>
      <c r="K19" s="842">
        <v>1860</v>
      </c>
      <c r="L19" s="842">
        <v>149759</v>
      </c>
      <c r="M19" s="920">
        <v>149954</v>
      </c>
      <c r="N19" s="842">
        <v>147404</v>
      </c>
      <c r="O19" s="808">
        <f t="shared" si="0"/>
        <v>79.249462365591398</v>
      </c>
      <c r="P19" s="842">
        <v>100</v>
      </c>
      <c r="Q19" s="842">
        <v>1760</v>
      </c>
      <c r="R19" s="842">
        <v>1760</v>
      </c>
      <c r="S19" s="842">
        <v>1760</v>
      </c>
      <c r="T19" s="842" t="s">
        <v>2</v>
      </c>
      <c r="U19" s="842">
        <v>0</v>
      </c>
      <c r="V19" s="842">
        <v>1760</v>
      </c>
      <c r="W19" s="842">
        <v>8700</v>
      </c>
      <c r="X19" s="842">
        <v>8700</v>
      </c>
      <c r="Y19" s="808">
        <f>X19/S19</f>
        <v>4.9431818181818183</v>
      </c>
      <c r="Z19" s="842"/>
      <c r="AA19" s="842"/>
      <c r="AB19" s="842"/>
      <c r="AC19" s="842"/>
      <c r="AD19" s="842"/>
      <c r="AE19" s="842"/>
      <c r="AF19" s="842"/>
      <c r="AG19" s="842"/>
      <c r="AH19" s="842"/>
      <c r="AI19" s="842"/>
      <c r="AJ19" s="787">
        <f t="shared" si="1"/>
        <v>0</v>
      </c>
      <c r="AK19" s="842">
        <v>0</v>
      </c>
      <c r="AL19" s="842">
        <v>0</v>
      </c>
      <c r="AM19" s="842"/>
      <c r="AN19" s="842"/>
      <c r="AO19" s="842"/>
      <c r="AP19" s="842"/>
      <c r="AQ19" s="842"/>
      <c r="AR19" s="842"/>
      <c r="AS19" s="842"/>
      <c r="AT19" s="842"/>
      <c r="AU19" s="265" t="s">
        <v>499</v>
      </c>
    </row>
    <row r="20" spans="1:47" s="837" customFormat="1" ht="14.25" customHeight="1">
      <c r="A20" s="794">
        <v>18</v>
      </c>
      <c r="B20" s="790" t="s">
        <v>1298</v>
      </c>
      <c r="C20" s="790" t="s">
        <v>1299</v>
      </c>
      <c r="D20" s="824">
        <v>40725</v>
      </c>
      <c r="E20" s="824">
        <v>40817</v>
      </c>
      <c r="F20" s="934">
        <v>2011</v>
      </c>
      <c r="G20" s="837" t="s">
        <v>5</v>
      </c>
      <c r="H20" s="837" t="s">
        <v>1451</v>
      </c>
      <c r="I20" s="837" t="s">
        <v>1149</v>
      </c>
      <c r="J20" s="800" t="s">
        <v>2331</v>
      </c>
      <c r="K20" s="787">
        <v>2500</v>
      </c>
      <c r="L20" s="787">
        <v>91510</v>
      </c>
      <c r="M20" s="787">
        <v>91349</v>
      </c>
      <c r="N20" s="787">
        <v>91349</v>
      </c>
      <c r="O20" s="808">
        <f t="shared" si="0"/>
        <v>36.5396</v>
      </c>
      <c r="P20" s="787">
        <v>100</v>
      </c>
      <c r="Q20" s="787">
        <v>2500</v>
      </c>
      <c r="R20" s="787" t="s">
        <v>75</v>
      </c>
      <c r="S20" s="787">
        <v>2500</v>
      </c>
      <c r="T20" s="787" t="s">
        <v>233</v>
      </c>
      <c r="U20" s="787">
        <v>100</v>
      </c>
      <c r="V20" s="787">
        <v>2500</v>
      </c>
      <c r="W20" s="787">
        <v>4500</v>
      </c>
      <c r="X20" s="787">
        <v>10429</v>
      </c>
      <c r="Y20" s="808">
        <f>X20/S20</f>
        <v>4.1715999999999998</v>
      </c>
      <c r="Z20" s="787"/>
      <c r="AA20" s="787">
        <v>2500</v>
      </c>
      <c r="AB20" s="787">
        <v>50</v>
      </c>
      <c r="AC20" s="787"/>
      <c r="AD20" s="808"/>
      <c r="AE20" s="787">
        <v>1000</v>
      </c>
      <c r="AF20" s="787"/>
      <c r="AG20" s="787"/>
      <c r="AH20" s="808"/>
      <c r="AI20" s="787"/>
      <c r="AJ20" s="787">
        <f t="shared" si="1"/>
        <v>2500</v>
      </c>
      <c r="AK20" s="787">
        <v>7500</v>
      </c>
      <c r="AL20" s="787">
        <v>7500</v>
      </c>
      <c r="AM20" s="787"/>
      <c r="AN20" s="787"/>
      <c r="AO20" s="787"/>
      <c r="AP20" s="787"/>
      <c r="AQ20" s="787"/>
      <c r="AR20" s="787"/>
      <c r="AS20" s="787"/>
      <c r="AT20" s="787"/>
      <c r="AU20" s="282" t="s">
        <v>1148</v>
      </c>
    </row>
    <row r="21" spans="1:47" s="815" customFormat="1" ht="14.25" customHeight="1">
      <c r="A21" s="794">
        <v>19</v>
      </c>
      <c r="B21" s="812" t="s">
        <v>14</v>
      </c>
      <c r="C21" s="785" t="s">
        <v>1286</v>
      </c>
      <c r="D21" s="925">
        <v>40664</v>
      </c>
      <c r="E21" s="925">
        <v>40603</v>
      </c>
      <c r="F21" s="934">
        <v>2011</v>
      </c>
      <c r="G21" s="812" t="s">
        <v>16</v>
      </c>
      <c r="H21" s="841" t="s">
        <v>1451</v>
      </c>
      <c r="I21" s="812" t="s">
        <v>59</v>
      </c>
      <c r="J21" s="812" t="s">
        <v>2438</v>
      </c>
      <c r="K21" s="871">
        <v>2800</v>
      </c>
      <c r="L21" s="871">
        <v>518725</v>
      </c>
      <c r="M21" s="871">
        <v>450214</v>
      </c>
      <c r="N21" s="871">
        <v>299715</v>
      </c>
      <c r="O21" s="808">
        <f t="shared" si="0"/>
        <v>107.04107142857143</v>
      </c>
      <c r="P21" s="871">
        <v>86</v>
      </c>
      <c r="Q21" s="871">
        <v>2500</v>
      </c>
      <c r="R21" s="929"/>
      <c r="S21" s="871">
        <v>2500</v>
      </c>
      <c r="T21" s="871"/>
      <c r="U21" s="871"/>
      <c r="V21" s="871">
        <v>2500</v>
      </c>
      <c r="W21" s="871">
        <v>37665</v>
      </c>
      <c r="X21" s="871">
        <v>32391.9</v>
      </c>
      <c r="Y21" s="808">
        <f>X21/S21</f>
        <v>12.956760000000001</v>
      </c>
      <c r="Z21" s="871">
        <v>140</v>
      </c>
      <c r="AA21" s="871"/>
      <c r="AB21" s="871"/>
      <c r="AC21" s="871"/>
      <c r="AD21" s="871"/>
      <c r="AE21" s="871"/>
      <c r="AF21" s="871"/>
      <c r="AG21" s="871"/>
      <c r="AH21" s="871"/>
      <c r="AI21" s="871"/>
      <c r="AJ21" s="787">
        <f t="shared" si="1"/>
        <v>140</v>
      </c>
      <c r="AK21" s="871">
        <v>18600</v>
      </c>
      <c r="AL21" s="871">
        <v>15996</v>
      </c>
      <c r="AM21" s="871"/>
      <c r="AN21" s="871"/>
      <c r="AO21" s="871"/>
      <c r="AP21" s="871"/>
      <c r="AQ21" s="871"/>
      <c r="AR21" s="871"/>
      <c r="AS21" s="871"/>
      <c r="AT21" s="871"/>
      <c r="AU21" s="281" t="s">
        <v>71</v>
      </c>
    </row>
    <row r="22" spans="1:47" s="821" customFormat="1" ht="14.25" customHeight="1">
      <c r="A22" s="794">
        <v>20</v>
      </c>
      <c r="B22" s="800" t="s">
        <v>1040</v>
      </c>
      <c r="C22" s="800" t="s">
        <v>1286</v>
      </c>
      <c r="D22" s="819">
        <v>40848</v>
      </c>
      <c r="E22" s="819">
        <v>40909</v>
      </c>
      <c r="F22" s="934">
        <v>2011</v>
      </c>
      <c r="G22" s="800" t="s">
        <v>1332</v>
      </c>
      <c r="H22" s="837" t="s">
        <v>1450</v>
      </c>
      <c r="I22" s="800" t="s">
        <v>1346</v>
      </c>
      <c r="J22" s="800" t="s">
        <v>2331</v>
      </c>
      <c r="K22" s="808">
        <v>4000</v>
      </c>
      <c r="L22" s="808">
        <v>220262</v>
      </c>
      <c r="M22" s="808">
        <v>220262</v>
      </c>
      <c r="N22" s="808">
        <v>220262</v>
      </c>
      <c r="O22" s="808">
        <f t="shared" si="0"/>
        <v>55.0655</v>
      </c>
      <c r="P22" s="920" t="s">
        <v>66</v>
      </c>
      <c r="Q22" s="808">
        <v>4000</v>
      </c>
      <c r="R22" s="808" t="s">
        <v>75</v>
      </c>
      <c r="S22" s="808">
        <v>4000</v>
      </c>
      <c r="T22" s="808" t="s">
        <v>233</v>
      </c>
      <c r="U22" s="808" t="s">
        <v>134</v>
      </c>
      <c r="V22" s="808">
        <v>400</v>
      </c>
      <c r="W22" s="808"/>
      <c r="X22" s="808"/>
      <c r="Y22" s="808">
        <f>X22/S22</f>
        <v>0</v>
      </c>
      <c r="Z22" s="808">
        <v>400</v>
      </c>
      <c r="AA22" s="808"/>
      <c r="AB22" s="808">
        <v>92</v>
      </c>
      <c r="AC22" s="808"/>
      <c r="AD22" s="808" t="s">
        <v>2</v>
      </c>
      <c r="AE22" s="808">
        <v>1000</v>
      </c>
      <c r="AF22" s="808"/>
      <c r="AG22" s="808"/>
      <c r="AH22" s="808"/>
      <c r="AI22" s="808"/>
      <c r="AJ22" s="787">
        <f t="shared" si="1"/>
        <v>400</v>
      </c>
      <c r="AK22" s="808"/>
      <c r="AL22" s="808"/>
      <c r="AM22" s="808"/>
      <c r="AN22" s="808"/>
      <c r="AO22" s="808"/>
      <c r="AP22" s="808"/>
      <c r="AQ22" s="808"/>
      <c r="AR22" s="808"/>
      <c r="AS22" s="808"/>
      <c r="AT22" s="808"/>
      <c r="AU22" s="800" t="s">
        <v>1345</v>
      </c>
    </row>
    <row r="23" spans="1:47" s="821" customFormat="1" ht="14.25" customHeight="1">
      <c r="A23" s="794">
        <v>21</v>
      </c>
      <c r="B23" s="800" t="s">
        <v>248</v>
      </c>
      <c r="C23" s="800" t="s">
        <v>1299</v>
      </c>
      <c r="D23" s="819">
        <v>40878</v>
      </c>
      <c r="E23" s="819">
        <v>40969</v>
      </c>
      <c r="F23" s="934">
        <v>2011</v>
      </c>
      <c r="G23" s="800" t="s">
        <v>116</v>
      </c>
      <c r="H23" s="837" t="s">
        <v>1452</v>
      </c>
      <c r="I23" s="800" t="s">
        <v>1423</v>
      </c>
      <c r="J23" s="800" t="s">
        <v>2331</v>
      </c>
      <c r="K23" s="808">
        <v>4000</v>
      </c>
      <c r="L23" s="808">
        <v>166428</v>
      </c>
      <c r="M23" s="935">
        <v>166428</v>
      </c>
      <c r="N23" s="808">
        <v>166428</v>
      </c>
      <c r="O23" s="808">
        <f t="shared" si="0"/>
        <v>41.606999999999999</v>
      </c>
      <c r="P23" s="808"/>
      <c r="Q23" s="808"/>
      <c r="R23" s="808"/>
      <c r="S23" s="808"/>
      <c r="T23" s="808"/>
      <c r="U23" s="808"/>
      <c r="V23" s="808"/>
      <c r="W23" s="808"/>
      <c r="X23" s="808"/>
      <c r="Y23" s="808"/>
      <c r="Z23" s="808"/>
      <c r="AA23" s="808">
        <v>25000</v>
      </c>
      <c r="AB23" s="808"/>
      <c r="AC23" s="808"/>
      <c r="AD23" s="808"/>
      <c r="AE23" s="808"/>
      <c r="AF23" s="808"/>
      <c r="AG23" s="808"/>
      <c r="AH23" s="808"/>
      <c r="AI23" s="808"/>
      <c r="AJ23" s="787">
        <f t="shared" si="1"/>
        <v>25000</v>
      </c>
      <c r="AK23" s="808"/>
      <c r="AL23" s="808"/>
      <c r="AM23" s="808" t="s">
        <v>1424</v>
      </c>
      <c r="AN23" s="808"/>
      <c r="AO23" s="808"/>
      <c r="AP23" s="808"/>
      <c r="AQ23" s="808"/>
      <c r="AR23" s="808"/>
      <c r="AS23" s="808"/>
      <c r="AT23" s="808"/>
      <c r="AU23" s="800" t="s">
        <v>1425</v>
      </c>
    </row>
    <row r="24" spans="1:47" s="904" customFormat="1" ht="14.25" customHeight="1">
      <c r="A24" s="794">
        <v>22</v>
      </c>
      <c r="B24" s="790" t="s">
        <v>1093</v>
      </c>
      <c r="C24" s="790" t="s">
        <v>1261</v>
      </c>
      <c r="D24" s="824">
        <v>40725</v>
      </c>
      <c r="E24" s="824">
        <v>40909</v>
      </c>
      <c r="F24" s="934">
        <v>2011</v>
      </c>
      <c r="G24" s="837" t="s">
        <v>5</v>
      </c>
      <c r="H24" s="837" t="s">
        <v>1451</v>
      </c>
      <c r="I24" s="837" t="s">
        <v>1095</v>
      </c>
      <c r="J24" s="800" t="s">
        <v>2331</v>
      </c>
      <c r="K24" s="787">
        <v>5000</v>
      </c>
      <c r="L24" s="787">
        <v>329788</v>
      </c>
      <c r="M24" s="787">
        <v>329788</v>
      </c>
      <c r="N24" s="787">
        <v>297587</v>
      </c>
      <c r="O24" s="808">
        <f t="shared" si="0"/>
        <v>59.517400000000002</v>
      </c>
      <c r="P24" s="842">
        <v>100</v>
      </c>
      <c r="Q24" s="787">
        <v>1730</v>
      </c>
      <c r="R24" s="787" t="s">
        <v>75</v>
      </c>
      <c r="S24" s="787">
        <v>1730</v>
      </c>
      <c r="T24" s="787" t="s">
        <v>233</v>
      </c>
      <c r="U24" s="787"/>
      <c r="V24" s="787">
        <v>23655</v>
      </c>
      <c r="W24" s="787">
        <v>12000</v>
      </c>
      <c r="X24" s="787">
        <v>9731</v>
      </c>
      <c r="Y24" s="808">
        <f>X24/S24</f>
        <v>5.6248554913294795</v>
      </c>
      <c r="Z24" s="787"/>
      <c r="AA24" s="787">
        <v>23655</v>
      </c>
      <c r="AB24" s="787"/>
      <c r="AC24" s="787"/>
      <c r="AD24" s="808"/>
      <c r="AE24" s="787"/>
      <c r="AF24" s="787"/>
      <c r="AG24" s="787"/>
      <c r="AH24" s="808"/>
      <c r="AI24" s="787"/>
      <c r="AJ24" s="787">
        <f t="shared" si="1"/>
        <v>23655</v>
      </c>
      <c r="AK24" s="787">
        <v>4500</v>
      </c>
      <c r="AL24" s="787">
        <v>1492</v>
      </c>
      <c r="AM24" s="787"/>
      <c r="AN24" s="787"/>
      <c r="AO24" s="787"/>
      <c r="AP24" s="787"/>
      <c r="AQ24" s="787"/>
      <c r="AR24" s="787"/>
      <c r="AS24" s="787" t="s">
        <v>1287</v>
      </c>
      <c r="AT24" s="787"/>
      <c r="AU24" s="277" t="s">
        <v>1094</v>
      </c>
    </row>
    <row r="25" spans="1:47" s="904" customFormat="1" ht="14.25" customHeight="1">
      <c r="A25" s="794">
        <v>23</v>
      </c>
      <c r="B25" s="785" t="s">
        <v>160</v>
      </c>
      <c r="C25" s="785" t="s">
        <v>1278</v>
      </c>
      <c r="D25" s="792">
        <v>40544</v>
      </c>
      <c r="E25" s="792">
        <v>40664</v>
      </c>
      <c r="F25" s="934">
        <v>2011</v>
      </c>
      <c r="G25" s="785" t="s">
        <v>508</v>
      </c>
      <c r="H25" s="837" t="s">
        <v>1452</v>
      </c>
      <c r="I25" s="785" t="s">
        <v>509</v>
      </c>
      <c r="J25" s="800" t="s">
        <v>2331</v>
      </c>
      <c r="K25" s="842">
        <v>5000</v>
      </c>
      <c r="L25" s="842">
        <v>150000</v>
      </c>
      <c r="M25" s="920">
        <v>150000</v>
      </c>
      <c r="N25" s="842">
        <v>94430</v>
      </c>
      <c r="O25" s="808">
        <f t="shared" si="0"/>
        <v>18.885999999999999</v>
      </c>
      <c r="P25" s="842">
        <v>100</v>
      </c>
      <c r="Q25" s="842" t="s">
        <v>75</v>
      </c>
      <c r="R25" s="842" t="s">
        <v>75</v>
      </c>
      <c r="S25" s="842" t="s">
        <v>75</v>
      </c>
      <c r="T25" s="842" t="s">
        <v>75</v>
      </c>
      <c r="U25" s="842" t="s">
        <v>75</v>
      </c>
      <c r="V25" s="842" t="s">
        <v>75</v>
      </c>
      <c r="W25" s="842" t="s">
        <v>75</v>
      </c>
      <c r="X25" s="842" t="s">
        <v>75</v>
      </c>
      <c r="Y25" s="842"/>
      <c r="Z25" s="842"/>
      <c r="AA25" s="842"/>
      <c r="AB25" s="842">
        <v>25</v>
      </c>
      <c r="AC25" s="842"/>
      <c r="AD25" s="842"/>
      <c r="AE25" s="842"/>
      <c r="AF25" s="842"/>
      <c r="AG25" s="842"/>
      <c r="AH25" s="842"/>
      <c r="AI25" s="842"/>
      <c r="AJ25" s="787">
        <f t="shared" si="1"/>
        <v>0</v>
      </c>
      <c r="AK25" s="842">
        <v>19500</v>
      </c>
      <c r="AL25" s="842">
        <v>19500</v>
      </c>
      <c r="AM25" s="842"/>
      <c r="AN25" s="842"/>
      <c r="AO25" s="842">
        <v>1</v>
      </c>
      <c r="AP25" s="842"/>
      <c r="AQ25" s="842"/>
      <c r="AR25" s="842"/>
      <c r="AS25" s="842"/>
      <c r="AT25" s="842"/>
      <c r="AU25" s="265" t="s">
        <v>510</v>
      </c>
    </row>
    <row r="26" spans="1:47" s="904" customFormat="1" ht="14.25" customHeight="1">
      <c r="A26" s="794">
        <v>24</v>
      </c>
      <c r="B26" s="785" t="s">
        <v>1295</v>
      </c>
      <c r="C26" s="785" t="s">
        <v>1286</v>
      </c>
      <c r="D26" s="792">
        <v>40756</v>
      </c>
      <c r="E26" s="792">
        <v>40848</v>
      </c>
      <c r="F26" s="934">
        <v>2011</v>
      </c>
      <c r="G26" s="785" t="s">
        <v>1322</v>
      </c>
      <c r="H26" s="841" t="s">
        <v>1453</v>
      </c>
      <c r="I26" s="785" t="s">
        <v>1324</v>
      </c>
      <c r="J26" s="800" t="s">
        <v>2331</v>
      </c>
      <c r="K26" s="842">
        <v>5000</v>
      </c>
      <c r="L26" s="842">
        <v>146890</v>
      </c>
      <c r="M26" s="842">
        <v>146890</v>
      </c>
      <c r="N26" s="842">
        <v>146890</v>
      </c>
      <c r="O26" s="808">
        <f t="shared" si="0"/>
        <v>29.378</v>
      </c>
      <c r="P26" s="920">
        <v>100</v>
      </c>
      <c r="Q26" s="842"/>
      <c r="R26" s="842"/>
      <c r="S26" s="842"/>
      <c r="T26" s="808" t="s">
        <v>233</v>
      </c>
      <c r="U26" s="842"/>
      <c r="V26" s="842"/>
      <c r="W26" s="842">
        <v>36696</v>
      </c>
      <c r="X26" s="842">
        <v>36696</v>
      </c>
      <c r="Y26" s="842"/>
      <c r="Z26" s="842"/>
      <c r="AA26" s="842"/>
      <c r="AB26" s="842"/>
      <c r="AC26" s="842"/>
      <c r="AD26" s="842"/>
      <c r="AE26" s="842"/>
      <c r="AF26" s="842"/>
      <c r="AG26" s="842"/>
      <c r="AH26" s="842"/>
      <c r="AI26" s="842"/>
      <c r="AJ26" s="787">
        <f t="shared" si="1"/>
        <v>0</v>
      </c>
      <c r="AK26" s="920" t="s">
        <v>66</v>
      </c>
      <c r="AL26" s="920" t="s">
        <v>66</v>
      </c>
      <c r="AM26" s="842"/>
      <c r="AN26" s="842"/>
      <c r="AO26" s="842"/>
      <c r="AP26" s="842"/>
      <c r="AQ26" s="842"/>
      <c r="AR26" s="842"/>
      <c r="AS26" s="842"/>
      <c r="AT26" s="842"/>
      <c r="AU26" s="785" t="s">
        <v>1323</v>
      </c>
    </row>
    <row r="27" spans="1:47" s="904" customFormat="1" ht="14.25" customHeight="1">
      <c r="A27" s="794">
        <v>25</v>
      </c>
      <c r="B27" s="800" t="s">
        <v>19</v>
      </c>
      <c r="C27" s="800" t="s">
        <v>1286</v>
      </c>
      <c r="D27" s="819">
        <v>40787</v>
      </c>
      <c r="E27" s="819">
        <v>41244</v>
      </c>
      <c r="F27" s="934">
        <v>2011</v>
      </c>
      <c r="G27" s="800" t="s">
        <v>5</v>
      </c>
      <c r="H27" s="837" t="s">
        <v>1451</v>
      </c>
      <c r="I27" s="800" t="s">
        <v>1339</v>
      </c>
      <c r="J27" s="800" t="s">
        <v>2331</v>
      </c>
      <c r="K27" s="808">
        <v>5000</v>
      </c>
      <c r="L27" s="808">
        <v>81845</v>
      </c>
      <c r="M27" s="808">
        <v>81845</v>
      </c>
      <c r="N27" s="808">
        <v>81845</v>
      </c>
      <c r="O27" s="808">
        <f t="shared" si="0"/>
        <v>16.369</v>
      </c>
      <c r="P27" s="920">
        <v>100</v>
      </c>
      <c r="Q27" s="808">
        <v>5000</v>
      </c>
      <c r="R27" s="808" t="s">
        <v>75</v>
      </c>
      <c r="S27" s="808">
        <v>5000</v>
      </c>
      <c r="T27" s="808" t="s">
        <v>233</v>
      </c>
      <c r="U27" s="808" t="s">
        <v>134</v>
      </c>
      <c r="V27" s="808">
        <v>5000</v>
      </c>
      <c r="W27" s="920">
        <v>44000</v>
      </c>
      <c r="X27" s="920">
        <v>44000</v>
      </c>
      <c r="Y27" s="808">
        <f>X27/S27</f>
        <v>8.8000000000000007</v>
      </c>
      <c r="Z27" s="808"/>
      <c r="AA27" s="808">
        <v>5000</v>
      </c>
      <c r="AB27" s="808"/>
      <c r="AC27" s="808"/>
      <c r="AD27" s="808"/>
      <c r="AE27" s="808">
        <v>300</v>
      </c>
      <c r="AF27" s="808"/>
      <c r="AG27" s="808"/>
      <c r="AH27" s="808"/>
      <c r="AI27" s="808"/>
      <c r="AJ27" s="787">
        <f t="shared" si="1"/>
        <v>5000</v>
      </c>
      <c r="AK27" s="920">
        <v>5000</v>
      </c>
      <c r="AL27" s="920">
        <v>5000</v>
      </c>
      <c r="AM27" s="808"/>
      <c r="AN27" s="808"/>
      <c r="AO27" s="808"/>
      <c r="AP27" s="808"/>
      <c r="AQ27" s="808"/>
      <c r="AR27" s="808"/>
      <c r="AS27" s="808"/>
      <c r="AT27" s="808"/>
      <c r="AU27" s="800" t="s">
        <v>1340</v>
      </c>
    </row>
    <row r="28" spans="1:47" s="904" customFormat="1" ht="14.25" customHeight="1">
      <c r="A28" s="794">
        <v>26</v>
      </c>
      <c r="B28" s="800" t="s">
        <v>373</v>
      </c>
      <c r="C28" s="800" t="s">
        <v>1261</v>
      </c>
      <c r="D28" s="819">
        <v>40817</v>
      </c>
      <c r="E28" s="819">
        <v>40878</v>
      </c>
      <c r="F28" s="934">
        <v>2011</v>
      </c>
      <c r="G28" s="800" t="s">
        <v>1338</v>
      </c>
      <c r="H28" s="837" t="s">
        <v>1454</v>
      </c>
      <c r="I28" s="800" t="s">
        <v>1350</v>
      </c>
      <c r="J28" s="800" t="s">
        <v>2331</v>
      </c>
      <c r="K28" s="808">
        <v>5000</v>
      </c>
      <c r="L28" s="808">
        <v>97137</v>
      </c>
      <c r="M28" s="808">
        <v>97137</v>
      </c>
      <c r="N28" s="808">
        <v>97137</v>
      </c>
      <c r="O28" s="808">
        <f t="shared" si="0"/>
        <v>19.427399999999999</v>
      </c>
      <c r="P28" s="920" t="s">
        <v>66</v>
      </c>
      <c r="Q28" s="808">
        <v>300</v>
      </c>
      <c r="R28" s="808" t="s">
        <v>75</v>
      </c>
      <c r="S28" s="808">
        <v>300</v>
      </c>
      <c r="T28" s="808" t="s">
        <v>233</v>
      </c>
      <c r="U28" s="808" t="s">
        <v>266</v>
      </c>
      <c r="V28" s="808" t="s">
        <v>266</v>
      </c>
      <c r="W28" s="808"/>
      <c r="X28" s="808"/>
      <c r="Y28" s="808">
        <f>X28/S28</f>
        <v>0</v>
      </c>
      <c r="Z28" s="808"/>
      <c r="AA28" s="808"/>
      <c r="AB28" s="808"/>
      <c r="AC28" s="808"/>
      <c r="AD28" s="808"/>
      <c r="AE28" s="808"/>
      <c r="AF28" s="808"/>
      <c r="AG28" s="808"/>
      <c r="AH28" s="808"/>
      <c r="AI28" s="808"/>
      <c r="AJ28" s="787">
        <f t="shared" si="1"/>
        <v>0</v>
      </c>
      <c r="AK28" s="808"/>
      <c r="AL28" s="808"/>
      <c r="AM28" s="808"/>
      <c r="AN28" s="808"/>
      <c r="AO28" s="808"/>
      <c r="AP28" s="808"/>
      <c r="AQ28" s="808"/>
      <c r="AR28" s="808"/>
      <c r="AS28" s="808"/>
      <c r="AT28" s="808"/>
      <c r="AU28" s="800" t="s">
        <v>1349</v>
      </c>
    </row>
    <row r="29" spans="1:47" s="904" customFormat="1" ht="14.25" customHeight="1">
      <c r="A29" s="794">
        <v>27</v>
      </c>
      <c r="B29" s="800" t="s">
        <v>933</v>
      </c>
      <c r="C29" s="808" t="s">
        <v>1286</v>
      </c>
      <c r="D29" s="819">
        <v>40817</v>
      </c>
      <c r="E29" s="819">
        <v>40909</v>
      </c>
      <c r="F29" s="934">
        <v>2011</v>
      </c>
      <c r="G29" s="800" t="s">
        <v>5</v>
      </c>
      <c r="H29" s="837" t="s">
        <v>1451</v>
      </c>
      <c r="I29" s="800" t="s">
        <v>1377</v>
      </c>
      <c r="J29" s="800" t="s">
        <v>2331</v>
      </c>
      <c r="K29" s="808">
        <v>5000</v>
      </c>
      <c r="L29" s="808">
        <v>235352</v>
      </c>
      <c r="M29" s="935">
        <v>235352</v>
      </c>
      <c r="N29" s="808">
        <v>235352</v>
      </c>
      <c r="O29" s="808">
        <f t="shared" si="0"/>
        <v>47.070399999999999</v>
      </c>
      <c r="P29" s="808"/>
      <c r="Q29" s="808"/>
      <c r="R29" s="808"/>
      <c r="S29" s="808"/>
      <c r="T29" s="808"/>
      <c r="U29" s="808"/>
      <c r="V29" s="808"/>
      <c r="W29" s="808"/>
      <c r="X29" s="808"/>
      <c r="Y29" s="808"/>
      <c r="Z29" s="808"/>
      <c r="AA29" s="808">
        <v>5000</v>
      </c>
      <c r="AB29" s="808">
        <v>250</v>
      </c>
      <c r="AC29" s="808"/>
      <c r="AD29" s="808"/>
      <c r="AE29" s="808">
        <v>3000</v>
      </c>
      <c r="AF29" s="808"/>
      <c r="AG29" s="808"/>
      <c r="AH29" s="808"/>
      <c r="AI29" s="808"/>
      <c r="AJ29" s="787">
        <f t="shared" si="1"/>
        <v>5000</v>
      </c>
      <c r="AK29" s="808"/>
      <c r="AL29" s="808"/>
      <c r="AM29" s="808"/>
      <c r="AN29" s="808"/>
      <c r="AO29" s="808"/>
      <c r="AP29" s="808"/>
      <c r="AQ29" s="808"/>
      <c r="AR29" s="808"/>
      <c r="AS29" s="808"/>
      <c r="AT29" s="808"/>
      <c r="AU29" s="808" t="s">
        <v>1378</v>
      </c>
    </row>
    <row r="30" spans="1:47" s="904" customFormat="1" ht="14.25" customHeight="1">
      <c r="A30" s="794">
        <v>28</v>
      </c>
      <c r="B30" s="800" t="s">
        <v>248</v>
      </c>
      <c r="C30" s="800" t="s">
        <v>1299</v>
      </c>
      <c r="D30" s="819">
        <v>40756</v>
      </c>
      <c r="E30" s="819">
        <v>40817</v>
      </c>
      <c r="F30" s="934">
        <v>2011</v>
      </c>
      <c r="G30" s="800" t="s">
        <v>1418</v>
      </c>
      <c r="H30" s="841" t="s">
        <v>1451</v>
      </c>
      <c r="I30" s="800" t="s">
        <v>1419</v>
      </c>
      <c r="J30" s="800" t="s">
        <v>2331</v>
      </c>
      <c r="K30" s="808">
        <v>5000</v>
      </c>
      <c r="L30" s="808">
        <v>192662</v>
      </c>
      <c r="M30" s="935">
        <v>192662</v>
      </c>
      <c r="N30" s="808">
        <v>192662</v>
      </c>
      <c r="O30" s="808">
        <f t="shared" si="0"/>
        <v>38.532400000000003</v>
      </c>
      <c r="P30" s="808"/>
      <c r="Q30" s="808">
        <v>5000</v>
      </c>
      <c r="R30" s="808">
        <v>400</v>
      </c>
      <c r="S30" s="808">
        <v>5000</v>
      </c>
      <c r="T30" s="808" t="s">
        <v>2</v>
      </c>
      <c r="U30" s="808">
        <v>30</v>
      </c>
      <c r="V30" s="808">
        <v>5000</v>
      </c>
      <c r="W30" s="808"/>
      <c r="X30" s="808"/>
      <c r="Y30" s="808">
        <f>X30/S30</f>
        <v>0</v>
      </c>
      <c r="Z30" s="808"/>
      <c r="AA30" s="808">
        <v>5000</v>
      </c>
      <c r="AB30" s="808"/>
      <c r="AC30" s="808"/>
      <c r="AD30" s="808"/>
      <c r="AE30" s="808">
        <v>2000</v>
      </c>
      <c r="AF30" s="808"/>
      <c r="AG30" s="808"/>
      <c r="AH30" s="808"/>
      <c r="AI30" s="808"/>
      <c r="AJ30" s="787">
        <f t="shared" si="1"/>
        <v>5000</v>
      </c>
      <c r="AK30" s="808"/>
      <c r="AL30" s="808"/>
      <c r="AM30" s="808"/>
      <c r="AN30" s="808"/>
      <c r="AO30" s="808"/>
      <c r="AP30" s="808"/>
      <c r="AQ30" s="808"/>
      <c r="AR30" s="808"/>
      <c r="AS30" s="808"/>
      <c r="AT30" s="808"/>
      <c r="AU30" s="258" t="s">
        <v>1420</v>
      </c>
    </row>
    <row r="31" spans="1:47" s="904" customFormat="1" ht="14.25" customHeight="1">
      <c r="A31" s="794">
        <v>29</v>
      </c>
      <c r="B31" s="800" t="s">
        <v>871</v>
      </c>
      <c r="C31" s="800" t="s">
        <v>1260</v>
      </c>
      <c r="D31" s="894">
        <v>40787</v>
      </c>
      <c r="E31" s="894">
        <v>40878</v>
      </c>
      <c r="F31" s="934">
        <v>2011</v>
      </c>
      <c r="G31" s="841" t="s">
        <v>5</v>
      </c>
      <c r="H31" s="841" t="s">
        <v>1451</v>
      </c>
      <c r="I31" s="821" t="s">
        <v>1480</v>
      </c>
      <c r="J31" s="800" t="s">
        <v>2331</v>
      </c>
      <c r="K31" s="787">
        <v>5174</v>
      </c>
      <c r="L31" s="822">
        <v>77905</v>
      </c>
      <c r="M31" s="822">
        <v>77905</v>
      </c>
      <c r="N31" s="822">
        <v>77905</v>
      </c>
      <c r="O31" s="808">
        <f t="shared" si="0"/>
        <v>15.057015848473135</v>
      </c>
      <c r="P31" s="816">
        <v>100</v>
      </c>
      <c r="Q31" s="787"/>
      <c r="R31" s="787"/>
      <c r="S31" s="787"/>
      <c r="T31" s="822"/>
      <c r="U31" s="822"/>
      <c r="V31" s="822"/>
      <c r="W31" s="822">
        <v>0</v>
      </c>
      <c r="X31" s="822">
        <v>19209</v>
      </c>
      <c r="Y31" s="816"/>
      <c r="Z31" s="822"/>
      <c r="AA31" s="822"/>
      <c r="AB31" s="822"/>
      <c r="AC31" s="822"/>
      <c r="AD31" s="816"/>
      <c r="AE31" s="822"/>
      <c r="AF31" s="822"/>
      <c r="AG31" s="822"/>
      <c r="AH31" s="816"/>
      <c r="AI31" s="822"/>
      <c r="AJ31" s="787">
        <f t="shared" si="1"/>
        <v>0</v>
      </c>
      <c r="AK31" s="816" t="s">
        <v>66</v>
      </c>
      <c r="AL31" s="816" t="s">
        <v>66</v>
      </c>
      <c r="AM31" s="822"/>
      <c r="AN31" s="822"/>
      <c r="AO31" s="822"/>
      <c r="AP31" s="822"/>
      <c r="AQ31" s="822"/>
      <c r="AR31" s="822"/>
      <c r="AS31" s="822"/>
      <c r="AT31" s="822"/>
      <c r="AU31" s="821" t="s">
        <v>1479</v>
      </c>
    </row>
    <row r="32" spans="1:47" s="904" customFormat="1" ht="14.25" customHeight="1">
      <c r="A32" s="794">
        <v>30</v>
      </c>
      <c r="B32" s="785" t="s">
        <v>98</v>
      </c>
      <c r="C32" s="842" t="s">
        <v>1299</v>
      </c>
      <c r="D32" s="792">
        <v>40878</v>
      </c>
      <c r="E32" s="792">
        <v>40969</v>
      </c>
      <c r="F32" s="934">
        <v>2011</v>
      </c>
      <c r="G32" s="785" t="s">
        <v>1216</v>
      </c>
      <c r="H32" s="841" t="s">
        <v>1452</v>
      </c>
      <c r="I32" s="785" t="s">
        <v>1301</v>
      </c>
      <c r="J32" s="800" t="s">
        <v>2331</v>
      </c>
      <c r="K32" s="842">
        <v>5500</v>
      </c>
      <c r="L32" s="842">
        <v>3952739</v>
      </c>
      <c r="M32" s="842">
        <v>113532</v>
      </c>
      <c r="N32" s="849">
        <v>113532</v>
      </c>
      <c r="O32" s="808">
        <f t="shared" si="0"/>
        <v>20.642181818181818</v>
      </c>
      <c r="P32" s="920" t="s">
        <v>66</v>
      </c>
      <c r="Q32" s="842"/>
      <c r="R32" s="842"/>
      <c r="S32" s="842"/>
      <c r="T32" s="842" t="s">
        <v>233</v>
      </c>
      <c r="U32" s="842"/>
      <c r="V32" s="842">
        <v>5500</v>
      </c>
      <c r="W32" s="842">
        <v>20400</v>
      </c>
      <c r="X32" s="849">
        <v>20400</v>
      </c>
      <c r="Y32" s="849"/>
      <c r="Z32" s="842"/>
      <c r="AA32" s="842"/>
      <c r="AB32" s="842"/>
      <c r="AC32" s="842"/>
      <c r="AD32" s="842"/>
      <c r="AE32" s="842"/>
      <c r="AF32" s="842"/>
      <c r="AG32" s="842"/>
      <c r="AH32" s="842"/>
      <c r="AI32" s="842"/>
      <c r="AJ32" s="808">
        <f t="shared" si="1"/>
        <v>0</v>
      </c>
      <c r="AK32" s="842">
        <v>1875</v>
      </c>
      <c r="AL32" s="849">
        <v>1875</v>
      </c>
      <c r="AM32" s="842"/>
      <c r="AN32" s="842"/>
      <c r="AO32" s="842"/>
      <c r="AP32" s="842"/>
      <c r="AQ32" s="842"/>
      <c r="AR32" s="842"/>
      <c r="AS32" s="842" t="s">
        <v>204</v>
      </c>
      <c r="AT32" s="842"/>
      <c r="AU32" s="275" t="s">
        <v>1302</v>
      </c>
    </row>
    <row r="33" spans="1:47" s="904" customFormat="1" ht="14.25" customHeight="1">
      <c r="A33" s="794">
        <v>31</v>
      </c>
      <c r="B33" s="790" t="s">
        <v>477</v>
      </c>
      <c r="C33" s="790" t="s">
        <v>1299</v>
      </c>
      <c r="D33" s="824">
        <v>40725</v>
      </c>
      <c r="E33" s="824">
        <v>40360</v>
      </c>
      <c r="F33" s="934">
        <v>2011</v>
      </c>
      <c r="G33" s="837" t="s">
        <v>5</v>
      </c>
      <c r="H33" s="837" t="s">
        <v>1451</v>
      </c>
      <c r="I33" s="837" t="s">
        <v>1103</v>
      </c>
      <c r="J33" s="800" t="s">
        <v>2331</v>
      </c>
      <c r="K33" s="787">
        <v>5840</v>
      </c>
      <c r="L33" s="787">
        <v>167241</v>
      </c>
      <c r="M33" s="787">
        <v>148220</v>
      </c>
      <c r="N33" s="787">
        <v>148220</v>
      </c>
      <c r="O33" s="808">
        <f t="shared" si="0"/>
        <v>25.38013698630137</v>
      </c>
      <c r="P33" s="842">
        <v>89</v>
      </c>
      <c r="Q33" s="787">
        <v>5010</v>
      </c>
      <c r="R33" s="787"/>
      <c r="S33" s="787">
        <v>5010</v>
      </c>
      <c r="T33" s="787" t="s">
        <v>233</v>
      </c>
      <c r="U33" s="787">
        <v>100</v>
      </c>
      <c r="V33" s="787">
        <v>5010</v>
      </c>
      <c r="W33" s="787">
        <v>20400</v>
      </c>
      <c r="X33" s="787">
        <v>19709</v>
      </c>
      <c r="Y33" s="808">
        <f>X33/S33</f>
        <v>3.9339321357285431</v>
      </c>
      <c r="Z33" s="787"/>
      <c r="AA33" s="787"/>
      <c r="AB33" s="787"/>
      <c r="AC33" s="787"/>
      <c r="AD33" s="808"/>
      <c r="AE33" s="787">
        <v>718</v>
      </c>
      <c r="AF33" s="787"/>
      <c r="AG33" s="787"/>
      <c r="AH33" s="808"/>
      <c r="AI33" s="787"/>
      <c r="AJ33" s="787">
        <f t="shared" si="1"/>
        <v>0</v>
      </c>
      <c r="AK33" s="787">
        <v>1600</v>
      </c>
      <c r="AL33" s="787">
        <v>1424</v>
      </c>
      <c r="AM33" s="787"/>
      <c r="AN33" s="787"/>
      <c r="AO33" s="787"/>
      <c r="AP33" s="787"/>
      <c r="AQ33" s="787"/>
      <c r="AR33" s="787"/>
      <c r="AS33" s="787"/>
      <c r="AT33" s="787"/>
      <c r="AU33" s="277" t="s">
        <v>1102</v>
      </c>
    </row>
    <row r="34" spans="1:47" s="904" customFormat="1" ht="14.25" customHeight="1">
      <c r="A34" s="794">
        <v>32</v>
      </c>
      <c r="B34" s="800" t="s">
        <v>1475</v>
      </c>
      <c r="C34" s="800" t="s">
        <v>1286</v>
      </c>
      <c r="D34" s="893">
        <v>40756</v>
      </c>
      <c r="E34" s="893">
        <v>40940</v>
      </c>
      <c r="F34" s="934">
        <v>2011</v>
      </c>
      <c r="G34" s="841" t="s">
        <v>1478</v>
      </c>
      <c r="H34" s="841" t="s">
        <v>1451</v>
      </c>
      <c r="I34" s="815" t="s">
        <v>1477</v>
      </c>
      <c r="J34" s="800" t="s">
        <v>2331</v>
      </c>
      <c r="K34" s="808">
        <v>5873</v>
      </c>
      <c r="L34" s="816">
        <v>185603</v>
      </c>
      <c r="M34" s="816">
        <v>185603</v>
      </c>
      <c r="N34" s="816">
        <v>185548</v>
      </c>
      <c r="O34" s="808">
        <f t="shared" si="0"/>
        <v>31.593393495658095</v>
      </c>
      <c r="P34" s="816">
        <v>100</v>
      </c>
      <c r="Q34" s="808"/>
      <c r="R34" s="808"/>
      <c r="S34" s="808"/>
      <c r="T34" s="816"/>
      <c r="U34" s="816"/>
      <c r="V34" s="816"/>
      <c r="W34" s="816">
        <v>21199</v>
      </c>
      <c r="X34" s="816">
        <v>19605</v>
      </c>
      <c r="Y34" s="816"/>
      <c r="Z34" s="816"/>
      <c r="AA34" s="816"/>
      <c r="AB34" s="816"/>
      <c r="AC34" s="816"/>
      <c r="AD34" s="816"/>
      <c r="AE34" s="816"/>
      <c r="AF34" s="816"/>
      <c r="AG34" s="816"/>
      <c r="AH34" s="816"/>
      <c r="AI34" s="816"/>
      <c r="AJ34" s="787">
        <f t="shared" si="1"/>
        <v>0</v>
      </c>
      <c r="AK34" s="816" t="s">
        <v>66</v>
      </c>
      <c r="AL34" s="816" t="s">
        <v>66</v>
      </c>
      <c r="AM34" s="816"/>
      <c r="AN34" s="816"/>
      <c r="AO34" s="816"/>
      <c r="AP34" s="816"/>
      <c r="AQ34" s="816"/>
      <c r="AR34" s="816"/>
      <c r="AS34" s="816"/>
      <c r="AT34" s="816"/>
      <c r="AU34" s="815" t="s">
        <v>1476</v>
      </c>
    </row>
    <row r="35" spans="1:47" s="904" customFormat="1" ht="14.25" customHeight="1">
      <c r="A35" s="794">
        <v>33</v>
      </c>
      <c r="B35" s="790" t="s">
        <v>145</v>
      </c>
      <c r="C35" s="790" t="s">
        <v>1299</v>
      </c>
      <c r="D35" s="824">
        <v>40664</v>
      </c>
      <c r="E35" s="824">
        <v>40817</v>
      </c>
      <c r="F35" s="934">
        <v>2011</v>
      </c>
      <c r="G35" s="837" t="s">
        <v>1161</v>
      </c>
      <c r="H35" s="841" t="s">
        <v>1452</v>
      </c>
      <c r="I35" s="837" t="s">
        <v>1160</v>
      </c>
      <c r="J35" s="800" t="s">
        <v>2331</v>
      </c>
      <c r="K35" s="787">
        <v>7500</v>
      </c>
      <c r="L35" s="787">
        <v>246829</v>
      </c>
      <c r="M35" s="787">
        <v>246778</v>
      </c>
      <c r="N35" s="787">
        <v>246778</v>
      </c>
      <c r="O35" s="808">
        <f t="shared" ref="O35:O66" si="2">N35/K35</f>
        <v>32.903733333333335</v>
      </c>
      <c r="P35" s="787">
        <v>100</v>
      </c>
      <c r="Q35" s="787">
        <v>7500</v>
      </c>
      <c r="R35" s="787" t="s">
        <v>75</v>
      </c>
      <c r="S35" s="787">
        <v>7500</v>
      </c>
      <c r="T35" s="787" t="s">
        <v>233</v>
      </c>
      <c r="U35" s="787">
        <v>130</v>
      </c>
      <c r="V35" s="787">
        <v>7500</v>
      </c>
      <c r="W35" s="787">
        <v>22200</v>
      </c>
      <c r="X35" s="787">
        <v>20144</v>
      </c>
      <c r="Y35" s="808">
        <f>X35/S35</f>
        <v>2.6858666666666666</v>
      </c>
      <c r="Z35" s="787"/>
      <c r="AA35" s="787"/>
      <c r="AB35" s="787">
        <v>130</v>
      </c>
      <c r="AC35" s="787"/>
      <c r="AD35" s="808"/>
      <c r="AE35" s="787">
        <v>750</v>
      </c>
      <c r="AF35" s="787"/>
      <c r="AG35" s="787"/>
      <c r="AH35" s="808"/>
      <c r="AI35" s="787"/>
      <c r="AJ35" s="787">
        <f t="shared" ref="AJ35:AJ54" si="3">SUM(Z35,AA35,AH35)</f>
        <v>0</v>
      </c>
      <c r="AK35" s="787">
        <v>9842</v>
      </c>
      <c r="AL35" s="787">
        <v>3985</v>
      </c>
      <c r="AM35" s="787"/>
      <c r="AN35" s="787"/>
      <c r="AO35" s="787"/>
      <c r="AP35" s="787"/>
      <c r="AQ35" s="787"/>
      <c r="AR35" s="787"/>
      <c r="AS35" s="787"/>
      <c r="AT35" s="787"/>
      <c r="AU35" s="837" t="s">
        <v>1159</v>
      </c>
    </row>
    <row r="36" spans="1:47" s="904" customFormat="1" ht="14.25" customHeight="1">
      <c r="A36" s="794">
        <v>34</v>
      </c>
      <c r="B36" s="785" t="s">
        <v>87</v>
      </c>
      <c r="C36" s="785" t="s">
        <v>1261</v>
      </c>
      <c r="D36" s="792">
        <v>40603</v>
      </c>
      <c r="E36" s="792">
        <v>40756</v>
      </c>
      <c r="F36" s="934">
        <v>2011</v>
      </c>
      <c r="G36" s="785" t="s">
        <v>24</v>
      </c>
      <c r="H36" s="837" t="s">
        <v>1454</v>
      </c>
      <c r="I36" s="785" t="s">
        <v>923</v>
      </c>
      <c r="J36" s="800" t="s">
        <v>2331</v>
      </c>
      <c r="K36" s="842">
        <v>7500</v>
      </c>
      <c r="L36" s="842">
        <v>157534</v>
      </c>
      <c r="M36" s="920">
        <v>157540</v>
      </c>
      <c r="N36" s="842">
        <v>156553</v>
      </c>
      <c r="O36" s="808">
        <f t="shared" si="2"/>
        <v>20.873733333333334</v>
      </c>
      <c r="P36" s="842">
        <v>100</v>
      </c>
      <c r="Q36" s="842">
        <v>500</v>
      </c>
      <c r="R36" s="842">
        <v>50</v>
      </c>
      <c r="S36" s="842">
        <v>500</v>
      </c>
      <c r="T36" s="842" t="s">
        <v>233</v>
      </c>
      <c r="U36" s="842" t="s">
        <v>75</v>
      </c>
      <c r="V36" s="842" t="s">
        <v>75</v>
      </c>
      <c r="W36" s="842" t="s">
        <v>66</v>
      </c>
      <c r="X36" s="842" t="s">
        <v>66</v>
      </c>
      <c r="Y36" s="808"/>
      <c r="Z36" s="842" t="s">
        <v>2</v>
      </c>
      <c r="AA36" s="842" t="s">
        <v>134</v>
      </c>
      <c r="AB36" s="842">
        <v>100</v>
      </c>
      <c r="AC36" s="842" t="s">
        <v>75</v>
      </c>
      <c r="AD36" s="842" t="s">
        <v>75</v>
      </c>
      <c r="AE36" s="842">
        <v>701</v>
      </c>
      <c r="AF36" s="842" t="s">
        <v>75</v>
      </c>
      <c r="AG36" s="842" t="s">
        <v>75</v>
      </c>
      <c r="AH36" s="842" t="s">
        <v>75</v>
      </c>
      <c r="AI36" s="842" t="s">
        <v>75</v>
      </c>
      <c r="AJ36" s="787">
        <f t="shared" si="3"/>
        <v>0</v>
      </c>
      <c r="AK36" s="842" t="s">
        <v>66</v>
      </c>
      <c r="AL36" s="842" t="s">
        <v>66</v>
      </c>
      <c r="AM36" s="842"/>
      <c r="AN36" s="842"/>
      <c r="AO36" s="842"/>
      <c r="AP36" s="842"/>
      <c r="AQ36" s="842"/>
      <c r="AR36" s="842"/>
      <c r="AS36" s="842" t="s">
        <v>75</v>
      </c>
      <c r="AT36" s="842" t="s">
        <v>75</v>
      </c>
      <c r="AU36" s="276" t="s">
        <v>492</v>
      </c>
    </row>
    <row r="37" spans="1:47" s="904" customFormat="1" ht="14.25" customHeight="1">
      <c r="A37" s="794">
        <v>35</v>
      </c>
      <c r="B37" s="785" t="s">
        <v>1073</v>
      </c>
      <c r="C37" s="785" t="s">
        <v>1286</v>
      </c>
      <c r="D37" s="792">
        <v>40817</v>
      </c>
      <c r="E37" s="792">
        <v>41091</v>
      </c>
      <c r="F37" s="934">
        <v>2011</v>
      </c>
      <c r="G37" s="785" t="s">
        <v>5</v>
      </c>
      <c r="H37" s="837" t="s">
        <v>1451</v>
      </c>
      <c r="I37" s="785" t="s">
        <v>1178</v>
      </c>
      <c r="J37" s="812" t="s">
        <v>2438</v>
      </c>
      <c r="K37" s="842">
        <v>7500</v>
      </c>
      <c r="L37" s="842">
        <v>715933</v>
      </c>
      <c r="M37" s="920">
        <v>668446</v>
      </c>
      <c r="N37" s="920">
        <v>533706</v>
      </c>
      <c r="O37" s="808">
        <f t="shared" si="2"/>
        <v>71.160799999999995</v>
      </c>
      <c r="P37" s="842">
        <f>(M37*100)/L37</f>
        <v>93.367116755338841</v>
      </c>
      <c r="Q37" s="842">
        <v>3000</v>
      </c>
      <c r="R37" s="842"/>
      <c r="S37" s="842">
        <v>3000</v>
      </c>
      <c r="T37" s="842"/>
      <c r="U37" s="842"/>
      <c r="V37" s="842">
        <v>7500</v>
      </c>
      <c r="W37" s="842">
        <v>108605</v>
      </c>
      <c r="X37" s="842">
        <v>83743</v>
      </c>
      <c r="Y37" s="808">
        <f>X37/S37</f>
        <v>27.914333333333332</v>
      </c>
      <c r="Z37" s="842"/>
      <c r="AA37" s="842">
        <v>7500</v>
      </c>
      <c r="AB37" s="842">
        <v>120</v>
      </c>
      <c r="AC37" s="842" t="s">
        <v>2</v>
      </c>
      <c r="AD37" s="842"/>
      <c r="AE37" s="842">
        <v>3000</v>
      </c>
      <c r="AF37" s="842"/>
      <c r="AG37" s="842"/>
      <c r="AH37" s="842"/>
      <c r="AI37" s="842"/>
      <c r="AJ37" s="787">
        <f t="shared" si="3"/>
        <v>7500</v>
      </c>
      <c r="AK37" s="842"/>
      <c r="AL37" s="842"/>
      <c r="AM37" s="842"/>
      <c r="AN37" s="842"/>
      <c r="AO37" s="842"/>
      <c r="AP37" s="842"/>
      <c r="AQ37" s="842"/>
      <c r="AR37" s="842"/>
      <c r="AS37" s="842"/>
      <c r="AT37" s="842"/>
      <c r="AU37" s="275" t="s">
        <v>1174</v>
      </c>
    </row>
    <row r="38" spans="1:47" s="904" customFormat="1" ht="14.25" customHeight="1">
      <c r="A38" s="794">
        <v>36</v>
      </c>
      <c r="B38" s="800" t="s">
        <v>167</v>
      </c>
      <c r="C38" s="800" t="s">
        <v>1299</v>
      </c>
      <c r="D38" s="819">
        <v>40787</v>
      </c>
      <c r="E38" s="819">
        <v>40848</v>
      </c>
      <c r="F38" s="934">
        <v>2011</v>
      </c>
      <c r="G38" s="800" t="s">
        <v>5</v>
      </c>
      <c r="H38" s="841" t="s">
        <v>1451</v>
      </c>
      <c r="I38" s="800" t="s">
        <v>1344</v>
      </c>
      <c r="J38" s="800" t="s">
        <v>2331</v>
      </c>
      <c r="K38" s="808">
        <v>7500</v>
      </c>
      <c r="L38" s="808">
        <v>261008</v>
      </c>
      <c r="M38" s="808">
        <v>261008</v>
      </c>
      <c r="N38" s="808">
        <v>261008</v>
      </c>
      <c r="O38" s="808">
        <f t="shared" si="2"/>
        <v>34.801066666666664</v>
      </c>
      <c r="P38" s="920" t="s">
        <v>66</v>
      </c>
      <c r="Q38" s="808">
        <v>7500</v>
      </c>
      <c r="R38" s="808">
        <v>7500</v>
      </c>
      <c r="S38" s="808">
        <v>7500</v>
      </c>
      <c r="T38" s="808" t="s">
        <v>2</v>
      </c>
      <c r="U38" s="808">
        <v>75</v>
      </c>
      <c r="V38" s="808">
        <v>7500</v>
      </c>
      <c r="W38" s="808"/>
      <c r="X38" s="808"/>
      <c r="Y38" s="808">
        <f>X38/S38</f>
        <v>0</v>
      </c>
      <c r="Z38" s="808"/>
      <c r="AA38" s="808">
        <v>7500</v>
      </c>
      <c r="AB38" s="808">
        <v>150</v>
      </c>
      <c r="AC38" s="808"/>
      <c r="AD38" s="808"/>
      <c r="AE38" s="808">
        <v>3000</v>
      </c>
      <c r="AF38" s="808"/>
      <c r="AG38" s="808"/>
      <c r="AH38" s="808"/>
      <c r="AI38" s="808"/>
      <c r="AJ38" s="787">
        <f t="shared" si="3"/>
        <v>7500</v>
      </c>
      <c r="AK38" s="808"/>
      <c r="AL38" s="808"/>
      <c r="AM38" s="808"/>
      <c r="AN38" s="808"/>
      <c r="AO38" s="808"/>
      <c r="AP38" s="808"/>
      <c r="AQ38" s="808"/>
      <c r="AR38" s="808"/>
      <c r="AS38" s="808"/>
      <c r="AT38" s="808"/>
      <c r="AU38" s="258" t="s">
        <v>1343</v>
      </c>
    </row>
    <row r="39" spans="1:47" s="904" customFormat="1" ht="14.25" customHeight="1">
      <c r="A39" s="794">
        <v>37</v>
      </c>
      <c r="B39" s="785" t="s">
        <v>120</v>
      </c>
      <c r="C39" s="842" t="s">
        <v>1299</v>
      </c>
      <c r="D39" s="792">
        <v>40756</v>
      </c>
      <c r="E39" s="792">
        <v>40848</v>
      </c>
      <c r="F39" s="934">
        <v>2011</v>
      </c>
      <c r="G39" s="785" t="s">
        <v>5</v>
      </c>
      <c r="H39" s="837" t="s">
        <v>1451</v>
      </c>
      <c r="I39" s="785" t="s">
        <v>1366</v>
      </c>
      <c r="J39" s="800" t="s">
        <v>2331</v>
      </c>
      <c r="K39" s="842">
        <v>7500</v>
      </c>
      <c r="L39" s="842">
        <v>264684</v>
      </c>
      <c r="M39" s="842">
        <v>264684</v>
      </c>
      <c r="N39" s="842">
        <v>264684</v>
      </c>
      <c r="O39" s="808">
        <f t="shared" si="2"/>
        <v>35.291200000000003</v>
      </c>
      <c r="P39" s="842"/>
      <c r="Q39" s="842">
        <v>7500</v>
      </c>
      <c r="R39" s="842">
        <v>7500</v>
      </c>
      <c r="S39" s="842">
        <v>7500</v>
      </c>
      <c r="T39" s="842"/>
      <c r="U39" s="842"/>
      <c r="V39" s="842">
        <v>7500</v>
      </c>
      <c r="W39" s="842"/>
      <c r="X39" s="842"/>
      <c r="Y39" s="808">
        <f>X39/S39</f>
        <v>0</v>
      </c>
      <c r="Z39" s="842"/>
      <c r="AA39" s="842">
        <v>7500</v>
      </c>
      <c r="AB39" s="842">
        <v>120</v>
      </c>
      <c r="AC39" s="842"/>
      <c r="AD39" s="842"/>
      <c r="AE39" s="842">
        <v>300</v>
      </c>
      <c r="AF39" s="842"/>
      <c r="AG39" s="842"/>
      <c r="AH39" s="842"/>
      <c r="AI39" s="842"/>
      <c r="AJ39" s="787">
        <f t="shared" si="3"/>
        <v>7500</v>
      </c>
      <c r="AK39" s="842"/>
      <c r="AL39" s="842"/>
      <c r="AM39" s="842"/>
      <c r="AN39" s="842"/>
      <c r="AO39" s="842"/>
      <c r="AP39" s="842"/>
      <c r="AQ39" s="842"/>
      <c r="AR39" s="842"/>
      <c r="AS39" s="842"/>
      <c r="AT39" s="842"/>
      <c r="AU39" s="842" t="s">
        <v>1367</v>
      </c>
    </row>
    <row r="40" spans="1:47" s="904" customFormat="1" ht="14.25" customHeight="1">
      <c r="A40" s="794">
        <v>38</v>
      </c>
      <c r="B40" s="800" t="s">
        <v>446</v>
      </c>
      <c r="C40" s="808" t="s">
        <v>1291</v>
      </c>
      <c r="D40" s="819">
        <v>40787</v>
      </c>
      <c r="E40" s="819">
        <v>40909</v>
      </c>
      <c r="F40" s="934">
        <v>2011</v>
      </c>
      <c r="G40" s="800" t="s">
        <v>24</v>
      </c>
      <c r="H40" s="837" t="s">
        <v>1454</v>
      </c>
      <c r="I40" s="800" t="s">
        <v>1379</v>
      </c>
      <c r="J40" s="800" t="s">
        <v>2331</v>
      </c>
      <c r="K40" s="842">
        <v>7500</v>
      </c>
      <c r="L40" s="808">
        <v>172417</v>
      </c>
      <c r="M40" s="935">
        <v>172417</v>
      </c>
      <c r="N40" s="808">
        <v>172417</v>
      </c>
      <c r="O40" s="808">
        <f t="shared" si="2"/>
        <v>22.988933333333332</v>
      </c>
      <c r="P40" s="808"/>
      <c r="Q40" s="808"/>
      <c r="R40" s="808"/>
      <c r="S40" s="808"/>
      <c r="T40" s="808"/>
      <c r="U40" s="808"/>
      <c r="V40" s="808"/>
      <c r="W40" s="808"/>
      <c r="X40" s="808"/>
      <c r="Y40" s="808"/>
      <c r="Z40" s="808"/>
      <c r="AA40" s="808"/>
      <c r="AB40" s="808"/>
      <c r="AC40" s="808"/>
      <c r="AD40" s="808"/>
      <c r="AE40" s="808"/>
      <c r="AF40" s="808"/>
      <c r="AG40" s="808"/>
      <c r="AH40" s="808"/>
      <c r="AI40" s="808"/>
      <c r="AJ40" s="787">
        <f t="shared" si="3"/>
        <v>0</v>
      </c>
      <c r="AK40" s="808"/>
      <c r="AL40" s="808"/>
      <c r="AM40" s="808"/>
      <c r="AN40" s="808"/>
      <c r="AO40" s="808"/>
      <c r="AP40" s="808"/>
      <c r="AQ40" s="808"/>
      <c r="AR40" s="808"/>
      <c r="AS40" s="808"/>
      <c r="AT40" s="808"/>
      <c r="AU40" s="808" t="s">
        <v>1380</v>
      </c>
    </row>
    <row r="41" spans="1:47" s="904" customFormat="1" ht="14.25" customHeight="1">
      <c r="A41" s="794">
        <v>39</v>
      </c>
      <c r="B41" s="785" t="s">
        <v>462</v>
      </c>
      <c r="C41" s="785" t="s">
        <v>1299</v>
      </c>
      <c r="D41" s="792">
        <v>40544</v>
      </c>
      <c r="E41" s="792">
        <v>40634</v>
      </c>
      <c r="F41" s="934">
        <v>2011</v>
      </c>
      <c r="G41" s="785" t="s">
        <v>338</v>
      </c>
      <c r="H41" s="841" t="s">
        <v>1451</v>
      </c>
      <c r="I41" s="785" t="s">
        <v>463</v>
      </c>
      <c r="J41" s="800" t="s">
        <v>2331</v>
      </c>
      <c r="K41" s="842">
        <v>8870</v>
      </c>
      <c r="L41" s="842">
        <v>177585</v>
      </c>
      <c r="M41" s="920">
        <v>236780</v>
      </c>
      <c r="N41" s="842">
        <v>235310</v>
      </c>
      <c r="O41" s="808">
        <f t="shared" si="2"/>
        <v>26.528748590755356</v>
      </c>
      <c r="P41" s="842">
        <v>100</v>
      </c>
      <c r="Q41" s="842">
        <v>8870</v>
      </c>
      <c r="R41" s="842"/>
      <c r="S41" s="842">
        <v>8870</v>
      </c>
      <c r="T41" s="842" t="s">
        <v>94</v>
      </c>
      <c r="U41" s="842">
        <v>144</v>
      </c>
      <c r="V41" s="842">
        <v>8870</v>
      </c>
      <c r="W41" s="842">
        <v>5987</v>
      </c>
      <c r="X41" s="842">
        <v>58071</v>
      </c>
      <c r="Y41" s="808">
        <f>X41/S41</f>
        <v>6.5468996617812856</v>
      </c>
      <c r="Z41" s="842"/>
      <c r="AA41" s="842"/>
      <c r="AB41" s="842">
        <v>199</v>
      </c>
      <c r="AC41" s="842"/>
      <c r="AD41" s="842"/>
      <c r="AE41" s="842"/>
      <c r="AF41" s="842"/>
      <c r="AG41" s="842"/>
      <c r="AH41" s="842"/>
      <c r="AI41" s="842"/>
      <c r="AJ41" s="787">
        <f t="shared" si="3"/>
        <v>0</v>
      </c>
      <c r="AK41" s="842">
        <v>750</v>
      </c>
      <c r="AL41" s="842">
        <v>750</v>
      </c>
      <c r="AM41" s="842"/>
      <c r="AN41" s="842"/>
      <c r="AO41" s="842"/>
      <c r="AP41" s="842"/>
      <c r="AQ41" s="842"/>
      <c r="AR41" s="842"/>
      <c r="AS41" s="842"/>
      <c r="AT41" s="842"/>
      <c r="AU41" s="265" t="s">
        <v>464</v>
      </c>
    </row>
    <row r="42" spans="1:47" s="904" customFormat="1" ht="14.25" customHeight="1">
      <c r="A42" s="794">
        <v>40</v>
      </c>
      <c r="B42" s="790" t="s">
        <v>145</v>
      </c>
      <c r="C42" s="790" t="s">
        <v>1299</v>
      </c>
      <c r="D42" s="824">
        <v>40725</v>
      </c>
      <c r="E42" s="824">
        <v>40848</v>
      </c>
      <c r="F42" s="934">
        <v>2011</v>
      </c>
      <c r="G42" s="837" t="s">
        <v>623</v>
      </c>
      <c r="H42" s="837" t="s">
        <v>1451</v>
      </c>
      <c r="I42" s="837" t="s">
        <v>1119</v>
      </c>
      <c r="J42" s="800" t="s">
        <v>2331</v>
      </c>
      <c r="K42" s="787">
        <v>9000</v>
      </c>
      <c r="L42" s="787">
        <v>289282</v>
      </c>
      <c r="M42" s="787">
        <v>289283</v>
      </c>
      <c r="N42" s="787">
        <v>286688</v>
      </c>
      <c r="O42" s="808">
        <f t="shared" si="2"/>
        <v>31.854222222222223</v>
      </c>
      <c r="P42" s="808">
        <v>100</v>
      </c>
      <c r="Q42" s="787">
        <v>7500</v>
      </c>
      <c r="R42" s="787" t="s">
        <v>75</v>
      </c>
      <c r="S42" s="787">
        <v>7500</v>
      </c>
      <c r="T42" s="787" t="s">
        <v>233</v>
      </c>
      <c r="U42" s="787">
        <v>55</v>
      </c>
      <c r="V42" s="787">
        <v>7500</v>
      </c>
      <c r="W42" s="787">
        <v>31160</v>
      </c>
      <c r="X42" s="787">
        <v>21246</v>
      </c>
      <c r="Y42" s="808">
        <f>X42/S42</f>
        <v>2.8328000000000002</v>
      </c>
      <c r="Z42" s="787"/>
      <c r="AA42" s="787"/>
      <c r="AB42" s="787">
        <v>80</v>
      </c>
      <c r="AC42" s="787"/>
      <c r="AD42" s="808"/>
      <c r="AE42" s="787">
        <v>500</v>
      </c>
      <c r="AF42" s="787"/>
      <c r="AG42" s="787"/>
      <c r="AH42" s="808"/>
      <c r="AI42" s="787"/>
      <c r="AJ42" s="787">
        <f t="shared" si="3"/>
        <v>0</v>
      </c>
      <c r="AK42" s="787">
        <v>4521</v>
      </c>
      <c r="AL42" s="787">
        <v>10835</v>
      </c>
      <c r="AM42" s="787"/>
      <c r="AN42" s="787"/>
      <c r="AO42" s="787"/>
      <c r="AP42" s="787"/>
      <c r="AQ42" s="787"/>
      <c r="AR42" s="787"/>
      <c r="AS42" s="787" t="s">
        <v>1288</v>
      </c>
      <c r="AT42" s="787"/>
      <c r="AU42" s="837" t="s">
        <v>1118</v>
      </c>
    </row>
    <row r="43" spans="1:47" s="904" customFormat="1" ht="14.25" customHeight="1">
      <c r="A43" s="794">
        <v>41</v>
      </c>
      <c r="B43" s="790" t="s">
        <v>871</v>
      </c>
      <c r="C43" s="790" t="s">
        <v>1260</v>
      </c>
      <c r="D43" s="824">
        <v>40695</v>
      </c>
      <c r="E43" s="824">
        <v>40787</v>
      </c>
      <c r="F43" s="934">
        <v>2011</v>
      </c>
      <c r="G43" s="837" t="s">
        <v>5</v>
      </c>
      <c r="H43" s="837" t="s">
        <v>1451</v>
      </c>
      <c r="I43" s="837" t="s">
        <v>1163</v>
      </c>
      <c r="J43" s="800" t="s">
        <v>2331</v>
      </c>
      <c r="K43" s="787">
        <v>9000</v>
      </c>
      <c r="L43" s="787">
        <v>149420</v>
      </c>
      <c r="M43" s="787">
        <v>149420</v>
      </c>
      <c r="N43" s="787">
        <v>146359</v>
      </c>
      <c r="O43" s="808">
        <f t="shared" si="2"/>
        <v>16.262111111111111</v>
      </c>
      <c r="P43" s="787">
        <v>100</v>
      </c>
      <c r="Q43" s="787" t="s">
        <v>75</v>
      </c>
      <c r="R43" s="787" t="s">
        <v>75</v>
      </c>
      <c r="S43" s="787" t="s">
        <v>75</v>
      </c>
      <c r="T43" s="787" t="s">
        <v>233</v>
      </c>
      <c r="U43" s="787">
        <v>15</v>
      </c>
      <c r="V43" s="787" t="s">
        <v>134</v>
      </c>
      <c r="W43" s="787">
        <v>0</v>
      </c>
      <c r="X43" s="787">
        <v>26541</v>
      </c>
      <c r="Y43" s="808"/>
      <c r="Z43" s="787"/>
      <c r="AA43" s="787" t="s">
        <v>134</v>
      </c>
      <c r="AB43" s="787">
        <v>15</v>
      </c>
      <c r="AC43" s="787"/>
      <c r="AD43" s="808"/>
      <c r="AE43" s="787"/>
      <c r="AF43" s="787"/>
      <c r="AG43" s="787"/>
      <c r="AH43" s="808"/>
      <c r="AI43" s="787"/>
      <c r="AJ43" s="787">
        <f t="shared" si="3"/>
        <v>0</v>
      </c>
      <c r="AK43" s="787" t="s">
        <v>66</v>
      </c>
      <c r="AL43" s="787" t="s">
        <v>66</v>
      </c>
      <c r="AM43" s="787"/>
      <c r="AN43" s="787"/>
      <c r="AO43" s="787"/>
      <c r="AP43" s="787"/>
      <c r="AQ43" s="787"/>
      <c r="AR43" s="787"/>
      <c r="AS43" s="787"/>
      <c r="AT43" s="787"/>
      <c r="AU43" s="837" t="s">
        <v>1164</v>
      </c>
    </row>
    <row r="44" spans="1:47" s="904" customFormat="1" ht="14.25" customHeight="1">
      <c r="A44" s="794">
        <v>42</v>
      </c>
      <c r="B44" s="785" t="s">
        <v>452</v>
      </c>
      <c r="C44" s="938" t="s">
        <v>1278</v>
      </c>
      <c r="D44" s="925">
        <v>40575</v>
      </c>
      <c r="E44" s="792">
        <v>40695</v>
      </c>
      <c r="F44" s="934">
        <v>2011</v>
      </c>
      <c r="G44" s="785" t="s">
        <v>453</v>
      </c>
      <c r="H44" s="837" t="s">
        <v>1452</v>
      </c>
      <c r="I44" s="785" t="s">
        <v>454</v>
      </c>
      <c r="J44" s="800" t="s">
        <v>2331</v>
      </c>
      <c r="K44" s="842">
        <v>10000</v>
      </c>
      <c r="L44" s="842">
        <v>107672</v>
      </c>
      <c r="M44" s="920">
        <v>107672</v>
      </c>
      <c r="N44" s="842">
        <v>105524</v>
      </c>
      <c r="O44" s="808">
        <f t="shared" si="2"/>
        <v>10.5524</v>
      </c>
      <c r="P44" s="842">
        <v>100</v>
      </c>
      <c r="Q44" s="842" t="s">
        <v>75</v>
      </c>
      <c r="R44" s="842" t="s">
        <v>75</v>
      </c>
      <c r="S44" s="842" t="s">
        <v>75</v>
      </c>
      <c r="T44" s="842" t="s">
        <v>75</v>
      </c>
      <c r="U44" s="842" t="s">
        <v>75</v>
      </c>
      <c r="V44" s="842" t="s">
        <v>75</v>
      </c>
      <c r="W44" s="842" t="s">
        <v>75</v>
      </c>
      <c r="X44" s="842" t="s">
        <v>75</v>
      </c>
      <c r="Y44" s="842"/>
      <c r="Z44" s="842"/>
      <c r="AA44" s="842"/>
      <c r="AB44" s="842">
        <v>120</v>
      </c>
      <c r="AC44" s="842">
        <v>50</v>
      </c>
      <c r="AD44" s="842"/>
      <c r="AE44" s="842"/>
      <c r="AF44" s="842"/>
      <c r="AG44" s="842"/>
      <c r="AH44" s="842"/>
      <c r="AI44" s="842"/>
      <c r="AJ44" s="787">
        <f t="shared" si="3"/>
        <v>0</v>
      </c>
      <c r="AK44" s="842">
        <v>35000</v>
      </c>
      <c r="AL44" s="842">
        <v>32802</v>
      </c>
      <c r="AM44" s="842"/>
      <c r="AN44" s="842"/>
      <c r="AO44" s="842"/>
      <c r="AP44" s="842"/>
      <c r="AQ44" s="842"/>
      <c r="AR44" s="842"/>
      <c r="AS44" s="842"/>
      <c r="AT44" s="842"/>
      <c r="AU44" s="265" t="s">
        <v>455</v>
      </c>
    </row>
    <row r="45" spans="1:47" s="904" customFormat="1" ht="14.25" customHeight="1">
      <c r="A45" s="794">
        <v>43</v>
      </c>
      <c r="B45" s="785" t="s">
        <v>139</v>
      </c>
      <c r="C45" s="785" t="s">
        <v>1299</v>
      </c>
      <c r="D45" s="925">
        <v>40575</v>
      </c>
      <c r="E45" s="792">
        <v>40664</v>
      </c>
      <c r="F45" s="934">
        <v>2011</v>
      </c>
      <c r="G45" s="785" t="s">
        <v>5</v>
      </c>
      <c r="H45" s="841" t="s">
        <v>1451</v>
      </c>
      <c r="I45" s="785" t="s">
        <v>459</v>
      </c>
      <c r="J45" s="800" t="s">
        <v>2331</v>
      </c>
      <c r="K45" s="842">
        <v>10000</v>
      </c>
      <c r="L45" s="842">
        <v>244036</v>
      </c>
      <c r="M45" s="920">
        <v>244036</v>
      </c>
      <c r="N45" s="842">
        <v>228966</v>
      </c>
      <c r="O45" s="808">
        <f t="shared" si="2"/>
        <v>22.896599999999999</v>
      </c>
      <c r="P45" s="842">
        <v>100</v>
      </c>
      <c r="Q45" s="842">
        <v>5043</v>
      </c>
      <c r="R45" s="842">
        <v>4000</v>
      </c>
      <c r="S45" s="842">
        <v>5043</v>
      </c>
      <c r="T45" s="842" t="s">
        <v>2</v>
      </c>
      <c r="U45" s="842">
        <v>5043</v>
      </c>
      <c r="V45" s="842">
        <v>5043</v>
      </c>
      <c r="W45" s="842">
        <v>43500</v>
      </c>
      <c r="X45" s="842">
        <v>46222</v>
      </c>
      <c r="Y45" s="808">
        <f>X45/S45</f>
        <v>9.1655760460043627</v>
      </c>
      <c r="Z45" s="842"/>
      <c r="AA45" s="842"/>
      <c r="AB45" s="842"/>
      <c r="AC45" s="842"/>
      <c r="AD45" s="842"/>
      <c r="AE45" s="842"/>
      <c r="AF45" s="842"/>
      <c r="AG45" s="842"/>
      <c r="AH45" s="842"/>
      <c r="AI45" s="842"/>
      <c r="AJ45" s="787">
        <f t="shared" si="3"/>
        <v>0</v>
      </c>
      <c r="AK45" s="842">
        <v>1000</v>
      </c>
      <c r="AL45" s="842">
        <v>3708</v>
      </c>
      <c r="AM45" s="842"/>
      <c r="AN45" s="842"/>
      <c r="AO45" s="842"/>
      <c r="AP45" s="842"/>
      <c r="AQ45" s="842"/>
      <c r="AR45" s="842"/>
      <c r="AS45" s="842"/>
      <c r="AT45" s="842"/>
      <c r="AU45" s="265" t="s">
        <v>461</v>
      </c>
    </row>
    <row r="46" spans="1:47" s="904" customFormat="1" ht="14.25" customHeight="1">
      <c r="A46" s="794">
        <v>44</v>
      </c>
      <c r="B46" s="785" t="s">
        <v>1169</v>
      </c>
      <c r="C46" s="785" t="s">
        <v>1286</v>
      </c>
      <c r="D46" s="792">
        <v>40817</v>
      </c>
      <c r="E46" s="792">
        <v>41061</v>
      </c>
      <c r="F46" s="934">
        <v>2011</v>
      </c>
      <c r="G46" s="785" t="s">
        <v>5</v>
      </c>
      <c r="H46" s="837" t="s">
        <v>1451</v>
      </c>
      <c r="I46" s="785" t="s">
        <v>1171</v>
      </c>
      <c r="J46" s="812" t="s">
        <v>2438</v>
      </c>
      <c r="K46" s="842">
        <v>10000</v>
      </c>
      <c r="L46" s="842">
        <v>1174119</v>
      </c>
      <c r="M46" s="920">
        <v>1139398</v>
      </c>
      <c r="N46" s="920">
        <v>1105216.06</v>
      </c>
      <c r="O46" s="808">
        <f t="shared" si="2"/>
        <v>110.52160600000001</v>
      </c>
      <c r="P46" s="842">
        <v>97</v>
      </c>
      <c r="Q46" s="842" t="s">
        <v>339</v>
      </c>
      <c r="R46" s="842" t="s">
        <v>339</v>
      </c>
      <c r="S46" s="842" t="s">
        <v>339</v>
      </c>
      <c r="T46" s="842"/>
      <c r="U46" s="842"/>
      <c r="V46" s="842">
        <v>10000</v>
      </c>
      <c r="W46" s="842"/>
      <c r="X46" s="842"/>
      <c r="Y46" s="842"/>
      <c r="Z46" s="842"/>
      <c r="AA46" s="842">
        <v>10000</v>
      </c>
      <c r="AB46" s="842">
        <v>100</v>
      </c>
      <c r="AC46" s="842" t="s">
        <v>2</v>
      </c>
      <c r="AD46" s="842"/>
      <c r="AE46" s="842"/>
      <c r="AF46" s="842"/>
      <c r="AG46" s="842"/>
      <c r="AH46" s="842"/>
      <c r="AI46" s="842">
        <v>201</v>
      </c>
      <c r="AJ46" s="787">
        <f t="shared" si="3"/>
        <v>10000</v>
      </c>
      <c r="AK46" s="842"/>
      <c r="AL46" s="842"/>
      <c r="AM46" s="842"/>
      <c r="AN46" s="842"/>
      <c r="AO46" s="842"/>
      <c r="AP46" s="842"/>
      <c r="AQ46" s="842"/>
      <c r="AR46" s="842"/>
      <c r="AS46" s="842" t="s">
        <v>2</v>
      </c>
      <c r="AT46" s="842"/>
      <c r="AU46" s="842" t="s">
        <v>1170</v>
      </c>
    </row>
    <row r="47" spans="1:47" s="904" customFormat="1" ht="14.25" customHeight="1">
      <c r="A47" s="794">
        <v>45</v>
      </c>
      <c r="B47" s="785" t="s">
        <v>607</v>
      </c>
      <c r="C47" s="785" t="s">
        <v>1299</v>
      </c>
      <c r="D47" s="792">
        <v>40817</v>
      </c>
      <c r="E47" s="792">
        <v>41000</v>
      </c>
      <c r="F47" s="934">
        <v>2011</v>
      </c>
      <c r="G47" s="785" t="s">
        <v>512</v>
      </c>
      <c r="H47" s="841" t="s">
        <v>1452</v>
      </c>
      <c r="I47" s="785" t="s">
        <v>1173</v>
      </c>
      <c r="J47" s="812" t="s">
        <v>2438</v>
      </c>
      <c r="K47" s="842">
        <v>10000</v>
      </c>
      <c r="L47" s="842">
        <v>684476</v>
      </c>
      <c r="M47" s="920">
        <v>445768</v>
      </c>
      <c r="N47" s="920">
        <v>191704</v>
      </c>
      <c r="O47" s="808">
        <f t="shared" si="2"/>
        <v>19.170400000000001</v>
      </c>
      <c r="P47" s="842">
        <v>65</v>
      </c>
      <c r="Q47" s="842">
        <f>2000*5</f>
        <v>10000</v>
      </c>
      <c r="R47" s="842">
        <v>250</v>
      </c>
      <c r="S47" s="842">
        <f>2000*5</f>
        <v>10000</v>
      </c>
      <c r="T47" s="842" t="s">
        <v>2</v>
      </c>
      <c r="U47" s="842">
        <v>55</v>
      </c>
      <c r="V47" s="842">
        <v>10000</v>
      </c>
      <c r="W47" s="842">
        <v>14000</v>
      </c>
      <c r="X47" s="849">
        <v>14000</v>
      </c>
      <c r="Y47" s="808">
        <f t="shared" ref="Y47:Y52" si="4">X47/S47</f>
        <v>1.4</v>
      </c>
      <c r="Z47" s="842"/>
      <c r="AA47" s="842">
        <v>10000</v>
      </c>
      <c r="AB47" s="842">
        <v>250</v>
      </c>
      <c r="AC47" s="842"/>
      <c r="AD47" s="842">
        <v>100</v>
      </c>
      <c r="AE47" s="842">
        <v>5000</v>
      </c>
      <c r="AF47" s="842"/>
      <c r="AG47" s="842"/>
      <c r="AH47" s="842"/>
      <c r="AI47" s="842"/>
      <c r="AJ47" s="808">
        <f t="shared" si="3"/>
        <v>10000</v>
      </c>
      <c r="AK47" s="842">
        <v>96000</v>
      </c>
      <c r="AL47" s="849">
        <v>96000</v>
      </c>
      <c r="AM47" s="842"/>
      <c r="AN47" s="842"/>
      <c r="AO47" s="842"/>
      <c r="AP47" s="842"/>
      <c r="AQ47" s="842"/>
      <c r="AR47" s="842"/>
      <c r="AS47" s="842"/>
      <c r="AT47" s="842"/>
      <c r="AU47" s="275" t="s">
        <v>1172</v>
      </c>
    </row>
    <row r="48" spans="1:47" s="904" customFormat="1" ht="14.25" customHeight="1">
      <c r="A48" s="794">
        <v>46</v>
      </c>
      <c r="B48" s="800" t="s">
        <v>87</v>
      </c>
      <c r="C48" s="808" t="s">
        <v>1291</v>
      </c>
      <c r="D48" s="819">
        <v>40787</v>
      </c>
      <c r="E48" s="819">
        <v>40969</v>
      </c>
      <c r="F48" s="934">
        <v>2011</v>
      </c>
      <c r="G48" s="800" t="s">
        <v>1368</v>
      </c>
      <c r="H48" s="841" t="s">
        <v>1451</v>
      </c>
      <c r="I48" s="800" t="s">
        <v>1369</v>
      </c>
      <c r="J48" s="800" t="s">
        <v>2331</v>
      </c>
      <c r="K48" s="808">
        <v>10000</v>
      </c>
      <c r="L48" s="808">
        <v>165670</v>
      </c>
      <c r="M48" s="935">
        <v>165669</v>
      </c>
      <c r="N48" s="808">
        <v>123842</v>
      </c>
      <c r="O48" s="808">
        <f t="shared" si="2"/>
        <v>12.3842</v>
      </c>
      <c r="P48" s="808">
        <v>100</v>
      </c>
      <c r="Q48" s="808">
        <f>3419*5</f>
        <v>17095</v>
      </c>
      <c r="R48" s="808">
        <f>200*5</f>
        <v>1000</v>
      </c>
      <c r="S48" s="808">
        <f>3419*5</f>
        <v>17095</v>
      </c>
      <c r="T48" s="808"/>
      <c r="U48" s="808">
        <v>113</v>
      </c>
      <c r="V48" s="808">
        <v>5750</v>
      </c>
      <c r="W48" s="808">
        <v>25807</v>
      </c>
      <c r="X48" s="808">
        <v>985</v>
      </c>
      <c r="Y48" s="808">
        <f t="shared" si="4"/>
        <v>5.7619186896753438E-2</v>
      </c>
      <c r="Z48" s="808"/>
      <c r="AA48" s="808"/>
      <c r="AB48" s="808"/>
      <c r="AC48" s="808"/>
      <c r="AD48" s="808"/>
      <c r="AE48" s="808"/>
      <c r="AF48" s="808"/>
      <c r="AG48" s="808"/>
      <c r="AH48" s="808"/>
      <c r="AI48" s="808"/>
      <c r="AJ48" s="808">
        <f t="shared" si="3"/>
        <v>0</v>
      </c>
      <c r="AK48" s="808"/>
      <c r="AL48" s="808"/>
      <c r="AM48" s="808"/>
      <c r="AN48" s="808"/>
      <c r="AO48" s="808"/>
      <c r="AP48" s="808"/>
      <c r="AQ48" s="808"/>
      <c r="AR48" s="808"/>
      <c r="AS48" s="808"/>
      <c r="AT48" s="808"/>
      <c r="AU48" s="291" t="s">
        <v>1370</v>
      </c>
    </row>
    <row r="49" spans="1:47" s="904" customFormat="1" ht="14.25" customHeight="1">
      <c r="A49" s="794">
        <v>47</v>
      </c>
      <c r="B49" s="800" t="s">
        <v>118</v>
      </c>
      <c r="C49" s="808" t="s">
        <v>1299</v>
      </c>
      <c r="D49" s="819">
        <v>40878</v>
      </c>
      <c r="E49" s="819">
        <v>41244</v>
      </c>
      <c r="F49" s="934">
        <v>2011</v>
      </c>
      <c r="G49" s="800" t="s">
        <v>1216</v>
      </c>
      <c r="H49" s="837" t="s">
        <v>1452</v>
      </c>
      <c r="I49" s="800" t="s">
        <v>1371</v>
      </c>
      <c r="J49" s="812" t="s">
        <v>2438</v>
      </c>
      <c r="K49" s="808">
        <v>10000</v>
      </c>
      <c r="L49" s="808">
        <v>2131749</v>
      </c>
      <c r="M49" s="935">
        <v>200000</v>
      </c>
      <c r="N49" s="808">
        <v>200000</v>
      </c>
      <c r="O49" s="808">
        <f t="shared" si="2"/>
        <v>20</v>
      </c>
      <c r="P49" s="808"/>
      <c r="Q49" s="808">
        <v>8000</v>
      </c>
      <c r="R49" s="808">
        <v>8000</v>
      </c>
      <c r="S49" s="808">
        <v>8000</v>
      </c>
      <c r="T49" s="808" t="s">
        <v>2</v>
      </c>
      <c r="U49" s="808">
        <v>100</v>
      </c>
      <c r="V49" s="808">
        <v>8000</v>
      </c>
      <c r="W49" s="808"/>
      <c r="X49" s="808"/>
      <c r="Y49" s="808">
        <f t="shared" si="4"/>
        <v>0</v>
      </c>
      <c r="Z49" s="808"/>
      <c r="AA49" s="808">
        <v>3000</v>
      </c>
      <c r="AB49" s="808"/>
      <c r="AC49" s="808"/>
      <c r="AD49" s="808"/>
      <c r="AE49" s="808"/>
      <c r="AF49" s="808"/>
      <c r="AG49" s="808"/>
      <c r="AH49" s="808"/>
      <c r="AI49" s="808"/>
      <c r="AJ49" s="787">
        <f t="shared" si="3"/>
        <v>3000</v>
      </c>
      <c r="AK49" s="808"/>
      <c r="AL49" s="808"/>
      <c r="AM49" s="808"/>
      <c r="AN49" s="808"/>
      <c r="AO49" s="808"/>
      <c r="AP49" s="808"/>
      <c r="AQ49" s="808"/>
      <c r="AR49" s="808"/>
      <c r="AS49" s="808"/>
      <c r="AT49" s="808"/>
      <c r="AU49" s="291" t="s">
        <v>1372</v>
      </c>
    </row>
    <row r="50" spans="1:47" s="904" customFormat="1" ht="14.25" customHeight="1">
      <c r="A50" s="794">
        <v>48</v>
      </c>
      <c r="B50" s="785" t="s">
        <v>521</v>
      </c>
      <c r="C50" s="785" t="s">
        <v>1299</v>
      </c>
      <c r="D50" s="792">
        <v>40848</v>
      </c>
      <c r="E50" s="792">
        <v>40575</v>
      </c>
      <c r="F50" s="934">
        <v>2011</v>
      </c>
      <c r="G50" s="785" t="s">
        <v>5</v>
      </c>
      <c r="H50" s="837" t="s">
        <v>1451</v>
      </c>
      <c r="I50" s="785" t="s">
        <v>522</v>
      </c>
      <c r="J50" s="800" t="s">
        <v>2331</v>
      </c>
      <c r="K50" s="842">
        <v>10500</v>
      </c>
      <c r="L50" s="842">
        <v>147854</v>
      </c>
      <c r="M50" s="920">
        <v>147854</v>
      </c>
      <c r="N50" s="842">
        <v>137197</v>
      </c>
      <c r="O50" s="808">
        <f t="shared" si="2"/>
        <v>13.066380952380952</v>
      </c>
      <c r="P50" s="842">
        <v>100</v>
      </c>
      <c r="Q50" s="842">
        <v>7500</v>
      </c>
      <c r="R50" s="842">
        <v>7500</v>
      </c>
      <c r="S50" s="842">
        <v>7500</v>
      </c>
      <c r="T50" s="842" t="s">
        <v>2</v>
      </c>
      <c r="U50" s="842">
        <v>50</v>
      </c>
      <c r="V50" s="842">
        <v>7500</v>
      </c>
      <c r="W50" s="842">
        <v>13625</v>
      </c>
      <c r="X50" s="842">
        <v>21059</v>
      </c>
      <c r="Y50" s="808">
        <f t="shared" si="4"/>
        <v>2.8078666666666665</v>
      </c>
      <c r="Z50" s="842"/>
      <c r="AA50" s="842"/>
      <c r="AB50" s="842"/>
      <c r="AC50" s="842"/>
      <c r="AD50" s="842"/>
      <c r="AE50" s="842">
        <v>3000</v>
      </c>
      <c r="AF50" s="842"/>
      <c r="AG50" s="842"/>
      <c r="AH50" s="842"/>
      <c r="AI50" s="842"/>
      <c r="AJ50" s="787">
        <f t="shared" si="3"/>
        <v>0</v>
      </c>
      <c r="AK50" s="842">
        <v>0</v>
      </c>
      <c r="AL50" s="842">
        <v>0</v>
      </c>
      <c r="AM50" s="842"/>
      <c r="AN50" s="842"/>
      <c r="AO50" s="842"/>
      <c r="AP50" s="842"/>
      <c r="AQ50" s="842"/>
      <c r="AR50" s="842"/>
      <c r="AS50" s="842"/>
      <c r="AT50" s="842"/>
      <c r="AU50" s="265" t="s">
        <v>523</v>
      </c>
    </row>
    <row r="51" spans="1:47" s="904" customFormat="1" ht="14.25" customHeight="1">
      <c r="A51" s="794">
        <v>49</v>
      </c>
      <c r="B51" s="790" t="s">
        <v>97</v>
      </c>
      <c r="C51" s="790" t="s">
        <v>1299</v>
      </c>
      <c r="D51" s="824">
        <v>40756</v>
      </c>
      <c r="E51" s="824">
        <v>40940</v>
      </c>
      <c r="F51" s="934">
        <v>2011</v>
      </c>
      <c r="G51" s="837" t="s">
        <v>5</v>
      </c>
      <c r="H51" s="837" t="s">
        <v>1451</v>
      </c>
      <c r="I51" s="837" t="s">
        <v>1114</v>
      </c>
      <c r="J51" s="800" t="s">
        <v>2331</v>
      </c>
      <c r="K51" s="787">
        <v>11200</v>
      </c>
      <c r="L51" s="787">
        <v>250491</v>
      </c>
      <c r="M51" s="787">
        <v>250491</v>
      </c>
      <c r="N51" s="787">
        <v>248814</v>
      </c>
      <c r="O51" s="808">
        <f t="shared" si="2"/>
        <v>22.215535714285714</v>
      </c>
      <c r="P51" s="842">
        <v>100</v>
      </c>
      <c r="Q51" s="787">
        <v>8000</v>
      </c>
      <c r="R51" s="787">
        <v>200</v>
      </c>
      <c r="S51" s="787">
        <v>8000</v>
      </c>
      <c r="T51" s="787" t="s">
        <v>233</v>
      </c>
      <c r="U51" s="787">
        <v>80</v>
      </c>
      <c r="V51" s="787">
        <v>10000</v>
      </c>
      <c r="W51" s="787">
        <v>8222</v>
      </c>
      <c r="X51" s="787">
        <v>28394</v>
      </c>
      <c r="Y51" s="808">
        <f t="shared" si="4"/>
        <v>3.5492499999999998</v>
      </c>
      <c r="Z51" s="787"/>
      <c r="AA51" s="787">
        <v>10000</v>
      </c>
      <c r="AB51" s="787">
        <v>80</v>
      </c>
      <c r="AC51" s="787"/>
      <c r="AD51" s="808"/>
      <c r="AE51" s="787">
        <v>3200</v>
      </c>
      <c r="AF51" s="787"/>
      <c r="AG51" s="787"/>
      <c r="AH51" s="808"/>
      <c r="AI51" s="787"/>
      <c r="AJ51" s="787">
        <f t="shared" si="3"/>
        <v>10000</v>
      </c>
      <c r="AK51" s="787">
        <v>14760</v>
      </c>
      <c r="AL51" s="787">
        <v>14035</v>
      </c>
      <c r="AM51" s="787"/>
      <c r="AN51" s="787"/>
      <c r="AO51" s="787"/>
      <c r="AP51" s="787"/>
      <c r="AQ51" s="787"/>
      <c r="AR51" s="787"/>
      <c r="AS51" s="787"/>
      <c r="AT51" s="787"/>
      <c r="AU51" s="277" t="s">
        <v>1113</v>
      </c>
    </row>
    <row r="52" spans="1:47" s="904" customFormat="1" ht="14.25" customHeight="1">
      <c r="A52" s="794">
        <v>50</v>
      </c>
      <c r="B52" s="800" t="s">
        <v>20</v>
      </c>
      <c r="C52" s="800" t="s">
        <v>1286</v>
      </c>
      <c r="D52" s="819">
        <v>40878</v>
      </c>
      <c r="E52" s="819">
        <v>40940</v>
      </c>
      <c r="F52" s="934">
        <v>2011</v>
      </c>
      <c r="G52" s="800" t="s">
        <v>5</v>
      </c>
      <c r="H52" s="841" t="s">
        <v>1451</v>
      </c>
      <c r="I52" s="800" t="s">
        <v>1329</v>
      </c>
      <c r="J52" s="800" t="s">
        <v>2331</v>
      </c>
      <c r="K52" s="808">
        <v>11450</v>
      </c>
      <c r="L52" s="808">
        <v>105591</v>
      </c>
      <c r="M52" s="808">
        <v>105591</v>
      </c>
      <c r="N52" s="808">
        <v>105591</v>
      </c>
      <c r="O52" s="808">
        <f t="shared" si="2"/>
        <v>9.2219213973799121</v>
      </c>
      <c r="P52" s="920" t="s">
        <v>66</v>
      </c>
      <c r="Q52" s="808">
        <v>6000</v>
      </c>
      <c r="R52" s="808" t="s">
        <v>75</v>
      </c>
      <c r="S52" s="808">
        <v>6000</v>
      </c>
      <c r="T52" s="808" t="s">
        <v>233</v>
      </c>
      <c r="U52" s="808" t="s">
        <v>75</v>
      </c>
      <c r="V52" s="808" t="s">
        <v>75</v>
      </c>
      <c r="W52" s="808">
        <v>24862</v>
      </c>
      <c r="X52" s="808"/>
      <c r="Y52" s="808">
        <f t="shared" si="4"/>
        <v>0</v>
      </c>
      <c r="Z52" s="808">
        <v>3700</v>
      </c>
      <c r="AA52" s="808">
        <v>3700</v>
      </c>
      <c r="AB52" s="808"/>
      <c r="AC52" s="808"/>
      <c r="AD52" s="808"/>
      <c r="AE52" s="808">
        <v>500</v>
      </c>
      <c r="AF52" s="808"/>
      <c r="AG52" s="808"/>
      <c r="AH52" s="808"/>
      <c r="AI52" s="808"/>
      <c r="AJ52" s="808">
        <f t="shared" si="3"/>
        <v>7400</v>
      </c>
      <c r="AK52" s="808">
        <v>16574</v>
      </c>
      <c r="AL52" s="831">
        <v>16574</v>
      </c>
      <c r="AM52" s="808"/>
      <c r="AN52" s="808"/>
      <c r="AO52" s="808"/>
      <c r="AP52" s="808"/>
      <c r="AQ52" s="808"/>
      <c r="AR52" s="808"/>
      <c r="AS52" s="808"/>
      <c r="AT52" s="808"/>
      <c r="AU52" s="258" t="s">
        <v>1330</v>
      </c>
    </row>
    <row r="53" spans="1:47" s="904" customFormat="1" ht="14.25" customHeight="1">
      <c r="A53" s="794">
        <v>51</v>
      </c>
      <c r="B53" s="785" t="s">
        <v>919</v>
      </c>
      <c r="C53" s="785" t="s">
        <v>1286</v>
      </c>
      <c r="D53" s="792">
        <v>40544</v>
      </c>
      <c r="E53" s="792">
        <v>40787</v>
      </c>
      <c r="F53" s="934">
        <v>2011</v>
      </c>
      <c r="G53" s="785" t="s">
        <v>5</v>
      </c>
      <c r="H53" s="837" t="s">
        <v>1451</v>
      </c>
      <c r="I53" s="785" t="s">
        <v>918</v>
      </c>
      <c r="J53" s="800" t="s">
        <v>2331</v>
      </c>
      <c r="K53" s="842">
        <v>12500</v>
      </c>
      <c r="L53" s="842">
        <v>20000</v>
      </c>
      <c r="M53" s="920">
        <v>20000</v>
      </c>
      <c r="N53" s="842">
        <v>4472</v>
      </c>
      <c r="O53" s="808">
        <f t="shared" si="2"/>
        <v>0.35776000000000002</v>
      </c>
      <c r="P53" s="842">
        <v>100</v>
      </c>
      <c r="Q53" s="842" t="s">
        <v>75</v>
      </c>
      <c r="R53" s="842" t="s">
        <v>75</v>
      </c>
      <c r="S53" s="842" t="s">
        <v>75</v>
      </c>
      <c r="T53" s="842" t="s">
        <v>233</v>
      </c>
      <c r="U53" s="842" t="s">
        <v>75</v>
      </c>
      <c r="V53" s="842" t="s">
        <v>75</v>
      </c>
      <c r="W53" s="842" t="s">
        <v>66</v>
      </c>
      <c r="X53" s="842" t="s">
        <v>66</v>
      </c>
      <c r="Y53" s="842"/>
      <c r="Z53" s="842" t="s">
        <v>2</v>
      </c>
      <c r="AA53" s="842"/>
      <c r="AB53" s="842"/>
      <c r="AC53" s="842" t="s">
        <v>75</v>
      </c>
      <c r="AD53" s="842" t="s">
        <v>75</v>
      </c>
      <c r="AE53" s="842" t="s">
        <v>75</v>
      </c>
      <c r="AF53" s="842" t="s">
        <v>75</v>
      </c>
      <c r="AG53" s="842" t="s">
        <v>75</v>
      </c>
      <c r="AH53" s="842" t="s">
        <v>75</v>
      </c>
      <c r="AI53" s="842" t="s">
        <v>75</v>
      </c>
      <c r="AJ53" s="787">
        <f t="shared" si="3"/>
        <v>0</v>
      </c>
      <c r="AK53" s="842" t="s">
        <v>66</v>
      </c>
      <c r="AL53" s="842" t="s">
        <v>66</v>
      </c>
      <c r="AM53" s="842"/>
      <c r="AN53" s="842"/>
      <c r="AO53" s="842"/>
      <c r="AP53" s="842"/>
      <c r="AQ53" s="842"/>
      <c r="AR53" s="842"/>
      <c r="AS53" s="842" t="s">
        <v>75</v>
      </c>
      <c r="AT53" s="842" t="s">
        <v>75</v>
      </c>
      <c r="AU53" s="785" t="s">
        <v>917</v>
      </c>
    </row>
    <row r="54" spans="1:47" s="904" customFormat="1" ht="14.25" customHeight="1">
      <c r="A54" s="794">
        <v>52</v>
      </c>
      <c r="B54" s="800" t="s">
        <v>536</v>
      </c>
      <c r="C54" s="800" t="s">
        <v>1286</v>
      </c>
      <c r="D54" s="819">
        <v>40817</v>
      </c>
      <c r="E54" s="819">
        <v>40909</v>
      </c>
      <c r="F54" s="934">
        <v>2011</v>
      </c>
      <c r="G54" s="800" t="s">
        <v>1332</v>
      </c>
      <c r="H54" s="837" t="s">
        <v>1450</v>
      </c>
      <c r="I54" s="800" t="s">
        <v>1333</v>
      </c>
      <c r="J54" s="800" t="s">
        <v>2331</v>
      </c>
      <c r="K54" s="808">
        <v>12500</v>
      </c>
      <c r="L54" s="808">
        <v>94374</v>
      </c>
      <c r="M54" s="808">
        <v>94374</v>
      </c>
      <c r="N54" s="808">
        <v>94374</v>
      </c>
      <c r="O54" s="808">
        <f t="shared" si="2"/>
        <v>7.5499200000000002</v>
      </c>
      <c r="P54" s="920" t="s">
        <v>66</v>
      </c>
      <c r="Q54" s="808">
        <v>12500</v>
      </c>
      <c r="R54" s="808" t="s">
        <v>75</v>
      </c>
      <c r="S54" s="808">
        <v>12500</v>
      </c>
      <c r="T54" s="808" t="s">
        <v>233</v>
      </c>
      <c r="U54" s="808" t="s">
        <v>134</v>
      </c>
      <c r="V54" s="808">
        <v>1250</v>
      </c>
      <c r="W54" s="920" t="s">
        <v>66</v>
      </c>
      <c r="X54" s="920" t="s">
        <v>66</v>
      </c>
      <c r="Y54" s="808"/>
      <c r="Z54" s="808"/>
      <c r="AA54" s="808"/>
      <c r="AB54" s="808"/>
      <c r="AC54" s="808"/>
      <c r="AD54" s="808"/>
      <c r="AE54" s="808"/>
      <c r="AF54" s="808"/>
      <c r="AG54" s="808"/>
      <c r="AH54" s="808"/>
      <c r="AI54" s="808"/>
      <c r="AJ54" s="787">
        <f t="shared" si="3"/>
        <v>0</v>
      </c>
      <c r="AK54" s="920" t="s">
        <v>66</v>
      </c>
      <c r="AL54" s="920" t="s">
        <v>66</v>
      </c>
      <c r="AM54" s="808"/>
      <c r="AN54" s="808"/>
      <c r="AO54" s="808"/>
      <c r="AP54" s="808"/>
      <c r="AQ54" s="808"/>
      <c r="AR54" s="808"/>
      <c r="AS54" s="808"/>
      <c r="AT54" s="808"/>
      <c r="AU54" s="258" t="s">
        <v>1331</v>
      </c>
    </row>
    <row r="55" spans="1:47" s="904" customFormat="1" ht="14.25" customHeight="1">
      <c r="A55" s="794">
        <v>53</v>
      </c>
      <c r="B55" s="785" t="s">
        <v>532</v>
      </c>
      <c r="C55" s="785" t="s">
        <v>1261</v>
      </c>
      <c r="D55" s="925">
        <v>40575</v>
      </c>
      <c r="E55" s="792">
        <v>40664</v>
      </c>
      <c r="F55" s="934">
        <v>2011</v>
      </c>
      <c r="G55" s="785" t="s">
        <v>533</v>
      </c>
      <c r="H55" s="837" t="s">
        <v>1450</v>
      </c>
      <c r="I55" s="785" t="s">
        <v>534</v>
      </c>
      <c r="J55" s="800" t="s">
        <v>2331</v>
      </c>
      <c r="K55" s="842">
        <v>14530</v>
      </c>
      <c r="L55" s="842">
        <v>90322</v>
      </c>
      <c r="M55" s="920">
        <v>90322</v>
      </c>
      <c r="N55" s="842">
        <v>52683</v>
      </c>
      <c r="O55" s="808">
        <f t="shared" si="2"/>
        <v>3.6258086717136959</v>
      </c>
      <c r="P55" s="842">
        <v>100</v>
      </c>
      <c r="Q55" s="842">
        <v>14530</v>
      </c>
      <c r="R55" s="842"/>
      <c r="S55" s="842">
        <v>14530</v>
      </c>
      <c r="T55" s="842" t="s">
        <v>233</v>
      </c>
      <c r="U55" s="842"/>
      <c r="V55" s="842">
        <v>14530</v>
      </c>
      <c r="W55" s="842">
        <v>5057</v>
      </c>
      <c r="X55" s="842">
        <v>5057</v>
      </c>
      <c r="Y55" s="808">
        <f>X55/S55</f>
        <v>0.34803854094975911</v>
      </c>
      <c r="Z55" s="842"/>
      <c r="AA55" s="842"/>
      <c r="AB55" s="842"/>
      <c r="AC55" s="842"/>
      <c r="AD55" s="842"/>
      <c r="AE55" s="842">
        <v>362</v>
      </c>
      <c r="AF55" s="842"/>
      <c r="AG55" s="842"/>
      <c r="AH55" s="842"/>
      <c r="AI55" s="842"/>
      <c r="AJ55" s="787"/>
      <c r="AK55" s="842"/>
      <c r="AL55" s="842"/>
      <c r="AM55" s="842"/>
      <c r="AN55" s="842"/>
      <c r="AO55" s="842"/>
      <c r="AP55" s="842"/>
      <c r="AQ55" s="842"/>
      <c r="AR55" s="842"/>
      <c r="AS55" s="842"/>
      <c r="AT55" s="842"/>
      <c r="AU55" s="265" t="s">
        <v>535</v>
      </c>
    </row>
    <row r="56" spans="1:47" s="904" customFormat="1" ht="14.25" customHeight="1">
      <c r="A56" s="794">
        <v>54</v>
      </c>
      <c r="B56" s="785" t="s">
        <v>481</v>
      </c>
      <c r="C56" s="785" t="s">
        <v>1299</v>
      </c>
      <c r="D56" s="792">
        <v>40544</v>
      </c>
      <c r="E56" s="792">
        <v>40634</v>
      </c>
      <c r="F56" s="934">
        <v>2011</v>
      </c>
      <c r="G56" s="785" t="s">
        <v>482</v>
      </c>
      <c r="H56" s="837" t="s">
        <v>1460</v>
      </c>
      <c r="I56" s="785" t="s">
        <v>483</v>
      </c>
      <c r="J56" s="800" t="s">
        <v>2331</v>
      </c>
      <c r="K56" s="842">
        <v>15000</v>
      </c>
      <c r="L56" s="842">
        <v>345207</v>
      </c>
      <c r="M56" s="920">
        <v>345207</v>
      </c>
      <c r="N56" s="842">
        <v>315178</v>
      </c>
      <c r="O56" s="808">
        <f t="shared" si="2"/>
        <v>21.011866666666666</v>
      </c>
      <c r="P56" s="842">
        <v>100</v>
      </c>
      <c r="Q56" s="842">
        <v>15000</v>
      </c>
      <c r="R56" s="842">
        <v>15000</v>
      </c>
      <c r="S56" s="842">
        <v>15000</v>
      </c>
      <c r="T56" s="842" t="s">
        <v>95</v>
      </c>
      <c r="U56" s="842"/>
      <c r="V56" s="842"/>
      <c r="W56" s="842">
        <v>37210</v>
      </c>
      <c r="X56" s="842">
        <v>4760</v>
      </c>
      <c r="Y56" s="808">
        <f>X56/S56</f>
        <v>0.31733333333333336</v>
      </c>
      <c r="Z56" s="842"/>
      <c r="AA56" s="842"/>
      <c r="AB56" s="842">
        <v>334</v>
      </c>
      <c r="AC56" s="842"/>
      <c r="AD56" s="842"/>
      <c r="AE56" s="842"/>
      <c r="AF56" s="842"/>
      <c r="AG56" s="842"/>
      <c r="AH56" s="842"/>
      <c r="AI56" s="842"/>
      <c r="AJ56" s="787">
        <f t="shared" ref="AJ56:AJ87" si="5">SUM(Z56,AA56,AH56)</f>
        <v>0</v>
      </c>
      <c r="AK56" s="842">
        <v>47755</v>
      </c>
      <c r="AL56" s="842">
        <v>47755</v>
      </c>
      <c r="AM56" s="842"/>
      <c r="AN56" s="842"/>
      <c r="AO56" s="842"/>
      <c r="AP56" s="842"/>
      <c r="AQ56" s="842"/>
      <c r="AR56" s="842"/>
      <c r="AS56" s="842"/>
      <c r="AT56" s="842"/>
      <c r="AU56" s="265" t="s">
        <v>484</v>
      </c>
    </row>
    <row r="57" spans="1:47" s="904" customFormat="1" ht="14.25" customHeight="1">
      <c r="A57" s="794">
        <v>55</v>
      </c>
      <c r="B57" s="800" t="s">
        <v>97</v>
      </c>
      <c r="C57" s="808" t="s">
        <v>1299</v>
      </c>
      <c r="D57" s="819">
        <v>40817</v>
      </c>
      <c r="E57" s="819">
        <v>40909</v>
      </c>
      <c r="F57" s="934">
        <v>2011</v>
      </c>
      <c r="G57" s="800" t="s">
        <v>168</v>
      </c>
      <c r="H57" s="837" t="s">
        <v>1449</v>
      </c>
      <c r="I57" s="800" t="s">
        <v>1373</v>
      </c>
      <c r="J57" s="800" t="s">
        <v>2331</v>
      </c>
      <c r="K57" s="808">
        <v>15000</v>
      </c>
      <c r="L57" s="808">
        <v>181335</v>
      </c>
      <c r="M57" s="935">
        <v>181335</v>
      </c>
      <c r="N57" s="808">
        <v>181335</v>
      </c>
      <c r="O57" s="808">
        <f t="shared" si="2"/>
        <v>12.089</v>
      </c>
      <c r="P57" s="808"/>
      <c r="Q57" s="808"/>
      <c r="R57" s="808"/>
      <c r="S57" s="808"/>
      <c r="T57" s="808"/>
      <c r="U57" s="808"/>
      <c r="V57" s="808"/>
      <c r="W57" s="808"/>
      <c r="X57" s="808"/>
      <c r="Y57" s="808"/>
      <c r="Z57" s="808"/>
      <c r="AA57" s="808">
        <v>5000</v>
      </c>
      <c r="AB57" s="808">
        <v>150</v>
      </c>
      <c r="AC57" s="808"/>
      <c r="AD57" s="808" t="s">
        <v>2</v>
      </c>
      <c r="AE57" s="808"/>
      <c r="AF57" s="808"/>
      <c r="AG57" s="808"/>
      <c r="AH57" s="808"/>
      <c r="AI57" s="808"/>
      <c r="AJ57" s="787">
        <f t="shared" si="5"/>
        <v>5000</v>
      </c>
      <c r="AK57" s="808"/>
      <c r="AL57" s="808"/>
      <c r="AM57" s="808"/>
      <c r="AN57" s="808"/>
      <c r="AO57" s="808"/>
      <c r="AP57" s="808"/>
      <c r="AQ57" s="808"/>
      <c r="AR57" s="808"/>
      <c r="AS57" s="808"/>
      <c r="AT57" s="808"/>
      <c r="AU57" s="808" t="s">
        <v>1374</v>
      </c>
    </row>
    <row r="58" spans="1:47" s="904" customFormat="1" ht="14.25" customHeight="1">
      <c r="A58" s="794">
        <v>56</v>
      </c>
      <c r="B58" s="785" t="s">
        <v>485</v>
      </c>
      <c r="C58" s="785" t="s">
        <v>1299</v>
      </c>
      <c r="D58" s="925">
        <v>40575</v>
      </c>
      <c r="E58" s="792">
        <v>40695</v>
      </c>
      <c r="F58" s="934">
        <v>2011</v>
      </c>
      <c r="G58" s="785" t="s">
        <v>486</v>
      </c>
      <c r="H58" s="837" t="s">
        <v>1450</v>
      </c>
      <c r="I58" s="785" t="s">
        <v>487</v>
      </c>
      <c r="J58" s="800" t="s">
        <v>2331</v>
      </c>
      <c r="K58" s="842">
        <v>15500</v>
      </c>
      <c r="L58" s="842">
        <v>305275</v>
      </c>
      <c r="M58" s="920">
        <v>223197</v>
      </c>
      <c r="N58" s="842">
        <v>223197</v>
      </c>
      <c r="O58" s="808">
        <f t="shared" si="2"/>
        <v>14.399806451612903</v>
      </c>
      <c r="P58" s="842">
        <v>0.1</v>
      </c>
      <c r="Q58" s="842">
        <v>1120</v>
      </c>
      <c r="R58" s="842">
        <v>3328</v>
      </c>
      <c r="S58" s="842">
        <v>3328</v>
      </c>
      <c r="T58" s="842" t="s">
        <v>2</v>
      </c>
      <c r="U58" s="842">
        <v>605</v>
      </c>
      <c r="V58" s="842">
        <v>3328</v>
      </c>
      <c r="W58" s="842">
        <v>98835</v>
      </c>
      <c r="X58" s="842">
        <v>65980</v>
      </c>
      <c r="Y58" s="808">
        <f>X58/S58</f>
        <v>19.825721153846153</v>
      </c>
      <c r="Z58" s="842"/>
      <c r="AA58" s="842"/>
      <c r="AB58" s="842"/>
      <c r="AC58" s="842" t="s">
        <v>2</v>
      </c>
      <c r="AD58" s="842"/>
      <c r="AE58" s="842"/>
      <c r="AF58" s="842"/>
      <c r="AG58" s="842"/>
      <c r="AH58" s="842"/>
      <c r="AI58" s="842"/>
      <c r="AJ58" s="787">
        <f t="shared" si="5"/>
        <v>0</v>
      </c>
      <c r="AK58" s="842">
        <v>0</v>
      </c>
      <c r="AL58" s="842">
        <v>0</v>
      </c>
      <c r="AM58" s="842"/>
      <c r="AN58" s="842"/>
      <c r="AO58" s="842"/>
      <c r="AP58" s="842"/>
      <c r="AQ58" s="842"/>
      <c r="AR58" s="842"/>
      <c r="AS58" s="842"/>
      <c r="AT58" s="842"/>
      <c r="AU58" s="265" t="s">
        <v>488</v>
      </c>
    </row>
    <row r="59" spans="1:47" s="904" customFormat="1" ht="14.25" customHeight="1">
      <c r="A59" s="794">
        <v>57</v>
      </c>
      <c r="B59" s="785" t="s">
        <v>927</v>
      </c>
      <c r="C59" s="785" t="s">
        <v>1286</v>
      </c>
      <c r="D59" s="792">
        <v>40634</v>
      </c>
      <c r="E59" s="792">
        <v>40787</v>
      </c>
      <c r="F59" s="934">
        <v>2011</v>
      </c>
      <c r="G59" s="785" t="s">
        <v>468</v>
      </c>
      <c r="H59" s="837" t="s">
        <v>1449</v>
      </c>
      <c r="I59" s="785" t="s">
        <v>926</v>
      </c>
      <c r="J59" s="800" t="s">
        <v>2331</v>
      </c>
      <c r="K59" s="842">
        <v>19455</v>
      </c>
      <c r="L59" s="842">
        <v>99593</v>
      </c>
      <c r="M59" s="842">
        <v>99593</v>
      </c>
      <c r="N59" s="842">
        <v>82176</v>
      </c>
      <c r="O59" s="808">
        <f t="shared" si="2"/>
        <v>4.2239013107170393</v>
      </c>
      <c r="P59" s="842">
        <v>100</v>
      </c>
      <c r="Q59" s="842" t="s">
        <v>134</v>
      </c>
      <c r="R59" s="842" t="s">
        <v>75</v>
      </c>
      <c r="S59" s="842" t="s">
        <v>134</v>
      </c>
      <c r="T59" s="842" t="s">
        <v>233</v>
      </c>
      <c r="U59" s="842" t="s">
        <v>75</v>
      </c>
      <c r="V59" s="842" t="s">
        <v>75</v>
      </c>
      <c r="W59" s="842">
        <v>0</v>
      </c>
      <c r="X59" s="842">
        <v>7543</v>
      </c>
      <c r="Y59" s="842"/>
      <c r="Z59" s="842" t="s">
        <v>75</v>
      </c>
      <c r="AA59" s="842">
        <v>19455</v>
      </c>
      <c r="AB59" s="842">
        <v>133</v>
      </c>
      <c r="AC59" s="842" t="s">
        <v>75</v>
      </c>
      <c r="AD59" s="842">
        <v>62</v>
      </c>
      <c r="AE59" s="842" t="s">
        <v>75</v>
      </c>
      <c r="AF59" s="842" t="s">
        <v>75</v>
      </c>
      <c r="AG59" s="842" t="s">
        <v>75</v>
      </c>
      <c r="AH59" s="842" t="s">
        <v>75</v>
      </c>
      <c r="AI59" s="842" t="s">
        <v>75</v>
      </c>
      <c r="AJ59" s="787">
        <f t="shared" si="5"/>
        <v>19455</v>
      </c>
      <c r="AK59" s="842">
        <v>2266</v>
      </c>
      <c r="AL59" s="842">
        <v>2256</v>
      </c>
      <c r="AM59" s="842"/>
      <c r="AN59" s="842"/>
      <c r="AO59" s="842"/>
      <c r="AP59" s="842"/>
      <c r="AQ59" s="842"/>
      <c r="AR59" s="842"/>
      <c r="AS59" s="842" t="s">
        <v>75</v>
      </c>
      <c r="AT59" s="842" t="s">
        <v>75</v>
      </c>
      <c r="AU59" s="842" t="s">
        <v>467</v>
      </c>
    </row>
    <row r="60" spans="1:47" s="904" customFormat="1" ht="14.25" customHeight="1">
      <c r="A60" s="794">
        <v>58</v>
      </c>
      <c r="B60" s="812" t="s">
        <v>12</v>
      </c>
      <c r="C60" s="785" t="s">
        <v>1299</v>
      </c>
      <c r="D60" s="925">
        <v>40575</v>
      </c>
      <c r="E60" s="925">
        <v>40603</v>
      </c>
      <c r="F60" s="934">
        <v>2011</v>
      </c>
      <c r="G60" s="812" t="s">
        <v>78</v>
      </c>
      <c r="H60" s="837" t="s">
        <v>1452</v>
      </c>
      <c r="I60" s="812" t="s">
        <v>58</v>
      </c>
      <c r="J60" s="812" t="s">
        <v>2438</v>
      </c>
      <c r="K60" s="871">
        <v>20000</v>
      </c>
      <c r="L60" s="871">
        <v>3586228</v>
      </c>
      <c r="M60" s="871">
        <v>271075</v>
      </c>
      <c r="N60" s="871">
        <v>271075</v>
      </c>
      <c r="O60" s="808">
        <f t="shared" si="2"/>
        <v>13.553750000000001</v>
      </c>
      <c r="P60" s="871">
        <v>8</v>
      </c>
      <c r="Q60" s="871">
        <v>20000</v>
      </c>
      <c r="R60" s="871">
        <v>20000</v>
      </c>
      <c r="S60" s="871">
        <v>20000</v>
      </c>
      <c r="T60" s="871" t="s">
        <v>94</v>
      </c>
      <c r="U60" s="871">
        <v>200</v>
      </c>
      <c r="V60" s="871">
        <v>20000</v>
      </c>
      <c r="W60" s="871">
        <v>650899</v>
      </c>
      <c r="X60" s="842">
        <v>52071.92</v>
      </c>
      <c r="Y60" s="808">
        <f>X60/S60</f>
        <v>2.603596</v>
      </c>
      <c r="Z60" s="871">
        <v>760</v>
      </c>
      <c r="AA60" s="871">
        <v>750</v>
      </c>
      <c r="AB60" s="871">
        <v>50</v>
      </c>
      <c r="AC60" s="871"/>
      <c r="AD60" s="871"/>
      <c r="AE60" s="871">
        <v>4000</v>
      </c>
      <c r="AF60" s="871"/>
      <c r="AG60" s="871"/>
      <c r="AH60" s="871">
        <v>4956</v>
      </c>
      <c r="AI60" s="871"/>
      <c r="AJ60" s="787">
        <f t="shared" si="5"/>
        <v>6466</v>
      </c>
      <c r="AK60" s="871">
        <v>173265</v>
      </c>
      <c r="AL60" s="842">
        <v>13861.2</v>
      </c>
      <c r="AM60" s="871"/>
      <c r="AN60" s="871"/>
      <c r="AO60" s="871"/>
      <c r="AP60" s="871"/>
      <c r="AQ60" s="871"/>
      <c r="AR60" s="871"/>
      <c r="AS60" s="871"/>
      <c r="AT60" s="871"/>
      <c r="AU60" s="265" t="s">
        <v>847</v>
      </c>
    </row>
    <row r="61" spans="1:47" s="904" customFormat="1" ht="14.25" customHeight="1">
      <c r="A61" s="794">
        <v>59</v>
      </c>
      <c r="B61" s="800" t="s">
        <v>171</v>
      </c>
      <c r="C61" s="800" t="s">
        <v>1299</v>
      </c>
      <c r="D61" s="819">
        <v>40787</v>
      </c>
      <c r="E61" s="819">
        <v>41153</v>
      </c>
      <c r="F61" s="934">
        <v>2011</v>
      </c>
      <c r="G61" s="800" t="s">
        <v>1428</v>
      </c>
      <c r="H61" s="837" t="s">
        <v>1462</v>
      </c>
      <c r="I61" s="800" t="s">
        <v>1429</v>
      </c>
      <c r="J61" s="812" t="s">
        <v>2438</v>
      </c>
      <c r="K61" s="808">
        <v>20000</v>
      </c>
      <c r="L61" s="808">
        <v>1352126</v>
      </c>
      <c r="M61" s="935">
        <v>250000</v>
      </c>
      <c r="N61" s="808">
        <v>250000</v>
      </c>
      <c r="O61" s="808">
        <f t="shared" si="2"/>
        <v>12.5</v>
      </c>
      <c r="P61" s="808"/>
      <c r="Q61" s="808"/>
      <c r="R61" s="808"/>
      <c r="S61" s="808"/>
      <c r="T61" s="808"/>
      <c r="U61" s="808"/>
      <c r="V61" s="808"/>
      <c r="W61" s="808"/>
      <c r="X61" s="808"/>
      <c r="Y61" s="808"/>
      <c r="Z61" s="808"/>
      <c r="AA61" s="808"/>
      <c r="AB61" s="808">
        <v>30</v>
      </c>
      <c r="AC61" s="808"/>
      <c r="AD61" s="808"/>
      <c r="AE61" s="808">
        <v>2000</v>
      </c>
      <c r="AF61" s="808"/>
      <c r="AG61" s="808"/>
      <c r="AH61" s="808"/>
      <c r="AI61" s="808"/>
      <c r="AJ61" s="787">
        <f t="shared" si="5"/>
        <v>0</v>
      </c>
      <c r="AK61" s="808"/>
      <c r="AL61" s="808"/>
      <c r="AM61" s="808" t="s">
        <v>1424</v>
      </c>
      <c r="AN61" s="808"/>
      <c r="AO61" s="808"/>
      <c r="AP61" s="808"/>
      <c r="AQ61" s="808"/>
      <c r="AR61" s="808"/>
      <c r="AS61" s="808"/>
      <c r="AT61" s="808"/>
      <c r="AU61" s="800" t="s">
        <v>1430</v>
      </c>
    </row>
    <row r="62" spans="1:47" s="904" customFormat="1" ht="14.25" customHeight="1">
      <c r="A62" s="794">
        <v>60</v>
      </c>
      <c r="B62" s="800" t="s">
        <v>171</v>
      </c>
      <c r="C62" s="800" t="s">
        <v>1299</v>
      </c>
      <c r="D62" s="819">
        <v>40878</v>
      </c>
      <c r="E62" s="819">
        <v>40969</v>
      </c>
      <c r="F62" s="934">
        <v>2011</v>
      </c>
      <c r="G62" s="800" t="s">
        <v>5</v>
      </c>
      <c r="H62" s="837" t="s">
        <v>1451</v>
      </c>
      <c r="I62" s="800" t="s">
        <v>1431</v>
      </c>
      <c r="J62" s="800" t="s">
        <v>2331</v>
      </c>
      <c r="K62" s="808">
        <v>20000</v>
      </c>
      <c r="L62" s="808">
        <v>203042</v>
      </c>
      <c r="M62" s="935">
        <v>203042</v>
      </c>
      <c r="N62" s="808">
        <v>203042</v>
      </c>
      <c r="O62" s="808">
        <f t="shared" si="2"/>
        <v>10.152100000000001</v>
      </c>
      <c r="P62" s="808"/>
      <c r="Q62" s="808">
        <v>15000</v>
      </c>
      <c r="R62" s="808">
        <v>15000</v>
      </c>
      <c r="S62" s="808">
        <v>15000</v>
      </c>
      <c r="T62" s="808"/>
      <c r="U62" s="808"/>
      <c r="V62" s="808">
        <v>15000</v>
      </c>
      <c r="W62" s="808"/>
      <c r="X62" s="808"/>
      <c r="Y62" s="808">
        <f>X62/S62</f>
        <v>0</v>
      </c>
      <c r="Z62" s="808"/>
      <c r="AA62" s="808"/>
      <c r="AB62" s="808"/>
      <c r="AC62" s="808"/>
      <c r="AD62" s="808"/>
      <c r="AE62" s="808"/>
      <c r="AF62" s="808"/>
      <c r="AG62" s="808"/>
      <c r="AH62" s="808"/>
      <c r="AI62" s="808"/>
      <c r="AJ62" s="787">
        <f t="shared" si="5"/>
        <v>0</v>
      </c>
      <c r="AK62" s="808"/>
      <c r="AL62" s="808"/>
      <c r="AM62" s="808"/>
      <c r="AN62" s="808"/>
      <c r="AO62" s="808"/>
      <c r="AP62" s="808"/>
      <c r="AQ62" s="808"/>
      <c r="AR62" s="808"/>
      <c r="AS62" s="808"/>
      <c r="AT62" s="808"/>
      <c r="AU62" s="800" t="s">
        <v>1432</v>
      </c>
    </row>
    <row r="63" spans="1:47" s="904" customFormat="1" ht="14.25" customHeight="1">
      <c r="A63" s="794">
        <v>61</v>
      </c>
      <c r="B63" s="800" t="s">
        <v>12</v>
      </c>
      <c r="C63" s="800" t="s">
        <v>1299</v>
      </c>
      <c r="D63" s="819">
        <v>40878</v>
      </c>
      <c r="E63" s="819">
        <v>41000</v>
      </c>
      <c r="F63" s="934">
        <v>2011</v>
      </c>
      <c r="G63" s="800" t="s">
        <v>5</v>
      </c>
      <c r="H63" s="837" t="s">
        <v>1451</v>
      </c>
      <c r="I63" s="800" t="s">
        <v>1356</v>
      </c>
      <c r="J63" s="800" t="s">
        <v>2331</v>
      </c>
      <c r="K63" s="808">
        <v>21000</v>
      </c>
      <c r="L63" s="808">
        <v>300003</v>
      </c>
      <c r="M63" s="808">
        <v>300003</v>
      </c>
      <c r="N63" s="808">
        <v>300003</v>
      </c>
      <c r="O63" s="808">
        <f t="shared" si="2"/>
        <v>14.285857142857143</v>
      </c>
      <c r="P63" s="920">
        <v>100</v>
      </c>
      <c r="Q63" s="808">
        <v>21000</v>
      </c>
      <c r="R63" s="808"/>
      <c r="S63" s="808">
        <v>21000</v>
      </c>
      <c r="T63" s="808" t="s">
        <v>2</v>
      </c>
      <c r="U63" s="808"/>
      <c r="V63" s="808">
        <v>21000</v>
      </c>
      <c r="W63" s="808">
        <v>32089</v>
      </c>
      <c r="X63" s="808">
        <v>32089</v>
      </c>
      <c r="Y63" s="808">
        <f>X63/S63</f>
        <v>1.5280476190476191</v>
      </c>
      <c r="Z63" s="808"/>
      <c r="AA63" s="808">
        <v>21000</v>
      </c>
      <c r="AB63" s="808"/>
      <c r="AC63" s="808"/>
      <c r="AD63" s="808"/>
      <c r="AE63" s="808">
        <v>3981.6</v>
      </c>
      <c r="AF63" s="808"/>
      <c r="AG63" s="808"/>
      <c r="AH63" s="808"/>
      <c r="AI63" s="808"/>
      <c r="AJ63" s="787">
        <f t="shared" si="5"/>
        <v>21000</v>
      </c>
      <c r="AK63" s="808">
        <v>43889</v>
      </c>
      <c r="AL63" s="808">
        <v>43889</v>
      </c>
      <c r="AM63" s="808"/>
      <c r="AN63" s="808"/>
      <c r="AO63" s="808"/>
      <c r="AP63" s="808"/>
      <c r="AQ63" s="808"/>
      <c r="AR63" s="808"/>
      <c r="AS63" s="808"/>
      <c r="AT63" s="808"/>
      <c r="AU63" s="800" t="s">
        <v>1355</v>
      </c>
    </row>
    <row r="64" spans="1:47" s="904" customFormat="1" ht="14.25" customHeight="1">
      <c r="A64" s="794">
        <v>62</v>
      </c>
      <c r="B64" s="785" t="s">
        <v>12</v>
      </c>
      <c r="C64" s="785" t="s">
        <v>1299</v>
      </c>
      <c r="D64" s="792">
        <v>40603</v>
      </c>
      <c r="E64" s="792">
        <v>40634</v>
      </c>
      <c r="F64" s="934">
        <v>2011</v>
      </c>
      <c r="G64" s="785" t="s">
        <v>937</v>
      </c>
      <c r="H64" s="837" t="s">
        <v>1453</v>
      </c>
      <c r="I64" s="785" t="s">
        <v>939</v>
      </c>
      <c r="J64" s="800" t="s">
        <v>2331</v>
      </c>
      <c r="K64" s="842">
        <v>23335</v>
      </c>
      <c r="L64" s="842">
        <v>205575</v>
      </c>
      <c r="M64" s="842">
        <v>205575</v>
      </c>
      <c r="N64" s="842">
        <v>205575</v>
      </c>
      <c r="O64" s="808">
        <f t="shared" si="2"/>
        <v>8.8097278765802436</v>
      </c>
      <c r="P64" s="842">
        <v>100</v>
      </c>
      <c r="Q64" s="842" t="s">
        <v>75</v>
      </c>
      <c r="R64" s="842" t="s">
        <v>75</v>
      </c>
      <c r="S64" s="842" t="s">
        <v>75</v>
      </c>
      <c r="T64" s="842" t="s">
        <v>233</v>
      </c>
      <c r="U64" s="842" t="s">
        <v>75</v>
      </c>
      <c r="V64" s="842" t="s">
        <v>75</v>
      </c>
      <c r="W64" s="842" t="s">
        <v>66</v>
      </c>
      <c r="X64" s="842" t="s">
        <v>66</v>
      </c>
      <c r="Y64" s="842"/>
      <c r="Z64" s="842" t="s">
        <v>2</v>
      </c>
      <c r="AA64" s="842"/>
      <c r="AB64" s="842">
        <v>101</v>
      </c>
      <c r="AC64" s="842"/>
      <c r="AD64" s="842"/>
      <c r="AE64" s="842">
        <v>6200</v>
      </c>
      <c r="AF64" s="842" t="s">
        <v>75</v>
      </c>
      <c r="AG64" s="842" t="s">
        <v>75</v>
      </c>
      <c r="AH64" s="842" t="s">
        <v>75</v>
      </c>
      <c r="AI64" s="842" t="s">
        <v>75</v>
      </c>
      <c r="AJ64" s="787">
        <f t="shared" si="5"/>
        <v>0</v>
      </c>
      <c r="AK64" s="842" t="s">
        <v>66</v>
      </c>
      <c r="AL64" s="842" t="s">
        <v>66</v>
      </c>
      <c r="AM64" s="842"/>
      <c r="AN64" s="842"/>
      <c r="AO64" s="842"/>
      <c r="AP64" s="842"/>
      <c r="AQ64" s="842"/>
      <c r="AR64" s="842"/>
      <c r="AS64" s="842" t="s">
        <v>75</v>
      </c>
      <c r="AT64" s="842" t="s">
        <v>75</v>
      </c>
      <c r="AU64" s="293" t="s">
        <v>938</v>
      </c>
    </row>
    <row r="65" spans="1:47" s="904" customFormat="1" ht="14.25" customHeight="1">
      <c r="A65" s="794">
        <v>63</v>
      </c>
      <c r="B65" s="785" t="s">
        <v>1180</v>
      </c>
      <c r="C65" s="842" t="s">
        <v>1291</v>
      </c>
      <c r="D65" s="792">
        <v>40756</v>
      </c>
      <c r="E65" s="792" t="s">
        <v>1289</v>
      </c>
      <c r="F65" s="934">
        <v>2011</v>
      </c>
      <c r="G65" s="785" t="s">
        <v>5</v>
      </c>
      <c r="H65" s="841" t="s">
        <v>1451</v>
      </c>
      <c r="I65" s="785" t="s">
        <v>1181</v>
      </c>
      <c r="J65" s="812" t="s">
        <v>2438</v>
      </c>
      <c r="K65" s="842">
        <v>30000</v>
      </c>
      <c r="L65" s="842">
        <v>2392728</v>
      </c>
      <c r="M65" s="842">
        <v>2392728</v>
      </c>
      <c r="N65" s="842">
        <v>2392728</v>
      </c>
      <c r="O65" s="808">
        <f t="shared" si="2"/>
        <v>79.757599999999996</v>
      </c>
      <c r="P65" s="842">
        <v>99</v>
      </c>
      <c r="Q65" s="842">
        <f>6876*5</f>
        <v>34380</v>
      </c>
      <c r="R65" s="842">
        <f>600*5</f>
        <v>3000</v>
      </c>
      <c r="S65" s="842">
        <f>6876*5</f>
        <v>34380</v>
      </c>
      <c r="T65" s="842"/>
      <c r="U65" s="842">
        <v>60</v>
      </c>
      <c r="V65" s="842">
        <v>5000</v>
      </c>
      <c r="W65" s="842">
        <v>196796</v>
      </c>
      <c r="X65" s="842"/>
      <c r="Y65" s="808">
        <f>X65/S65</f>
        <v>0</v>
      </c>
      <c r="Z65" s="842"/>
      <c r="AA65" s="842"/>
      <c r="AB65" s="842">
        <v>800</v>
      </c>
      <c r="AC65" s="842">
        <v>50</v>
      </c>
      <c r="AD65" s="842"/>
      <c r="AE65" s="842"/>
      <c r="AF65" s="842"/>
      <c r="AG65" s="842"/>
      <c r="AH65" s="842"/>
      <c r="AI65" s="842"/>
      <c r="AJ65" s="808">
        <f t="shared" si="5"/>
        <v>0</v>
      </c>
      <c r="AK65" s="842">
        <v>19121</v>
      </c>
      <c r="AL65" s="842"/>
      <c r="AM65" s="842"/>
      <c r="AN65" s="842"/>
      <c r="AO65" s="842"/>
      <c r="AP65" s="842"/>
      <c r="AQ65" s="842"/>
      <c r="AR65" s="842"/>
      <c r="AS65" s="842"/>
      <c r="AT65" s="842"/>
      <c r="AU65" s="275" t="s">
        <v>1179</v>
      </c>
    </row>
    <row r="66" spans="1:47" s="904" customFormat="1" ht="14.25" customHeight="1">
      <c r="A66" s="794">
        <v>64</v>
      </c>
      <c r="B66" s="800" t="s">
        <v>1</v>
      </c>
      <c r="C66" s="800" t="s">
        <v>1299</v>
      </c>
      <c r="D66" s="819">
        <v>40879</v>
      </c>
      <c r="E66" s="819">
        <v>40970</v>
      </c>
      <c r="F66" s="934">
        <v>2011</v>
      </c>
      <c r="G66" s="800" t="s">
        <v>116</v>
      </c>
      <c r="H66" s="837" t="s">
        <v>1452</v>
      </c>
      <c r="I66" s="800" t="s">
        <v>1426</v>
      </c>
      <c r="J66" s="800" t="s">
        <v>2331</v>
      </c>
      <c r="K66" s="808">
        <v>25000</v>
      </c>
      <c r="L66" s="808">
        <v>231613</v>
      </c>
      <c r="M66" s="935">
        <v>231613</v>
      </c>
      <c r="N66" s="808">
        <v>231613</v>
      </c>
      <c r="O66" s="808">
        <f t="shared" si="2"/>
        <v>9.2645199999999992</v>
      </c>
      <c r="P66" s="808"/>
      <c r="Q66" s="808"/>
      <c r="R66" s="808"/>
      <c r="S66" s="808"/>
      <c r="T66" s="808"/>
      <c r="U66" s="808"/>
      <c r="V66" s="808"/>
      <c r="W66" s="808"/>
      <c r="X66" s="808"/>
      <c r="Y66" s="808"/>
      <c r="Z66" s="808"/>
      <c r="AA66" s="808"/>
      <c r="AB66" s="808"/>
      <c r="AC66" s="808"/>
      <c r="AD66" s="808"/>
      <c r="AE66" s="808"/>
      <c r="AF66" s="808"/>
      <c r="AG66" s="808"/>
      <c r="AH66" s="808"/>
      <c r="AI66" s="808"/>
      <c r="AJ66" s="787">
        <f t="shared" si="5"/>
        <v>0</v>
      </c>
      <c r="AK66" s="808"/>
      <c r="AL66" s="808"/>
      <c r="AM66" s="808"/>
      <c r="AN66" s="808"/>
      <c r="AO66" s="808"/>
      <c r="AP66" s="808"/>
      <c r="AQ66" s="808"/>
      <c r="AR66" s="808"/>
      <c r="AS66" s="808"/>
      <c r="AT66" s="808"/>
      <c r="AU66" s="800" t="s">
        <v>1427</v>
      </c>
    </row>
    <row r="67" spans="1:47" s="904" customFormat="1" ht="14.25" customHeight="1">
      <c r="A67" s="794">
        <v>65</v>
      </c>
      <c r="B67" s="800" t="s">
        <v>97</v>
      </c>
      <c r="C67" s="790" t="s">
        <v>1299</v>
      </c>
      <c r="D67" s="819">
        <v>40695</v>
      </c>
      <c r="E67" s="819">
        <v>40787</v>
      </c>
      <c r="F67" s="934">
        <v>2011</v>
      </c>
      <c r="G67" s="841" t="s">
        <v>1115</v>
      </c>
      <c r="H67" s="841" t="s">
        <v>1452</v>
      </c>
      <c r="I67" s="841" t="s">
        <v>1117</v>
      </c>
      <c r="J67" s="800" t="s">
        <v>2331</v>
      </c>
      <c r="K67" s="808">
        <v>30000</v>
      </c>
      <c r="L67" s="808">
        <v>250318</v>
      </c>
      <c r="M67" s="808">
        <v>250151</v>
      </c>
      <c r="N67" s="808">
        <v>250151</v>
      </c>
      <c r="O67" s="808">
        <f t="shared" ref="O67:O98" si="6">N67/K67</f>
        <v>8.3383666666666674</v>
      </c>
      <c r="P67" s="808">
        <v>100</v>
      </c>
      <c r="Q67" s="808">
        <v>50000</v>
      </c>
      <c r="R67" s="808">
        <v>120</v>
      </c>
      <c r="S67" s="808">
        <v>50000</v>
      </c>
      <c r="T67" s="808" t="s">
        <v>233</v>
      </c>
      <c r="U67" s="808">
        <v>20</v>
      </c>
      <c r="V67" s="808">
        <v>50000</v>
      </c>
      <c r="W67" s="808">
        <v>20882</v>
      </c>
      <c r="X67" s="808">
        <v>10155</v>
      </c>
      <c r="Y67" s="808">
        <f t="shared" ref="Y67:Y81" si="7">X67/S67</f>
        <v>0.2031</v>
      </c>
      <c r="Z67" s="808"/>
      <c r="AA67" s="808">
        <v>6000</v>
      </c>
      <c r="AB67" s="808">
        <v>20</v>
      </c>
      <c r="AC67" s="808"/>
      <c r="AD67" s="808"/>
      <c r="AE67" s="808">
        <v>500</v>
      </c>
      <c r="AF67" s="808"/>
      <c r="AG67" s="808"/>
      <c r="AH67" s="808"/>
      <c r="AI67" s="808"/>
      <c r="AJ67" s="787">
        <f t="shared" si="5"/>
        <v>6000</v>
      </c>
      <c r="AK67" s="808">
        <v>4500</v>
      </c>
      <c r="AL67" s="808">
        <v>4500</v>
      </c>
      <c r="AM67" s="808"/>
      <c r="AN67" s="808"/>
      <c r="AO67" s="808"/>
      <c r="AP67" s="808"/>
      <c r="AQ67" s="808"/>
      <c r="AR67" s="808"/>
      <c r="AS67" s="808"/>
      <c r="AT67" s="808"/>
      <c r="AU67" s="800" t="s">
        <v>1116</v>
      </c>
    </row>
    <row r="68" spans="1:47" s="904" customFormat="1" ht="14.25" customHeight="1">
      <c r="A68" s="794">
        <v>66</v>
      </c>
      <c r="B68" s="800" t="s">
        <v>142</v>
      </c>
      <c r="C68" s="800" t="s">
        <v>1299</v>
      </c>
      <c r="D68" s="819">
        <v>40725</v>
      </c>
      <c r="E68" s="819">
        <v>40878</v>
      </c>
      <c r="F68" s="934">
        <v>2011</v>
      </c>
      <c r="G68" s="800" t="s">
        <v>168</v>
      </c>
      <c r="H68" s="837" t="s">
        <v>1449</v>
      </c>
      <c r="I68" s="800" t="s">
        <v>1436</v>
      </c>
      <c r="J68" s="800" t="s">
        <v>2331</v>
      </c>
      <c r="K68" s="808">
        <v>30000</v>
      </c>
      <c r="L68" s="808">
        <v>226353</v>
      </c>
      <c r="M68" s="935">
        <v>226353</v>
      </c>
      <c r="N68" s="808">
        <v>226353</v>
      </c>
      <c r="O68" s="808">
        <f t="shared" si="6"/>
        <v>7.5450999999999997</v>
      </c>
      <c r="P68" s="808"/>
      <c r="Q68" s="808">
        <v>25000</v>
      </c>
      <c r="R68" s="808">
        <v>27000</v>
      </c>
      <c r="S68" s="808">
        <v>27000</v>
      </c>
      <c r="T68" s="808" t="s">
        <v>2</v>
      </c>
      <c r="U68" s="808">
        <v>60</v>
      </c>
      <c r="V68" s="808">
        <v>27000</v>
      </c>
      <c r="W68" s="808"/>
      <c r="X68" s="808"/>
      <c r="Y68" s="808">
        <f t="shared" si="7"/>
        <v>0</v>
      </c>
      <c r="Z68" s="808"/>
      <c r="AA68" s="808">
        <v>27000</v>
      </c>
      <c r="AB68" s="808"/>
      <c r="AC68" s="808"/>
      <c r="AD68" s="808" t="s">
        <v>2</v>
      </c>
      <c r="AE68" s="808"/>
      <c r="AF68" s="808"/>
      <c r="AG68" s="808"/>
      <c r="AH68" s="808"/>
      <c r="AI68" s="808"/>
      <c r="AJ68" s="787">
        <f t="shared" si="5"/>
        <v>27000</v>
      </c>
      <c r="AK68" s="808"/>
      <c r="AL68" s="808"/>
      <c r="AM68" s="808"/>
      <c r="AN68" s="808"/>
      <c r="AO68" s="808"/>
      <c r="AP68" s="808"/>
      <c r="AQ68" s="808"/>
      <c r="AR68" s="808"/>
      <c r="AS68" s="808"/>
      <c r="AT68" s="808"/>
      <c r="AU68" s="800" t="s">
        <v>1437</v>
      </c>
    </row>
    <row r="69" spans="1:47" s="904" customFormat="1" ht="14.25" customHeight="1">
      <c r="A69" s="794">
        <v>67</v>
      </c>
      <c r="B69" s="785" t="s">
        <v>279</v>
      </c>
      <c r="C69" s="785" t="s">
        <v>1299</v>
      </c>
      <c r="D69" s="792">
        <v>40634</v>
      </c>
      <c r="E69" s="792">
        <v>40787</v>
      </c>
      <c r="F69" s="934">
        <v>2011</v>
      </c>
      <c r="G69" s="785" t="s">
        <v>5</v>
      </c>
      <c r="H69" s="841" t="s">
        <v>1451</v>
      </c>
      <c r="I69" s="785" t="s">
        <v>1186</v>
      </c>
      <c r="J69" s="812" t="s">
        <v>2438</v>
      </c>
      <c r="K69" s="842">
        <v>37457</v>
      </c>
      <c r="L69" s="842">
        <v>1811530</v>
      </c>
      <c r="M69" s="920">
        <v>696116</v>
      </c>
      <c r="N69" s="920">
        <v>695275</v>
      </c>
      <c r="O69" s="808">
        <f t="shared" si="6"/>
        <v>18.56195103718931</v>
      </c>
      <c r="P69" s="842">
        <v>38</v>
      </c>
      <c r="Q69" s="842">
        <v>9364</v>
      </c>
      <c r="R69" s="842">
        <v>9364</v>
      </c>
      <c r="S69" s="842">
        <v>9364</v>
      </c>
      <c r="T69" s="842" t="s">
        <v>2</v>
      </c>
      <c r="U69" s="842">
        <v>100</v>
      </c>
      <c r="V69" s="842">
        <v>9364</v>
      </c>
      <c r="W69" s="842">
        <v>289000</v>
      </c>
      <c r="X69" s="842">
        <v>71110</v>
      </c>
      <c r="Y69" s="808">
        <f t="shared" si="7"/>
        <v>7.5939769329346429</v>
      </c>
      <c r="Z69" s="842"/>
      <c r="AA69" s="842">
        <v>37457</v>
      </c>
      <c r="AB69" s="842">
        <v>100</v>
      </c>
      <c r="AC69" s="842"/>
      <c r="AD69" s="842"/>
      <c r="AE69" s="842">
        <v>11225</v>
      </c>
      <c r="AF69" s="842"/>
      <c r="AG69" s="842"/>
      <c r="AH69" s="842"/>
      <c r="AI69" s="842"/>
      <c r="AJ69" s="808">
        <f t="shared" si="5"/>
        <v>37457</v>
      </c>
      <c r="AK69" s="842">
        <v>6300</v>
      </c>
      <c r="AL69" s="842">
        <v>1524</v>
      </c>
      <c r="AM69" s="842"/>
      <c r="AN69" s="842"/>
      <c r="AO69" s="842"/>
      <c r="AP69" s="842"/>
      <c r="AQ69" s="842"/>
      <c r="AR69" s="842"/>
      <c r="AS69" s="842"/>
      <c r="AT69" s="842"/>
      <c r="AU69" s="842" t="s">
        <v>1185</v>
      </c>
    </row>
    <row r="70" spans="1:47" s="904" customFormat="1" ht="14.25" customHeight="1">
      <c r="A70" s="794">
        <v>68</v>
      </c>
      <c r="B70" s="800" t="s">
        <v>1138</v>
      </c>
      <c r="C70" s="790" t="s">
        <v>1299</v>
      </c>
      <c r="D70" s="819">
        <v>40756</v>
      </c>
      <c r="E70" s="819">
        <v>40878</v>
      </c>
      <c r="F70" s="934">
        <v>2011</v>
      </c>
      <c r="G70" s="841" t="s">
        <v>284</v>
      </c>
      <c r="H70" s="841" t="s">
        <v>1449</v>
      </c>
      <c r="I70" s="841" t="s">
        <v>1140</v>
      </c>
      <c r="J70" s="800" t="s">
        <v>2331</v>
      </c>
      <c r="K70" s="808">
        <v>38095</v>
      </c>
      <c r="L70" s="808">
        <v>85258</v>
      </c>
      <c r="M70" s="808">
        <v>85258</v>
      </c>
      <c r="N70" s="808">
        <v>84898</v>
      </c>
      <c r="O70" s="808">
        <f t="shared" si="6"/>
        <v>2.2285864286651793</v>
      </c>
      <c r="P70" s="808">
        <v>100</v>
      </c>
      <c r="Q70" s="808">
        <v>10170</v>
      </c>
      <c r="R70" s="808" t="s">
        <v>75</v>
      </c>
      <c r="S70" s="808">
        <v>10170</v>
      </c>
      <c r="T70" s="808" t="s">
        <v>2</v>
      </c>
      <c r="U70" s="808">
        <v>120</v>
      </c>
      <c r="V70" s="808">
        <v>38095</v>
      </c>
      <c r="W70" s="808">
        <v>21209</v>
      </c>
      <c r="X70" s="808">
        <v>21209</v>
      </c>
      <c r="Y70" s="808">
        <f t="shared" si="7"/>
        <v>2.0854473942969518</v>
      </c>
      <c r="Z70" s="808"/>
      <c r="AA70" s="808">
        <v>38095</v>
      </c>
      <c r="AB70" s="808"/>
      <c r="AC70" s="808"/>
      <c r="AD70" s="808"/>
      <c r="AE70" s="808"/>
      <c r="AF70" s="808"/>
      <c r="AG70" s="808"/>
      <c r="AH70" s="808"/>
      <c r="AI70" s="808"/>
      <c r="AJ70" s="787">
        <f t="shared" si="5"/>
        <v>38095</v>
      </c>
      <c r="AK70" s="808" t="s">
        <v>66</v>
      </c>
      <c r="AL70" s="808" t="s">
        <v>66</v>
      </c>
      <c r="AM70" s="808"/>
      <c r="AN70" s="808"/>
      <c r="AO70" s="808"/>
      <c r="AP70" s="808"/>
      <c r="AQ70" s="808"/>
      <c r="AR70" s="808"/>
      <c r="AS70" s="808"/>
      <c r="AT70" s="808"/>
      <c r="AU70" s="841" t="s">
        <v>1139</v>
      </c>
    </row>
    <row r="71" spans="1:47" s="904" customFormat="1" ht="14.25" customHeight="1">
      <c r="A71" s="794">
        <v>69</v>
      </c>
      <c r="B71" s="785" t="s">
        <v>259</v>
      </c>
      <c r="C71" s="842" t="s">
        <v>1261</v>
      </c>
      <c r="D71" s="792">
        <v>40848</v>
      </c>
      <c r="E71" s="792">
        <v>41183</v>
      </c>
      <c r="F71" s="934">
        <v>2011</v>
      </c>
      <c r="G71" s="785" t="s">
        <v>1168</v>
      </c>
      <c r="H71" s="841" t="s">
        <v>1451</v>
      </c>
      <c r="I71" s="785" t="s">
        <v>1620</v>
      </c>
      <c r="J71" s="812" t="s">
        <v>2438</v>
      </c>
      <c r="K71" s="842">
        <v>42000</v>
      </c>
      <c r="L71" s="842">
        <v>1107185</v>
      </c>
      <c r="M71" s="920">
        <v>210710</v>
      </c>
      <c r="N71" s="936">
        <v>210710</v>
      </c>
      <c r="O71" s="808">
        <f t="shared" si="6"/>
        <v>5.0169047619047618</v>
      </c>
      <c r="P71" s="842"/>
      <c r="Q71" s="842">
        <v>4000</v>
      </c>
      <c r="R71" s="842"/>
      <c r="S71" s="842">
        <v>4000</v>
      </c>
      <c r="T71" s="842"/>
      <c r="U71" s="842"/>
      <c r="V71" s="842"/>
      <c r="W71" s="842">
        <v>50596</v>
      </c>
      <c r="X71" s="842"/>
      <c r="Y71" s="808">
        <f t="shared" si="7"/>
        <v>0</v>
      </c>
      <c r="Z71" s="842"/>
      <c r="AA71" s="842">
        <v>50000</v>
      </c>
      <c r="AB71" s="842">
        <v>180</v>
      </c>
      <c r="AC71" s="842"/>
      <c r="AD71" s="842"/>
      <c r="AE71" s="842"/>
      <c r="AF71" s="842"/>
      <c r="AG71" s="842"/>
      <c r="AH71" s="842"/>
      <c r="AI71" s="842"/>
      <c r="AJ71" s="808">
        <f t="shared" si="5"/>
        <v>50000</v>
      </c>
      <c r="AK71" s="842"/>
      <c r="AL71" s="842"/>
      <c r="AM71" s="842"/>
      <c r="AN71" s="842"/>
      <c r="AO71" s="842"/>
      <c r="AP71" s="842"/>
      <c r="AQ71" s="842"/>
      <c r="AR71" s="842"/>
      <c r="AS71" s="842" t="s">
        <v>2</v>
      </c>
      <c r="AT71" s="842"/>
      <c r="AU71" s="275" t="s">
        <v>1167</v>
      </c>
    </row>
    <row r="72" spans="1:47" s="904" customFormat="1" ht="14.25" customHeight="1">
      <c r="A72" s="794">
        <v>70</v>
      </c>
      <c r="B72" s="790" t="s">
        <v>148</v>
      </c>
      <c r="C72" s="790" t="s">
        <v>1299</v>
      </c>
      <c r="D72" s="824">
        <v>40725</v>
      </c>
      <c r="E72" s="824">
        <v>40817</v>
      </c>
      <c r="F72" s="934">
        <v>2011</v>
      </c>
      <c r="G72" s="837" t="s">
        <v>1143</v>
      </c>
      <c r="H72" s="837" t="s">
        <v>1451</v>
      </c>
      <c r="I72" s="837" t="s">
        <v>1142</v>
      </c>
      <c r="J72" s="800" t="s">
        <v>2331</v>
      </c>
      <c r="K72" s="787">
        <v>59090</v>
      </c>
      <c r="L72" s="787">
        <v>185962</v>
      </c>
      <c r="M72" s="787">
        <v>182767</v>
      </c>
      <c r="N72" s="787">
        <v>182767</v>
      </c>
      <c r="O72" s="808">
        <f t="shared" si="6"/>
        <v>3.0930275850397697</v>
      </c>
      <c r="P72" s="787">
        <v>98</v>
      </c>
      <c r="Q72" s="787">
        <v>59090</v>
      </c>
      <c r="R72" s="787">
        <v>2380</v>
      </c>
      <c r="S72" s="787">
        <v>59090</v>
      </c>
      <c r="T72" s="787" t="s">
        <v>233</v>
      </c>
      <c r="U72" s="787">
        <v>120</v>
      </c>
      <c r="V72" s="787">
        <v>18368</v>
      </c>
      <c r="W72" s="787">
        <v>1941</v>
      </c>
      <c r="X72" s="787">
        <v>1902</v>
      </c>
      <c r="Y72" s="808">
        <f t="shared" si="7"/>
        <v>3.2188187510577088E-2</v>
      </c>
      <c r="Z72" s="787">
        <v>57311</v>
      </c>
      <c r="AA72" s="787">
        <v>45</v>
      </c>
      <c r="AB72" s="787"/>
      <c r="AC72" s="787"/>
      <c r="AD72" s="808"/>
      <c r="AE72" s="787">
        <v>2000</v>
      </c>
      <c r="AF72" s="787"/>
      <c r="AG72" s="787"/>
      <c r="AH72" s="808">
        <v>123</v>
      </c>
      <c r="AI72" s="787"/>
      <c r="AJ72" s="787">
        <f t="shared" si="5"/>
        <v>57479</v>
      </c>
      <c r="AK72" s="787">
        <v>971</v>
      </c>
      <c r="AL72" s="787">
        <v>951.58</v>
      </c>
      <c r="AM72" s="787"/>
      <c r="AN72" s="787"/>
      <c r="AO72" s="787"/>
      <c r="AP72" s="787"/>
      <c r="AQ72" s="787"/>
      <c r="AR72" s="787"/>
      <c r="AS72" s="787"/>
      <c r="AT72" s="787"/>
      <c r="AU72" s="837" t="s">
        <v>1141</v>
      </c>
    </row>
    <row r="73" spans="1:47" s="904" customFormat="1" ht="14.25" customHeight="1">
      <c r="A73" s="794">
        <v>71</v>
      </c>
      <c r="B73" s="785" t="s">
        <v>1084</v>
      </c>
      <c r="C73" s="842" t="s">
        <v>1260</v>
      </c>
      <c r="D73" s="792">
        <v>40848</v>
      </c>
      <c r="E73" s="792">
        <v>41214</v>
      </c>
      <c r="F73" s="934">
        <v>2011</v>
      </c>
      <c r="G73" s="785" t="s">
        <v>1087</v>
      </c>
      <c r="H73" s="841" t="s">
        <v>1454</v>
      </c>
      <c r="I73" s="785" t="s">
        <v>1282</v>
      </c>
      <c r="J73" s="812" t="s">
        <v>2438</v>
      </c>
      <c r="K73" s="842">
        <v>60000</v>
      </c>
      <c r="L73" s="842">
        <v>9402445</v>
      </c>
      <c r="M73" s="920">
        <v>7286971</v>
      </c>
      <c r="N73" s="842">
        <v>6259551</v>
      </c>
      <c r="O73" s="808">
        <f t="shared" si="6"/>
        <v>104.32585</v>
      </c>
      <c r="P73" s="849"/>
      <c r="Q73" s="842"/>
      <c r="R73" s="842"/>
      <c r="S73" s="842">
        <v>50000</v>
      </c>
      <c r="T73" s="842" t="s">
        <v>94</v>
      </c>
      <c r="U73" s="842">
        <v>27</v>
      </c>
      <c r="V73" s="842">
        <v>50000</v>
      </c>
      <c r="W73" s="842"/>
      <c r="X73" s="842"/>
      <c r="Y73" s="808">
        <f t="shared" si="7"/>
        <v>0</v>
      </c>
      <c r="Z73" s="842">
        <v>3500</v>
      </c>
      <c r="AA73" s="842"/>
      <c r="AB73" s="842"/>
      <c r="AC73" s="842"/>
      <c r="AD73" s="842"/>
      <c r="AE73" s="842"/>
      <c r="AF73" s="842"/>
      <c r="AG73" s="842"/>
      <c r="AH73" s="842"/>
      <c r="AI73" s="842"/>
      <c r="AJ73" s="808">
        <f t="shared" si="5"/>
        <v>3500</v>
      </c>
      <c r="AK73" s="842"/>
      <c r="AL73" s="842"/>
      <c r="AM73" s="842"/>
      <c r="AN73" s="842"/>
      <c r="AO73" s="842"/>
      <c r="AP73" s="842"/>
      <c r="AQ73" s="842"/>
      <c r="AR73" s="842"/>
      <c r="AS73" s="842"/>
      <c r="AT73" s="842"/>
      <c r="AU73" s="275" t="s">
        <v>1088</v>
      </c>
    </row>
    <row r="74" spans="1:47" s="904" customFormat="1" ht="14.25" customHeight="1">
      <c r="A74" s="794">
        <v>72</v>
      </c>
      <c r="B74" s="785" t="s">
        <v>493</v>
      </c>
      <c r="C74" s="785" t="s">
        <v>1299</v>
      </c>
      <c r="D74" s="792">
        <v>40695</v>
      </c>
      <c r="E74" s="792"/>
      <c r="F74" s="934">
        <v>2011</v>
      </c>
      <c r="G74" s="785" t="s">
        <v>1188</v>
      </c>
      <c r="H74" s="841" t="s">
        <v>1452</v>
      </c>
      <c r="I74" s="785" t="s">
        <v>1189</v>
      </c>
      <c r="J74" s="812" t="s">
        <v>2438</v>
      </c>
      <c r="K74" s="842">
        <v>60000</v>
      </c>
      <c r="L74" s="842">
        <v>6702009</v>
      </c>
      <c r="M74" s="920">
        <v>804536</v>
      </c>
      <c r="N74" s="842">
        <v>759440</v>
      </c>
      <c r="O74" s="808">
        <f t="shared" si="6"/>
        <v>12.657333333333334</v>
      </c>
      <c r="P74" s="842">
        <v>11</v>
      </c>
      <c r="Q74" s="842">
        <v>10000</v>
      </c>
      <c r="R74" s="842">
        <v>24000</v>
      </c>
      <c r="S74" s="842">
        <v>24000</v>
      </c>
      <c r="T74" s="842"/>
      <c r="U74" s="842"/>
      <c r="V74" s="842">
        <v>24000</v>
      </c>
      <c r="W74" s="842">
        <v>312150</v>
      </c>
      <c r="X74" s="842">
        <v>5013</v>
      </c>
      <c r="Y74" s="808">
        <f t="shared" si="7"/>
        <v>0.20887500000000001</v>
      </c>
      <c r="Z74" s="842"/>
      <c r="AA74" s="842">
        <v>10000</v>
      </c>
      <c r="AB74" s="842"/>
      <c r="AC74" s="842"/>
      <c r="AD74" s="842"/>
      <c r="AE74" s="842"/>
      <c r="AF74" s="842"/>
      <c r="AG74" s="842"/>
      <c r="AH74" s="842"/>
      <c r="AI74" s="842"/>
      <c r="AJ74" s="808">
        <f t="shared" si="5"/>
        <v>10000</v>
      </c>
      <c r="AK74" s="842">
        <v>182500</v>
      </c>
      <c r="AL74" s="842">
        <v>21228</v>
      </c>
      <c r="AM74" s="842"/>
      <c r="AN74" s="842"/>
      <c r="AO74" s="842"/>
      <c r="AP74" s="842"/>
      <c r="AQ74" s="842"/>
      <c r="AR74" s="842"/>
      <c r="AS74" s="842"/>
      <c r="AT74" s="842"/>
      <c r="AU74" s="842" t="s">
        <v>1187</v>
      </c>
    </row>
    <row r="75" spans="1:47" s="904" customFormat="1" ht="14.25" customHeight="1">
      <c r="A75" s="794">
        <v>73</v>
      </c>
      <c r="B75" s="790" t="s">
        <v>145</v>
      </c>
      <c r="C75" s="790" t="s">
        <v>1299</v>
      </c>
      <c r="D75" s="824">
        <v>40725</v>
      </c>
      <c r="E75" s="824">
        <v>40787</v>
      </c>
      <c r="F75" s="934">
        <v>2011</v>
      </c>
      <c r="G75" s="837" t="s">
        <v>1150</v>
      </c>
      <c r="H75" s="837" t="s">
        <v>1449</v>
      </c>
      <c r="I75" s="837" t="s">
        <v>1152</v>
      </c>
      <c r="J75" s="800" t="s">
        <v>2331</v>
      </c>
      <c r="K75" s="787">
        <v>69000</v>
      </c>
      <c r="L75" s="787">
        <v>92995</v>
      </c>
      <c r="M75" s="787">
        <v>92953</v>
      </c>
      <c r="N75" s="787">
        <v>92953</v>
      </c>
      <c r="O75" s="808">
        <f t="shared" si="6"/>
        <v>1.3471449275362319</v>
      </c>
      <c r="P75" s="787">
        <v>100</v>
      </c>
      <c r="Q75" s="787">
        <v>50000</v>
      </c>
      <c r="R75" s="787" t="s">
        <v>75</v>
      </c>
      <c r="S75" s="787">
        <v>50000</v>
      </c>
      <c r="T75" s="787" t="s">
        <v>233</v>
      </c>
      <c r="U75" s="787">
        <v>150</v>
      </c>
      <c r="V75" s="787">
        <v>50000</v>
      </c>
      <c r="W75" s="787">
        <v>17400</v>
      </c>
      <c r="X75" s="787">
        <v>25139</v>
      </c>
      <c r="Y75" s="808">
        <f t="shared" si="7"/>
        <v>0.50278</v>
      </c>
      <c r="Z75" s="787"/>
      <c r="AA75" s="787">
        <v>50000</v>
      </c>
      <c r="AB75" s="787">
        <v>150</v>
      </c>
      <c r="AC75" s="787"/>
      <c r="AD75" s="808"/>
      <c r="AE75" s="787"/>
      <c r="AF75" s="787"/>
      <c r="AG75" s="787"/>
      <c r="AH75" s="808"/>
      <c r="AI75" s="787"/>
      <c r="AJ75" s="787">
        <f t="shared" si="5"/>
        <v>50000</v>
      </c>
      <c r="AK75" s="787">
        <v>14208</v>
      </c>
      <c r="AL75" s="787">
        <v>6028</v>
      </c>
      <c r="AM75" s="787"/>
      <c r="AN75" s="787"/>
      <c r="AO75" s="787"/>
      <c r="AP75" s="787"/>
      <c r="AQ75" s="787"/>
      <c r="AR75" s="787"/>
      <c r="AS75" s="787"/>
      <c r="AT75" s="787"/>
      <c r="AU75" s="837" t="s">
        <v>1151</v>
      </c>
    </row>
    <row r="76" spans="1:47" s="904" customFormat="1" ht="14.25" customHeight="1">
      <c r="A76" s="794">
        <v>74</v>
      </c>
      <c r="B76" s="800" t="s">
        <v>148</v>
      </c>
      <c r="C76" s="800" t="s">
        <v>1299</v>
      </c>
      <c r="D76" s="819">
        <v>40848</v>
      </c>
      <c r="E76" s="819" t="s">
        <v>1433</v>
      </c>
      <c r="F76" s="934">
        <v>2011</v>
      </c>
      <c r="G76" s="800" t="s">
        <v>1104</v>
      </c>
      <c r="H76" s="841" t="s">
        <v>1449</v>
      </c>
      <c r="I76" s="800" t="s">
        <v>1434</v>
      </c>
      <c r="J76" s="800" t="s">
        <v>2331</v>
      </c>
      <c r="K76" s="808">
        <v>72140</v>
      </c>
      <c r="L76" s="808">
        <v>156962</v>
      </c>
      <c r="M76" s="935">
        <v>156962</v>
      </c>
      <c r="N76" s="808">
        <v>156962</v>
      </c>
      <c r="O76" s="808">
        <f t="shared" si="6"/>
        <v>2.1757970612697535</v>
      </c>
      <c r="P76" s="808"/>
      <c r="Q76" s="808">
        <v>25194</v>
      </c>
      <c r="R76" s="808"/>
      <c r="S76" s="808">
        <v>25194</v>
      </c>
      <c r="T76" s="808" t="s">
        <v>2</v>
      </c>
      <c r="U76" s="808">
        <v>30</v>
      </c>
      <c r="V76" s="808">
        <v>25194</v>
      </c>
      <c r="W76" s="808"/>
      <c r="X76" s="808"/>
      <c r="Y76" s="808">
        <f t="shared" si="7"/>
        <v>0</v>
      </c>
      <c r="Z76" s="808"/>
      <c r="AA76" s="808">
        <v>167961</v>
      </c>
      <c r="AB76" s="808"/>
      <c r="AC76" s="808"/>
      <c r="AD76" s="808" t="s">
        <v>2</v>
      </c>
      <c r="AE76" s="808"/>
      <c r="AF76" s="808"/>
      <c r="AG76" s="808"/>
      <c r="AH76" s="808"/>
      <c r="AI76" s="808"/>
      <c r="AJ76" s="787">
        <f t="shared" si="5"/>
        <v>167961</v>
      </c>
      <c r="AK76" s="808"/>
      <c r="AL76" s="808"/>
      <c r="AM76" s="808"/>
      <c r="AN76" s="808"/>
      <c r="AO76" s="808"/>
      <c r="AP76" s="808"/>
      <c r="AQ76" s="808"/>
      <c r="AR76" s="808"/>
      <c r="AS76" s="808"/>
      <c r="AT76" s="808" t="s">
        <v>2</v>
      </c>
      <c r="AU76" s="258" t="s">
        <v>1435</v>
      </c>
    </row>
    <row r="77" spans="1:47" s="904" customFormat="1" ht="14.25" customHeight="1">
      <c r="A77" s="794">
        <v>75</v>
      </c>
      <c r="B77" s="812" t="s">
        <v>8</v>
      </c>
      <c r="C77" s="785" t="s">
        <v>1261</v>
      </c>
      <c r="D77" s="925">
        <v>40878</v>
      </c>
      <c r="E77" s="792">
        <v>40909</v>
      </c>
      <c r="F77" s="934">
        <v>2011</v>
      </c>
      <c r="G77" s="812" t="s">
        <v>9</v>
      </c>
      <c r="H77" s="841" t="s">
        <v>1450</v>
      </c>
      <c r="I77" s="812" t="s">
        <v>83</v>
      </c>
      <c r="J77" s="812" t="s">
        <v>2438</v>
      </c>
      <c r="K77" s="871">
        <v>100000</v>
      </c>
      <c r="L77" s="871">
        <v>5705280</v>
      </c>
      <c r="M77" s="871">
        <v>4299037</v>
      </c>
      <c r="N77" s="871">
        <v>1778292</v>
      </c>
      <c r="O77" s="808">
        <f t="shared" si="6"/>
        <v>17.782920000000001</v>
      </c>
      <c r="P77" s="871">
        <v>75</v>
      </c>
      <c r="Q77" s="871">
        <v>7500</v>
      </c>
      <c r="R77" s="871">
        <v>6000</v>
      </c>
      <c r="S77" s="871">
        <v>7500</v>
      </c>
      <c r="T77" s="871" t="s">
        <v>95</v>
      </c>
      <c r="U77" s="871"/>
      <c r="V77" s="871">
        <v>128000</v>
      </c>
      <c r="W77" s="871">
        <v>561650</v>
      </c>
      <c r="X77" s="871">
        <v>196710</v>
      </c>
      <c r="Y77" s="808">
        <f t="shared" si="7"/>
        <v>26.228000000000002</v>
      </c>
      <c r="Z77" s="871"/>
      <c r="AA77" s="871">
        <v>128000</v>
      </c>
      <c r="AB77" s="871"/>
      <c r="AC77" s="871"/>
      <c r="AD77" s="871"/>
      <c r="AE77" s="871">
        <v>18000</v>
      </c>
      <c r="AF77" s="871"/>
      <c r="AG77" s="871"/>
      <c r="AH77" s="871" t="s">
        <v>2</v>
      </c>
      <c r="AI77" s="871"/>
      <c r="AJ77" s="808">
        <f t="shared" si="5"/>
        <v>128000</v>
      </c>
      <c r="AK77" s="871" t="s">
        <v>75</v>
      </c>
      <c r="AL77" s="871" t="s">
        <v>75</v>
      </c>
      <c r="AM77" s="871"/>
      <c r="AN77" s="871"/>
      <c r="AO77" s="871"/>
      <c r="AP77" s="871"/>
      <c r="AQ77" s="871"/>
      <c r="AR77" s="871"/>
      <c r="AS77" s="871"/>
      <c r="AT77" s="871"/>
      <c r="AU77" s="281" t="s">
        <v>69</v>
      </c>
    </row>
    <row r="78" spans="1:47" s="785" customFormat="1" ht="14.25" customHeight="1">
      <c r="A78" s="794">
        <v>76</v>
      </c>
      <c r="B78" s="800" t="s">
        <v>1337</v>
      </c>
      <c r="C78" s="800" t="s">
        <v>1261</v>
      </c>
      <c r="D78" s="819">
        <v>40817</v>
      </c>
      <c r="E78" s="819">
        <v>40878</v>
      </c>
      <c r="F78" s="934">
        <v>2011</v>
      </c>
      <c r="G78" s="800" t="s">
        <v>1456</v>
      </c>
      <c r="H78" s="837" t="s">
        <v>1451</v>
      </c>
      <c r="I78" s="800" t="s">
        <v>1348</v>
      </c>
      <c r="J78" s="800" t="s">
        <v>2331</v>
      </c>
      <c r="K78" s="808">
        <v>75000</v>
      </c>
      <c r="L78" s="808">
        <v>240301</v>
      </c>
      <c r="M78" s="808">
        <v>240301</v>
      </c>
      <c r="N78" s="808">
        <v>240301</v>
      </c>
      <c r="O78" s="808">
        <f t="shared" si="6"/>
        <v>3.2040133333333332</v>
      </c>
      <c r="P78" s="920" t="s">
        <v>66</v>
      </c>
      <c r="Q78" s="808">
        <v>5750</v>
      </c>
      <c r="R78" s="808" t="s">
        <v>75</v>
      </c>
      <c r="S78" s="808">
        <v>5750</v>
      </c>
      <c r="T78" s="808" t="s">
        <v>233</v>
      </c>
      <c r="U78" s="808">
        <v>21</v>
      </c>
      <c r="V78" s="808">
        <v>20144</v>
      </c>
      <c r="W78" s="808"/>
      <c r="X78" s="808"/>
      <c r="Y78" s="808">
        <f t="shared" si="7"/>
        <v>0</v>
      </c>
      <c r="Z78" s="808"/>
      <c r="AA78" s="808"/>
      <c r="AB78" s="808"/>
      <c r="AC78" s="808"/>
      <c r="AD78" s="808"/>
      <c r="AE78" s="808">
        <v>900</v>
      </c>
      <c r="AF78" s="808"/>
      <c r="AG78" s="808"/>
      <c r="AH78" s="808"/>
      <c r="AI78" s="808"/>
      <c r="AJ78" s="787">
        <f t="shared" si="5"/>
        <v>0</v>
      </c>
      <c r="AK78" s="808"/>
      <c r="AL78" s="808"/>
      <c r="AM78" s="808"/>
      <c r="AN78" s="808"/>
      <c r="AO78" s="808"/>
      <c r="AP78" s="808"/>
      <c r="AQ78" s="808"/>
      <c r="AR78" s="808"/>
      <c r="AS78" s="808"/>
      <c r="AT78" s="808"/>
      <c r="AU78" s="258" t="s">
        <v>1347</v>
      </c>
    </row>
    <row r="79" spans="1:47" s="785" customFormat="1" ht="14.25" customHeight="1">
      <c r="A79" s="794">
        <v>77</v>
      </c>
      <c r="B79" s="785" t="s">
        <v>562</v>
      </c>
      <c r="C79" s="907" t="s">
        <v>1261</v>
      </c>
      <c r="D79" s="792">
        <v>40544</v>
      </c>
      <c r="E79" s="792">
        <v>40909</v>
      </c>
      <c r="F79" s="934">
        <v>2011</v>
      </c>
      <c r="G79" s="785" t="s">
        <v>1362</v>
      </c>
      <c r="H79" s="837" t="s">
        <v>1451</v>
      </c>
      <c r="I79" s="785" t="s">
        <v>1363</v>
      </c>
      <c r="J79" s="812" t="s">
        <v>2438</v>
      </c>
      <c r="K79" s="842">
        <v>75000</v>
      </c>
      <c r="L79" s="842">
        <v>4622804</v>
      </c>
      <c r="M79" s="920">
        <v>655670</v>
      </c>
      <c r="N79" s="920">
        <v>655670</v>
      </c>
      <c r="O79" s="808">
        <f t="shared" si="6"/>
        <v>8.7422666666666675</v>
      </c>
      <c r="P79" s="842"/>
      <c r="Q79" s="842">
        <v>50000</v>
      </c>
      <c r="R79" s="842">
        <v>1020</v>
      </c>
      <c r="S79" s="842">
        <v>50000</v>
      </c>
      <c r="T79" s="842" t="s">
        <v>2</v>
      </c>
      <c r="U79" s="842">
        <v>100</v>
      </c>
      <c r="V79" s="842">
        <v>40000</v>
      </c>
      <c r="W79" s="842"/>
      <c r="X79" s="842"/>
      <c r="Y79" s="808">
        <f t="shared" si="7"/>
        <v>0</v>
      </c>
      <c r="Z79" s="842"/>
      <c r="AA79" s="842"/>
      <c r="AB79" s="842"/>
      <c r="AC79" s="842"/>
      <c r="AD79" s="842"/>
      <c r="AE79" s="842"/>
      <c r="AF79" s="842"/>
      <c r="AG79" s="842"/>
      <c r="AH79" s="842"/>
      <c r="AI79" s="842"/>
      <c r="AJ79" s="787">
        <f t="shared" si="5"/>
        <v>0</v>
      </c>
      <c r="AK79" s="842"/>
      <c r="AL79" s="842"/>
      <c r="AM79" s="842"/>
      <c r="AN79" s="842"/>
      <c r="AO79" s="842"/>
      <c r="AP79" s="842"/>
      <c r="AQ79" s="842"/>
      <c r="AR79" s="842"/>
      <c r="AS79" s="842"/>
      <c r="AT79" s="842"/>
      <c r="AU79" s="275" t="s">
        <v>1706</v>
      </c>
    </row>
    <row r="80" spans="1:47" s="800" customFormat="1" ht="14.25" customHeight="1">
      <c r="A80" s="794">
        <v>78</v>
      </c>
      <c r="B80" s="785" t="s">
        <v>12</v>
      </c>
      <c r="C80" s="785" t="s">
        <v>1299</v>
      </c>
      <c r="D80" s="792">
        <v>40848</v>
      </c>
      <c r="E80" s="792">
        <v>41214</v>
      </c>
      <c r="F80" s="934">
        <v>2011</v>
      </c>
      <c r="G80" s="785" t="s">
        <v>512</v>
      </c>
      <c r="H80" s="841" t="s">
        <v>1452</v>
      </c>
      <c r="I80" s="785" t="s">
        <v>1166</v>
      </c>
      <c r="J80" s="812" t="s">
        <v>2438</v>
      </c>
      <c r="K80" s="842">
        <v>110000</v>
      </c>
      <c r="L80" s="842">
        <v>26854197</v>
      </c>
      <c r="M80" s="920">
        <f>0.27*L80</f>
        <v>7250633.1900000004</v>
      </c>
      <c r="N80" s="936">
        <v>7250633</v>
      </c>
      <c r="O80" s="808">
        <f t="shared" si="6"/>
        <v>65.914845454545457</v>
      </c>
      <c r="P80" s="842">
        <v>27</v>
      </c>
      <c r="Q80" s="842">
        <v>110000</v>
      </c>
      <c r="R80" s="842">
        <v>110000</v>
      </c>
      <c r="S80" s="842">
        <v>110000</v>
      </c>
      <c r="T80" s="842" t="s">
        <v>94</v>
      </c>
      <c r="U80" s="842">
        <v>50</v>
      </c>
      <c r="V80" s="842">
        <v>1950</v>
      </c>
      <c r="W80" s="842"/>
      <c r="X80" s="842"/>
      <c r="Y80" s="808">
        <f t="shared" si="7"/>
        <v>0</v>
      </c>
      <c r="Z80" s="842"/>
      <c r="AA80" s="842"/>
      <c r="AB80" s="842">
        <v>50</v>
      </c>
      <c r="AC80" s="842"/>
      <c r="AD80" s="842"/>
      <c r="AE80" s="842"/>
      <c r="AF80" s="842"/>
      <c r="AG80" s="842"/>
      <c r="AH80" s="842"/>
      <c r="AI80" s="842"/>
      <c r="AJ80" s="808">
        <f t="shared" si="5"/>
        <v>0</v>
      </c>
      <c r="AK80" s="842"/>
      <c r="AL80" s="842"/>
      <c r="AM80" s="842"/>
      <c r="AN80" s="842"/>
      <c r="AO80" s="842"/>
      <c r="AP80" s="842"/>
      <c r="AQ80" s="842"/>
      <c r="AR80" s="842"/>
      <c r="AS80" s="842"/>
      <c r="AT80" s="842"/>
      <c r="AU80" s="275" t="s">
        <v>1165</v>
      </c>
    </row>
    <row r="81" spans="1:47" s="800" customFormat="1" ht="14.25" customHeight="1">
      <c r="A81" s="794">
        <v>79</v>
      </c>
      <c r="B81" s="785" t="s">
        <v>244</v>
      </c>
      <c r="C81" s="785" t="s">
        <v>1299</v>
      </c>
      <c r="D81" s="792">
        <v>40634</v>
      </c>
      <c r="E81" s="792">
        <v>40969</v>
      </c>
      <c r="F81" s="934">
        <v>2011</v>
      </c>
      <c r="G81" s="785" t="s">
        <v>1190</v>
      </c>
      <c r="H81" s="841" t="s">
        <v>1449</v>
      </c>
      <c r="I81" s="785" t="s">
        <v>1192</v>
      </c>
      <c r="J81" s="812" t="s">
        <v>2438</v>
      </c>
      <c r="K81" s="842">
        <v>87500</v>
      </c>
      <c r="L81" s="842">
        <v>1361331</v>
      </c>
      <c r="M81" s="920">
        <f>0.21*L81</f>
        <v>285879.51</v>
      </c>
      <c r="N81" s="936">
        <v>285880</v>
      </c>
      <c r="O81" s="808">
        <f t="shared" si="6"/>
        <v>3.2671999999999999</v>
      </c>
      <c r="P81" s="842">
        <v>21</v>
      </c>
      <c r="Q81" s="842">
        <v>50000</v>
      </c>
      <c r="R81" s="842">
        <f>(1288+1061+10228)*5</f>
        <v>62885</v>
      </c>
      <c r="S81" s="842">
        <v>50000</v>
      </c>
      <c r="T81" s="842"/>
      <c r="U81" s="842">
        <v>600</v>
      </c>
      <c r="V81" s="842">
        <v>37500</v>
      </c>
      <c r="W81" s="842">
        <v>273489</v>
      </c>
      <c r="X81" s="849">
        <f>W81*0.21</f>
        <v>57432.689999999995</v>
      </c>
      <c r="Y81" s="808">
        <f t="shared" si="7"/>
        <v>1.1486537999999999</v>
      </c>
      <c r="Z81" s="842"/>
      <c r="AA81" s="842">
        <v>4320000</v>
      </c>
      <c r="AB81" s="842">
        <v>600</v>
      </c>
      <c r="AC81" s="842" t="s">
        <v>2</v>
      </c>
      <c r="AD81" s="842" t="s">
        <v>2</v>
      </c>
      <c r="AE81" s="842"/>
      <c r="AF81" s="842"/>
      <c r="AG81" s="842"/>
      <c r="AH81" s="842"/>
      <c r="AI81" s="842"/>
      <c r="AJ81" s="808">
        <f t="shared" si="5"/>
        <v>4320000</v>
      </c>
      <c r="AK81" s="842">
        <v>84441</v>
      </c>
      <c r="AL81" s="849">
        <f>AK81*0.21</f>
        <v>17732.61</v>
      </c>
      <c r="AM81" s="842"/>
      <c r="AN81" s="842"/>
      <c r="AO81" s="842"/>
      <c r="AP81" s="842"/>
      <c r="AQ81" s="842"/>
      <c r="AR81" s="842"/>
      <c r="AS81" s="842"/>
      <c r="AT81" s="842"/>
      <c r="AU81" s="275" t="s">
        <v>1191</v>
      </c>
    </row>
    <row r="82" spans="1:47" s="800" customFormat="1" ht="14.25" customHeight="1">
      <c r="A82" s="794">
        <v>80</v>
      </c>
      <c r="B82" s="785" t="s">
        <v>915</v>
      </c>
      <c r="C82" s="785" t="s">
        <v>1286</v>
      </c>
      <c r="D82" s="792">
        <v>40575</v>
      </c>
      <c r="E82" s="792">
        <v>40756</v>
      </c>
      <c r="F82" s="934">
        <v>2011</v>
      </c>
      <c r="G82" s="785" t="s">
        <v>914</v>
      </c>
      <c r="H82" s="837" t="s">
        <v>1449</v>
      </c>
      <c r="I82" s="785" t="s">
        <v>913</v>
      </c>
      <c r="J82" s="800" t="s">
        <v>2331</v>
      </c>
      <c r="K82" s="842">
        <v>91361</v>
      </c>
      <c r="L82" s="842">
        <v>78781</v>
      </c>
      <c r="M82" s="842">
        <v>78781</v>
      </c>
      <c r="N82" s="842">
        <v>74054</v>
      </c>
      <c r="O82" s="808">
        <f t="shared" si="6"/>
        <v>0.81056468296100082</v>
      </c>
      <c r="P82" s="842">
        <v>100</v>
      </c>
      <c r="Q82" s="842">
        <v>89311</v>
      </c>
      <c r="R82" s="842">
        <v>89311</v>
      </c>
      <c r="S82" s="842">
        <v>89311</v>
      </c>
      <c r="T82" s="842" t="s">
        <v>233</v>
      </c>
      <c r="U82" s="842">
        <v>25</v>
      </c>
      <c r="V82" s="842">
        <v>89311</v>
      </c>
      <c r="W82" s="842" t="s">
        <v>66</v>
      </c>
      <c r="X82" s="842" t="s">
        <v>66</v>
      </c>
      <c r="Y82" s="808"/>
      <c r="Z82" s="842"/>
      <c r="AA82" s="842">
        <v>91361</v>
      </c>
      <c r="AB82" s="842">
        <v>98</v>
      </c>
      <c r="AC82" s="842"/>
      <c r="AD82" s="842">
        <v>73</v>
      </c>
      <c r="AE82" s="842">
        <v>1200</v>
      </c>
      <c r="AF82" s="842" t="s">
        <v>75</v>
      </c>
      <c r="AG82" s="842" t="s">
        <v>75</v>
      </c>
      <c r="AH82" s="842" t="s">
        <v>75</v>
      </c>
      <c r="AI82" s="842" t="s">
        <v>75</v>
      </c>
      <c r="AJ82" s="787">
        <f t="shared" si="5"/>
        <v>91361</v>
      </c>
      <c r="AK82" s="842" t="s">
        <v>66</v>
      </c>
      <c r="AL82" s="842" t="s">
        <v>66</v>
      </c>
      <c r="AM82" s="842"/>
      <c r="AN82" s="842"/>
      <c r="AO82" s="842"/>
      <c r="AP82" s="842"/>
      <c r="AQ82" s="842"/>
      <c r="AR82" s="842"/>
      <c r="AS82" s="842" t="s">
        <v>75</v>
      </c>
      <c r="AT82" s="842" t="s">
        <v>75</v>
      </c>
      <c r="AU82" s="293" t="s">
        <v>912</v>
      </c>
    </row>
    <row r="83" spans="1:47" s="800" customFormat="1" ht="14.25" customHeight="1">
      <c r="A83" s="794">
        <v>81</v>
      </c>
      <c r="B83" s="800" t="s">
        <v>291</v>
      </c>
      <c r="C83" s="800" t="s">
        <v>1299</v>
      </c>
      <c r="D83" s="819">
        <v>40878</v>
      </c>
      <c r="E83" s="819">
        <v>40969</v>
      </c>
      <c r="F83" s="934">
        <v>2011</v>
      </c>
      <c r="G83" s="800" t="s">
        <v>626</v>
      </c>
      <c r="H83" s="837" t="s">
        <v>1449</v>
      </c>
      <c r="I83" s="800" t="s">
        <v>1341</v>
      </c>
      <c r="J83" s="800" t="s">
        <v>2331</v>
      </c>
      <c r="K83" s="808">
        <v>100000</v>
      </c>
      <c r="L83" s="808">
        <v>86464</v>
      </c>
      <c r="M83" s="808">
        <v>86464</v>
      </c>
      <c r="N83" s="808">
        <v>86464</v>
      </c>
      <c r="O83" s="808">
        <f t="shared" si="6"/>
        <v>0.86463999999999996</v>
      </c>
      <c r="P83" s="920" t="s">
        <v>66</v>
      </c>
      <c r="Q83" s="808"/>
      <c r="R83" s="808"/>
      <c r="S83" s="808"/>
      <c r="T83" s="808" t="s">
        <v>233</v>
      </c>
      <c r="U83" s="808">
        <v>260</v>
      </c>
      <c r="V83" s="808">
        <v>100000</v>
      </c>
      <c r="W83" s="808"/>
      <c r="X83" s="808"/>
      <c r="Y83" s="808"/>
      <c r="Z83" s="808"/>
      <c r="AA83" s="808">
        <v>100000</v>
      </c>
      <c r="AB83" s="808">
        <v>5000</v>
      </c>
      <c r="AC83" s="808"/>
      <c r="AD83" s="808">
        <v>10</v>
      </c>
      <c r="AE83" s="808"/>
      <c r="AF83" s="808"/>
      <c r="AG83" s="808"/>
      <c r="AH83" s="808"/>
      <c r="AI83" s="808"/>
      <c r="AJ83" s="787">
        <f t="shared" si="5"/>
        <v>100000</v>
      </c>
      <c r="AK83" s="808"/>
      <c r="AL83" s="808"/>
      <c r="AM83" s="808"/>
      <c r="AN83" s="808"/>
      <c r="AO83" s="808"/>
      <c r="AP83" s="808"/>
      <c r="AQ83" s="808"/>
      <c r="AR83" s="808"/>
      <c r="AS83" s="808"/>
      <c r="AT83" s="808"/>
      <c r="AU83" s="800" t="s">
        <v>1342</v>
      </c>
    </row>
    <row r="84" spans="1:47" s="800" customFormat="1" ht="14.25" customHeight="1">
      <c r="A84" s="794">
        <v>82</v>
      </c>
      <c r="B84" s="800" t="s">
        <v>28</v>
      </c>
      <c r="C84" s="800" t="s">
        <v>1291</v>
      </c>
      <c r="D84" s="819">
        <v>40787</v>
      </c>
      <c r="E84" s="819">
        <v>40969</v>
      </c>
      <c r="F84" s="934">
        <v>2011</v>
      </c>
      <c r="G84" s="800" t="s">
        <v>1415</v>
      </c>
      <c r="H84" s="841" t="s">
        <v>1451</v>
      </c>
      <c r="I84" s="800" t="s">
        <v>1416</v>
      </c>
      <c r="J84" s="812" t="s">
        <v>2438</v>
      </c>
      <c r="K84" s="808">
        <v>105000</v>
      </c>
      <c r="L84" s="808">
        <v>5304193</v>
      </c>
      <c r="M84" s="935">
        <v>5804564</v>
      </c>
      <c r="N84" s="808">
        <v>2523603</v>
      </c>
      <c r="O84" s="808">
        <f t="shared" si="6"/>
        <v>24.034314285714284</v>
      </c>
      <c r="P84" s="808">
        <v>109</v>
      </c>
      <c r="Q84" s="808">
        <v>208600</v>
      </c>
      <c r="R84" s="808"/>
      <c r="S84" s="808">
        <v>208600</v>
      </c>
      <c r="T84" s="808"/>
      <c r="U84" s="808">
        <v>96</v>
      </c>
      <c r="V84" s="808">
        <v>88260</v>
      </c>
      <c r="W84" s="808">
        <v>309267</v>
      </c>
      <c r="X84" s="937">
        <v>226244</v>
      </c>
      <c r="Y84" s="808">
        <f>X84/S84</f>
        <v>1.0845829338446789</v>
      </c>
      <c r="Z84" s="808">
        <v>81214</v>
      </c>
      <c r="AA84" s="808">
        <v>82826</v>
      </c>
      <c r="AB84" s="808"/>
      <c r="AC84" s="808"/>
      <c r="AD84" s="808"/>
      <c r="AE84" s="808">
        <v>7406</v>
      </c>
      <c r="AF84" s="808"/>
      <c r="AG84" s="808"/>
      <c r="AH84" s="808"/>
      <c r="AI84" s="808"/>
      <c r="AJ84" s="808">
        <f t="shared" si="5"/>
        <v>164040</v>
      </c>
      <c r="AK84" s="808">
        <v>211638</v>
      </c>
      <c r="AL84" s="937">
        <v>99027</v>
      </c>
      <c r="AM84" s="808"/>
      <c r="AN84" s="808"/>
      <c r="AO84" s="808"/>
      <c r="AP84" s="808"/>
      <c r="AQ84" s="808"/>
      <c r="AR84" s="808"/>
      <c r="AS84" s="808"/>
      <c r="AT84" s="808"/>
      <c r="AU84" s="258" t="s">
        <v>1417</v>
      </c>
    </row>
    <row r="85" spans="1:47" s="800" customFormat="1" ht="14.25" customHeight="1">
      <c r="A85" s="794">
        <v>83</v>
      </c>
      <c r="B85" s="790" t="s">
        <v>1</v>
      </c>
      <c r="C85" s="790" t="s">
        <v>1299</v>
      </c>
      <c r="D85" s="824">
        <v>40634</v>
      </c>
      <c r="E85" s="824">
        <v>40725</v>
      </c>
      <c r="F85" s="934">
        <v>2011</v>
      </c>
      <c r="G85" s="837" t="s">
        <v>1104</v>
      </c>
      <c r="H85" s="837" t="s">
        <v>1449</v>
      </c>
      <c r="I85" s="837" t="s">
        <v>1106</v>
      </c>
      <c r="J85" s="800" t="s">
        <v>2331</v>
      </c>
      <c r="K85" s="787">
        <v>116400</v>
      </c>
      <c r="L85" s="787">
        <v>190875</v>
      </c>
      <c r="M85" s="787">
        <v>190183</v>
      </c>
      <c r="N85" s="787">
        <v>190183</v>
      </c>
      <c r="O85" s="808">
        <f t="shared" si="6"/>
        <v>1.6338745704467355</v>
      </c>
      <c r="P85" s="842">
        <v>100</v>
      </c>
      <c r="Q85" s="787" t="s">
        <v>75</v>
      </c>
      <c r="R85" s="787">
        <v>2500</v>
      </c>
      <c r="S85" s="787">
        <v>2500</v>
      </c>
      <c r="T85" s="787" t="s">
        <v>233</v>
      </c>
      <c r="U85" s="787">
        <v>110</v>
      </c>
      <c r="V85" s="787">
        <v>31340</v>
      </c>
      <c r="W85" s="787">
        <v>94849</v>
      </c>
      <c r="X85" s="787">
        <v>93805</v>
      </c>
      <c r="Y85" s="808">
        <f>X85/S85</f>
        <v>37.521999999999998</v>
      </c>
      <c r="Z85" s="787"/>
      <c r="AA85" s="787">
        <v>31340</v>
      </c>
      <c r="AB85" s="787"/>
      <c r="AC85" s="787"/>
      <c r="AD85" s="808">
        <v>110</v>
      </c>
      <c r="AE85" s="787"/>
      <c r="AF85" s="787"/>
      <c r="AG85" s="787"/>
      <c r="AH85" s="808"/>
      <c r="AI85" s="787"/>
      <c r="AJ85" s="787">
        <f t="shared" si="5"/>
        <v>31340</v>
      </c>
      <c r="AK85" s="787">
        <v>5407</v>
      </c>
      <c r="AL85" s="787">
        <v>5407</v>
      </c>
      <c r="AM85" s="787"/>
      <c r="AN85" s="787"/>
      <c r="AO85" s="787"/>
      <c r="AP85" s="787"/>
      <c r="AQ85" s="787"/>
      <c r="AR85" s="787"/>
      <c r="AS85" s="787"/>
      <c r="AT85" s="787"/>
      <c r="AU85" s="277" t="s">
        <v>1105</v>
      </c>
    </row>
    <row r="86" spans="1:47" s="800" customFormat="1" ht="14.25" customHeight="1">
      <c r="A86" s="794">
        <v>84</v>
      </c>
      <c r="B86" s="800" t="s">
        <v>8</v>
      </c>
      <c r="C86" s="800" t="s">
        <v>1291</v>
      </c>
      <c r="D86" s="819">
        <v>40848</v>
      </c>
      <c r="E86" s="819">
        <v>41153</v>
      </c>
      <c r="F86" s="934">
        <v>2011</v>
      </c>
      <c r="G86" s="800" t="s">
        <v>1412</v>
      </c>
      <c r="H86" s="841" t="s">
        <v>1450</v>
      </c>
      <c r="I86" s="800" t="s">
        <v>1413</v>
      </c>
      <c r="J86" s="812" t="s">
        <v>2438</v>
      </c>
      <c r="K86" s="808">
        <v>125000</v>
      </c>
      <c r="L86" s="808">
        <v>3550719</v>
      </c>
      <c r="M86" s="935">
        <v>280000</v>
      </c>
      <c r="N86" s="808">
        <v>280000</v>
      </c>
      <c r="O86" s="808">
        <f t="shared" si="6"/>
        <v>2.2400000000000002</v>
      </c>
      <c r="P86" s="808"/>
      <c r="Q86" s="808">
        <v>25000</v>
      </c>
      <c r="R86" s="808">
        <v>5000</v>
      </c>
      <c r="S86" s="808">
        <v>25000</v>
      </c>
      <c r="T86" s="808"/>
      <c r="U86" s="808"/>
      <c r="V86" s="808">
        <v>100000</v>
      </c>
      <c r="W86" s="808"/>
      <c r="X86" s="808"/>
      <c r="Y86" s="808">
        <f>X86/S86</f>
        <v>0</v>
      </c>
      <c r="Z86" s="808"/>
      <c r="AA86" s="808">
        <v>100000</v>
      </c>
      <c r="AB86" s="808"/>
      <c r="AC86" s="808"/>
      <c r="AD86" s="808"/>
      <c r="AE86" s="808"/>
      <c r="AF86" s="808"/>
      <c r="AG86" s="808"/>
      <c r="AH86" s="808"/>
      <c r="AI86" s="808"/>
      <c r="AJ86" s="787">
        <f t="shared" si="5"/>
        <v>100000</v>
      </c>
      <c r="AK86" s="808"/>
      <c r="AL86" s="808"/>
      <c r="AM86" s="808"/>
      <c r="AN86" s="808"/>
      <c r="AO86" s="808"/>
      <c r="AP86" s="808"/>
      <c r="AQ86" s="808"/>
      <c r="AR86" s="808"/>
      <c r="AS86" s="808"/>
      <c r="AT86" s="808"/>
      <c r="AU86" s="258" t="s">
        <v>1414</v>
      </c>
    </row>
    <row r="87" spans="1:47" s="800" customFormat="1" ht="14.25" customHeight="1">
      <c r="A87" s="794">
        <v>85</v>
      </c>
      <c r="B87" s="790" t="s">
        <v>259</v>
      </c>
      <c r="C87" s="790" t="s">
        <v>1261</v>
      </c>
      <c r="D87" s="824">
        <v>40756</v>
      </c>
      <c r="E87" s="824">
        <v>40940</v>
      </c>
      <c r="F87" s="934">
        <v>2011</v>
      </c>
      <c r="G87" s="837" t="s">
        <v>1107</v>
      </c>
      <c r="H87" s="837" t="s">
        <v>1449</v>
      </c>
      <c r="I87" s="837" t="s">
        <v>1109</v>
      </c>
      <c r="J87" s="800" t="s">
        <v>2331</v>
      </c>
      <c r="K87" s="787">
        <v>144995</v>
      </c>
      <c r="L87" s="787">
        <v>127222</v>
      </c>
      <c r="M87" s="787">
        <v>127221</v>
      </c>
      <c r="N87" s="787">
        <v>127076</v>
      </c>
      <c r="O87" s="808">
        <f t="shared" si="6"/>
        <v>0.87641642815269494</v>
      </c>
      <c r="P87" s="842">
        <v>100</v>
      </c>
      <c r="Q87" s="787" t="s">
        <v>75</v>
      </c>
      <c r="R87" s="787" t="s">
        <v>75</v>
      </c>
      <c r="S87" s="787" t="s">
        <v>75</v>
      </c>
      <c r="T87" s="787" t="s">
        <v>233</v>
      </c>
      <c r="U87" s="787"/>
      <c r="V87" s="787">
        <v>144995</v>
      </c>
      <c r="W87" s="787">
        <v>8870</v>
      </c>
      <c r="X87" s="787">
        <v>8397</v>
      </c>
      <c r="Y87" s="808"/>
      <c r="Z87" s="787"/>
      <c r="AA87" s="787">
        <v>144995</v>
      </c>
      <c r="AB87" s="787">
        <v>750</v>
      </c>
      <c r="AC87" s="787"/>
      <c r="AD87" s="808" t="s">
        <v>714</v>
      </c>
      <c r="AE87" s="787"/>
      <c r="AF87" s="787"/>
      <c r="AG87" s="787"/>
      <c r="AH87" s="808"/>
      <c r="AI87" s="787"/>
      <c r="AJ87" s="787">
        <f t="shared" si="5"/>
        <v>144995</v>
      </c>
      <c r="AK87" s="787" t="s">
        <v>66</v>
      </c>
      <c r="AL87" s="787" t="s">
        <v>66</v>
      </c>
      <c r="AM87" s="787"/>
      <c r="AN87" s="787"/>
      <c r="AO87" s="787"/>
      <c r="AP87" s="787"/>
      <c r="AQ87" s="787"/>
      <c r="AR87" s="787"/>
      <c r="AS87" s="787"/>
      <c r="AT87" s="787"/>
      <c r="AU87" s="277" t="s">
        <v>1108</v>
      </c>
    </row>
    <row r="88" spans="1:47" s="800" customFormat="1" ht="14.25" customHeight="1">
      <c r="A88" s="794">
        <v>86</v>
      </c>
      <c r="B88" s="785" t="s">
        <v>1175</v>
      </c>
      <c r="C88" s="785" t="s">
        <v>1299</v>
      </c>
      <c r="D88" s="792">
        <v>40787</v>
      </c>
      <c r="E88" s="792">
        <v>41244</v>
      </c>
      <c r="F88" s="934">
        <v>2011</v>
      </c>
      <c r="G88" s="785" t="s">
        <v>79</v>
      </c>
      <c r="H88" s="841" t="s">
        <v>1453</v>
      </c>
      <c r="I88" s="785" t="s">
        <v>1177</v>
      </c>
      <c r="J88" s="812" t="s">
        <v>2438</v>
      </c>
      <c r="K88" s="842">
        <v>150000</v>
      </c>
      <c r="L88" s="842">
        <v>4158792</v>
      </c>
      <c r="M88" s="920">
        <v>3628536</v>
      </c>
      <c r="N88" s="907">
        <v>1472296</v>
      </c>
      <c r="O88" s="808">
        <f t="shared" si="6"/>
        <v>9.8153066666666664</v>
      </c>
      <c r="P88" s="842">
        <v>87</v>
      </c>
      <c r="Q88" s="842">
        <v>14500</v>
      </c>
      <c r="R88" s="842"/>
      <c r="S88" s="842">
        <v>14500</v>
      </c>
      <c r="T88" s="842" t="s">
        <v>2</v>
      </c>
      <c r="U88" s="842"/>
      <c r="V88" s="842"/>
      <c r="W88" s="842">
        <v>483531</v>
      </c>
      <c r="X88" s="842">
        <v>203895</v>
      </c>
      <c r="Y88" s="808">
        <f>X88/S88</f>
        <v>14.061724137931034</v>
      </c>
      <c r="Z88" s="842"/>
      <c r="AA88" s="842"/>
      <c r="AB88" s="842">
        <v>600</v>
      </c>
      <c r="AC88" s="842" t="s">
        <v>2</v>
      </c>
      <c r="AD88" s="842" t="s">
        <v>2</v>
      </c>
      <c r="AE88" s="842">
        <v>10000</v>
      </c>
      <c r="AF88" s="842"/>
      <c r="AG88" s="842"/>
      <c r="AH88" s="842"/>
      <c r="AI88" s="842"/>
      <c r="AJ88" s="808">
        <f t="shared" ref="AJ88:AJ119" si="8">SUM(Z88,AA88,AH88)</f>
        <v>0</v>
      </c>
      <c r="AK88" s="842">
        <v>261961</v>
      </c>
      <c r="AL88" s="842">
        <v>53896</v>
      </c>
      <c r="AM88" s="842"/>
      <c r="AN88" s="842"/>
      <c r="AO88" s="842"/>
      <c r="AP88" s="842"/>
      <c r="AQ88" s="842"/>
      <c r="AR88" s="842"/>
      <c r="AS88" s="842"/>
      <c r="AT88" s="842"/>
      <c r="AU88" s="842" t="s">
        <v>1176</v>
      </c>
    </row>
    <row r="89" spans="1:47" s="800" customFormat="1" ht="14.25" customHeight="1">
      <c r="A89" s="794">
        <v>87</v>
      </c>
      <c r="B89" s="800" t="s">
        <v>248</v>
      </c>
      <c r="C89" s="800" t="s">
        <v>1299</v>
      </c>
      <c r="D89" s="819">
        <v>40878</v>
      </c>
      <c r="E89" s="819">
        <v>40969</v>
      </c>
      <c r="F89" s="934">
        <v>2011</v>
      </c>
      <c r="G89" s="800" t="s">
        <v>626</v>
      </c>
      <c r="H89" s="837" t="s">
        <v>1449</v>
      </c>
      <c r="I89" s="800" t="s">
        <v>1421</v>
      </c>
      <c r="J89" s="800" t="s">
        <v>2331</v>
      </c>
      <c r="K89" s="808">
        <v>153476</v>
      </c>
      <c r="L89" s="808">
        <v>72948</v>
      </c>
      <c r="M89" s="935">
        <v>72948</v>
      </c>
      <c r="N89" s="808">
        <v>72948</v>
      </c>
      <c r="O89" s="808">
        <f t="shared" si="6"/>
        <v>0.47530558523808281</v>
      </c>
      <c r="P89" s="808"/>
      <c r="Q89" s="808"/>
      <c r="R89" s="808"/>
      <c r="S89" s="808"/>
      <c r="T89" s="808"/>
      <c r="U89" s="808"/>
      <c r="V89" s="808"/>
      <c r="W89" s="808"/>
      <c r="X89" s="808"/>
      <c r="Y89" s="808"/>
      <c r="Z89" s="808"/>
      <c r="AA89" s="808">
        <v>143807</v>
      </c>
      <c r="AB89" s="808">
        <v>180</v>
      </c>
      <c r="AC89" s="808"/>
      <c r="AD89" s="808">
        <v>180</v>
      </c>
      <c r="AE89" s="808"/>
      <c r="AF89" s="808"/>
      <c r="AG89" s="808"/>
      <c r="AH89" s="808"/>
      <c r="AI89" s="808"/>
      <c r="AJ89" s="787">
        <f t="shared" si="8"/>
        <v>143807</v>
      </c>
      <c r="AK89" s="808"/>
      <c r="AL89" s="808"/>
      <c r="AM89" s="808"/>
      <c r="AN89" s="808"/>
      <c r="AO89" s="808"/>
      <c r="AP89" s="808"/>
      <c r="AQ89" s="808"/>
      <c r="AR89" s="808"/>
      <c r="AS89" s="808"/>
      <c r="AT89" s="808"/>
      <c r="AU89" s="800" t="s">
        <v>1422</v>
      </c>
    </row>
    <row r="90" spans="1:47" s="800" customFormat="1" ht="14.25" customHeight="1">
      <c r="A90" s="794">
        <v>88</v>
      </c>
      <c r="B90" s="785" t="s">
        <v>607</v>
      </c>
      <c r="C90" s="785" t="s">
        <v>1299</v>
      </c>
      <c r="D90" s="792">
        <v>40787</v>
      </c>
      <c r="E90" s="792">
        <v>41122</v>
      </c>
      <c r="F90" s="934">
        <v>2011</v>
      </c>
      <c r="G90" s="785" t="s">
        <v>79</v>
      </c>
      <c r="H90" s="837" t="s">
        <v>1453</v>
      </c>
      <c r="I90" s="785" t="s">
        <v>1090</v>
      </c>
      <c r="J90" s="812" t="s">
        <v>2438</v>
      </c>
      <c r="K90" s="842">
        <v>570000</v>
      </c>
      <c r="L90" s="842">
        <v>28408085</v>
      </c>
      <c r="M90" s="920">
        <v>5681617</v>
      </c>
      <c r="N90" s="920">
        <v>5681617</v>
      </c>
      <c r="O90" s="808">
        <f t="shared" si="6"/>
        <v>9.9677491228070174</v>
      </c>
      <c r="P90" s="842">
        <v>19.7</v>
      </c>
      <c r="Q90" s="842">
        <v>62000</v>
      </c>
      <c r="R90" s="842">
        <v>62000</v>
      </c>
      <c r="S90" s="842">
        <v>62000</v>
      </c>
      <c r="T90" s="842"/>
      <c r="U90" s="842"/>
      <c r="V90" s="842">
        <v>62000</v>
      </c>
      <c r="W90" s="842">
        <v>13257760</v>
      </c>
      <c r="X90" s="842">
        <v>2651552</v>
      </c>
      <c r="Y90" s="808">
        <f>X90/S90</f>
        <v>42.766967741935481</v>
      </c>
      <c r="Z90" s="842"/>
      <c r="AA90" s="842"/>
      <c r="AB90" s="842">
        <v>250</v>
      </c>
      <c r="AC90" s="842" t="s">
        <v>2</v>
      </c>
      <c r="AD90" s="842"/>
      <c r="AE90" s="842">
        <v>50000</v>
      </c>
      <c r="AF90" s="842"/>
      <c r="AG90" s="842"/>
      <c r="AH90" s="842"/>
      <c r="AI90" s="842"/>
      <c r="AJ90" s="787">
        <f t="shared" si="8"/>
        <v>0</v>
      </c>
      <c r="AK90" s="842"/>
      <c r="AL90" s="842"/>
      <c r="AM90" s="842"/>
      <c r="AN90" s="842"/>
      <c r="AO90" s="842"/>
      <c r="AP90" s="842"/>
      <c r="AQ90" s="842"/>
      <c r="AR90" s="842"/>
      <c r="AS90" s="842"/>
      <c r="AT90" s="842"/>
      <c r="AU90" s="275" t="s">
        <v>1089</v>
      </c>
    </row>
    <row r="91" spans="1:47" s="800" customFormat="1" ht="14.25" customHeight="1">
      <c r="A91" s="794">
        <v>89</v>
      </c>
      <c r="B91" s="785" t="s">
        <v>1182</v>
      </c>
      <c r="C91" s="785" t="s">
        <v>1299</v>
      </c>
      <c r="D91" s="792">
        <v>40725</v>
      </c>
      <c r="E91" s="792">
        <v>40940</v>
      </c>
      <c r="F91" s="934">
        <v>2011</v>
      </c>
      <c r="G91" s="785" t="s">
        <v>1183</v>
      </c>
      <c r="H91" s="841" t="s">
        <v>1452</v>
      </c>
      <c r="I91" s="785" t="s">
        <v>1184</v>
      </c>
      <c r="J91" s="812" t="s">
        <v>2438</v>
      </c>
      <c r="K91" s="842">
        <v>173000</v>
      </c>
      <c r="L91" s="842">
        <v>6188106</v>
      </c>
      <c r="M91" s="920">
        <v>2418937</v>
      </c>
      <c r="N91" s="920">
        <v>2242841</v>
      </c>
      <c r="O91" s="808">
        <f t="shared" si="6"/>
        <v>12.964398843930637</v>
      </c>
      <c r="P91" s="842">
        <v>39</v>
      </c>
      <c r="Q91" s="842">
        <v>46500</v>
      </c>
      <c r="R91" s="842">
        <v>46500</v>
      </c>
      <c r="S91" s="842">
        <v>46500</v>
      </c>
      <c r="T91" s="842" t="s">
        <v>2</v>
      </c>
      <c r="U91" s="842">
        <v>105</v>
      </c>
      <c r="V91" s="842"/>
      <c r="W91" s="842">
        <v>48000</v>
      </c>
      <c r="X91" s="842">
        <v>23948</v>
      </c>
      <c r="Y91" s="808">
        <f>X91/S91</f>
        <v>0.51501075268817209</v>
      </c>
      <c r="Z91" s="842"/>
      <c r="AA91" s="842">
        <v>46500</v>
      </c>
      <c r="AB91" s="842"/>
      <c r="AC91" s="842"/>
      <c r="AD91" s="842"/>
      <c r="AE91" s="842">
        <v>3500</v>
      </c>
      <c r="AF91" s="842"/>
      <c r="AG91" s="842"/>
      <c r="AH91" s="842"/>
      <c r="AI91" s="842"/>
      <c r="AJ91" s="808">
        <f t="shared" si="8"/>
        <v>46500</v>
      </c>
      <c r="AK91" s="842">
        <v>204534</v>
      </c>
      <c r="AL91" s="842">
        <v>123799</v>
      </c>
      <c r="AM91" s="842"/>
      <c r="AN91" s="842"/>
      <c r="AO91" s="842"/>
      <c r="AP91" s="842"/>
      <c r="AQ91" s="842"/>
      <c r="AR91" s="842"/>
      <c r="AS91" s="842"/>
      <c r="AT91" s="842"/>
      <c r="AU91" s="842" t="s">
        <v>1290</v>
      </c>
    </row>
    <row r="92" spans="1:47" s="800" customFormat="1" ht="13.5" customHeight="1">
      <c r="A92" s="794">
        <v>90</v>
      </c>
      <c r="B92" s="785" t="s">
        <v>1</v>
      </c>
      <c r="C92" s="785" t="s">
        <v>1299</v>
      </c>
      <c r="D92" s="792">
        <v>40848</v>
      </c>
      <c r="E92" s="792">
        <v>40940</v>
      </c>
      <c r="F92" s="934">
        <v>2011</v>
      </c>
      <c r="G92" s="785" t="s">
        <v>168</v>
      </c>
      <c r="H92" s="837" t="s">
        <v>1449</v>
      </c>
      <c r="I92" s="785" t="s">
        <v>1086</v>
      </c>
      <c r="J92" s="812" t="s">
        <v>2438</v>
      </c>
      <c r="K92" s="842">
        <v>200000</v>
      </c>
      <c r="L92" s="842">
        <v>1854041</v>
      </c>
      <c r="M92" s="920">
        <f>0.74*L92</f>
        <v>1371990.34</v>
      </c>
      <c r="N92" s="936">
        <f>0.74*M92</f>
        <v>1015272.8516000001</v>
      </c>
      <c r="O92" s="808">
        <f t="shared" si="6"/>
        <v>5.0763642579999999</v>
      </c>
      <c r="P92" s="842">
        <v>74</v>
      </c>
      <c r="Q92" s="842">
        <v>80000</v>
      </c>
      <c r="R92" s="842">
        <v>1500</v>
      </c>
      <c r="S92" s="842">
        <v>80000</v>
      </c>
      <c r="T92" s="842"/>
      <c r="U92" s="842">
        <v>400</v>
      </c>
      <c r="V92" s="842">
        <v>200000</v>
      </c>
      <c r="W92" s="842"/>
      <c r="X92" s="842"/>
      <c r="Y92" s="808">
        <f>X92/S92</f>
        <v>0</v>
      </c>
      <c r="Z92" s="842"/>
      <c r="AA92" s="842">
        <v>200000</v>
      </c>
      <c r="AB92" s="842"/>
      <c r="AC92" s="842"/>
      <c r="AD92" s="842"/>
      <c r="AE92" s="842"/>
      <c r="AF92" s="842"/>
      <c r="AG92" s="842"/>
      <c r="AH92" s="842"/>
      <c r="AI92" s="842"/>
      <c r="AJ92" s="787">
        <f t="shared" si="8"/>
        <v>200000</v>
      </c>
      <c r="AK92" s="842"/>
      <c r="AL92" s="842"/>
      <c r="AM92" s="842"/>
      <c r="AN92" s="842"/>
      <c r="AO92" s="842"/>
      <c r="AP92" s="842"/>
      <c r="AQ92" s="842"/>
      <c r="AR92" s="842">
        <v>1</v>
      </c>
      <c r="AS92" s="842"/>
      <c r="AT92" s="842"/>
      <c r="AU92" s="842" t="s">
        <v>1085</v>
      </c>
    </row>
    <row r="93" spans="1:47" s="904" customFormat="1" ht="14.25" customHeight="1">
      <c r="A93" s="794">
        <v>91</v>
      </c>
      <c r="B93" s="785" t="s">
        <v>493</v>
      </c>
      <c r="C93" s="785" t="s">
        <v>1299</v>
      </c>
      <c r="D93" s="792">
        <v>40544</v>
      </c>
      <c r="E93" s="792">
        <v>40634</v>
      </c>
      <c r="F93" s="934">
        <v>2011</v>
      </c>
      <c r="G93" s="785" t="s">
        <v>494</v>
      </c>
      <c r="H93" s="837" t="s">
        <v>1449</v>
      </c>
      <c r="I93" s="785" t="s">
        <v>495</v>
      </c>
      <c r="J93" s="800" t="s">
        <v>2331</v>
      </c>
      <c r="K93" s="842">
        <v>226395</v>
      </c>
      <c r="L93" s="842">
        <v>73659</v>
      </c>
      <c r="M93" s="920">
        <v>73601</v>
      </c>
      <c r="N93" s="842">
        <v>73601</v>
      </c>
      <c r="O93" s="808">
        <f t="shared" si="6"/>
        <v>0.32509993595264913</v>
      </c>
      <c r="P93" s="842">
        <v>100</v>
      </c>
      <c r="Q93" s="842" t="s">
        <v>75</v>
      </c>
      <c r="R93" s="842" t="s">
        <v>75</v>
      </c>
      <c r="S93" s="842" t="s">
        <v>75</v>
      </c>
      <c r="T93" s="842" t="s">
        <v>75</v>
      </c>
      <c r="U93" s="842" t="s">
        <v>75</v>
      </c>
      <c r="V93" s="842" t="s">
        <v>75</v>
      </c>
      <c r="W93" s="842" t="s">
        <v>75</v>
      </c>
      <c r="X93" s="842" t="s">
        <v>75</v>
      </c>
      <c r="Y93" s="842"/>
      <c r="Z93" s="842" t="s">
        <v>75</v>
      </c>
      <c r="AA93" s="842">
        <v>226395</v>
      </c>
      <c r="AB93" s="842">
        <v>658</v>
      </c>
      <c r="AC93" s="842">
        <v>320</v>
      </c>
      <c r="AD93" s="842">
        <v>338</v>
      </c>
      <c r="AE93" s="842" t="s">
        <v>233</v>
      </c>
      <c r="AF93" s="842" t="s">
        <v>233</v>
      </c>
      <c r="AG93" s="842" t="s">
        <v>233</v>
      </c>
      <c r="AH93" s="842"/>
      <c r="AI93" s="842"/>
      <c r="AJ93" s="787">
        <f t="shared" si="8"/>
        <v>226395</v>
      </c>
      <c r="AK93" s="842">
        <v>0</v>
      </c>
      <c r="AL93" s="842">
        <v>0</v>
      </c>
      <c r="AM93" s="842"/>
      <c r="AN93" s="842"/>
      <c r="AO93" s="842"/>
      <c r="AP93" s="842"/>
      <c r="AQ93" s="842"/>
      <c r="AR93" s="842"/>
      <c r="AS93" s="842" t="s">
        <v>75</v>
      </c>
      <c r="AT93" s="842" t="s">
        <v>233</v>
      </c>
      <c r="AU93" s="265" t="s">
        <v>496</v>
      </c>
    </row>
    <row r="94" spans="1:47" s="904" customFormat="1" ht="14.25" customHeight="1">
      <c r="A94" s="794">
        <v>92</v>
      </c>
      <c r="B94" s="790" t="s">
        <v>148</v>
      </c>
      <c r="C94" s="790" t="s">
        <v>1299</v>
      </c>
      <c r="D94" s="824">
        <v>40695</v>
      </c>
      <c r="E94" s="824">
        <v>40787</v>
      </c>
      <c r="F94" s="934">
        <v>2011</v>
      </c>
      <c r="G94" s="837" t="s">
        <v>1146</v>
      </c>
      <c r="H94" s="837" t="s">
        <v>1449</v>
      </c>
      <c r="I94" s="837" t="s">
        <v>1145</v>
      </c>
      <c r="J94" s="800" t="s">
        <v>2331</v>
      </c>
      <c r="K94" s="787">
        <v>280000</v>
      </c>
      <c r="L94" s="787">
        <v>175028</v>
      </c>
      <c r="M94" s="787">
        <v>175028</v>
      </c>
      <c r="N94" s="787">
        <v>175027</v>
      </c>
      <c r="O94" s="808">
        <f t="shared" si="6"/>
        <v>0.62509642857142855</v>
      </c>
      <c r="P94" s="787">
        <v>100</v>
      </c>
      <c r="Q94" s="787">
        <v>40859</v>
      </c>
      <c r="R94" s="787">
        <v>4520</v>
      </c>
      <c r="S94" s="787">
        <v>40859</v>
      </c>
      <c r="T94" s="787" t="s">
        <v>2</v>
      </c>
      <c r="U94" s="787">
        <v>300</v>
      </c>
      <c r="V94" s="787">
        <v>322000</v>
      </c>
      <c r="W94" s="787">
        <v>18230</v>
      </c>
      <c r="X94" s="787">
        <v>18230</v>
      </c>
      <c r="Y94" s="808">
        <f>X94/S94</f>
        <v>0.44616853080104751</v>
      </c>
      <c r="Z94" s="787"/>
      <c r="AA94" s="787">
        <v>153063</v>
      </c>
      <c r="AB94" s="787"/>
      <c r="AC94" s="787"/>
      <c r="AD94" s="808">
        <v>300</v>
      </c>
      <c r="AE94" s="787"/>
      <c r="AF94" s="787"/>
      <c r="AG94" s="787"/>
      <c r="AH94" s="808">
        <v>103</v>
      </c>
      <c r="AI94" s="787"/>
      <c r="AJ94" s="787">
        <f t="shared" si="8"/>
        <v>153166</v>
      </c>
      <c r="AK94" s="787">
        <v>3394</v>
      </c>
      <c r="AL94" s="787">
        <v>3394</v>
      </c>
      <c r="AM94" s="787"/>
      <c r="AN94" s="787"/>
      <c r="AO94" s="787"/>
      <c r="AP94" s="787"/>
      <c r="AQ94" s="787"/>
      <c r="AR94" s="787"/>
      <c r="AS94" s="787"/>
      <c r="AT94" s="787"/>
      <c r="AU94" s="837" t="s">
        <v>1144</v>
      </c>
    </row>
    <row r="95" spans="1:47" s="785" customFormat="1" ht="14.25" customHeight="1">
      <c r="A95" s="794">
        <v>93</v>
      </c>
      <c r="B95" s="800" t="s">
        <v>97</v>
      </c>
      <c r="C95" s="808" t="s">
        <v>1299</v>
      </c>
      <c r="D95" s="819">
        <v>40878</v>
      </c>
      <c r="E95" s="819">
        <v>41183</v>
      </c>
      <c r="F95" s="934">
        <v>2011</v>
      </c>
      <c r="G95" s="800" t="s">
        <v>1216</v>
      </c>
      <c r="H95" s="837" t="s">
        <v>1452</v>
      </c>
      <c r="I95" s="800" t="s">
        <v>1375</v>
      </c>
      <c r="J95" s="812" t="s">
        <v>2438</v>
      </c>
      <c r="K95" s="808">
        <v>350000</v>
      </c>
      <c r="L95" s="808">
        <v>3756836</v>
      </c>
      <c r="M95" s="935">
        <v>126768</v>
      </c>
      <c r="N95" s="808">
        <v>126768</v>
      </c>
      <c r="O95" s="808">
        <f t="shared" si="6"/>
        <v>0.36219428571428569</v>
      </c>
      <c r="P95" s="808"/>
      <c r="Q95" s="808">
        <v>5000</v>
      </c>
      <c r="R95" s="808">
        <v>8000</v>
      </c>
      <c r="S95" s="808">
        <v>8000</v>
      </c>
      <c r="T95" s="808" t="s">
        <v>2</v>
      </c>
      <c r="U95" s="808">
        <v>80</v>
      </c>
      <c r="V95" s="808">
        <v>15000</v>
      </c>
      <c r="W95" s="808"/>
      <c r="X95" s="808"/>
      <c r="Y95" s="808">
        <f>X95/S95</f>
        <v>0</v>
      </c>
      <c r="Z95" s="808"/>
      <c r="AA95" s="808"/>
      <c r="AB95" s="808"/>
      <c r="AC95" s="808"/>
      <c r="AD95" s="808"/>
      <c r="AE95" s="808"/>
      <c r="AF95" s="808"/>
      <c r="AG95" s="808"/>
      <c r="AH95" s="808"/>
      <c r="AI95" s="808"/>
      <c r="AJ95" s="787">
        <f t="shared" si="8"/>
        <v>0</v>
      </c>
      <c r="AK95" s="808"/>
      <c r="AL95" s="808"/>
      <c r="AM95" s="808"/>
      <c r="AN95" s="808"/>
      <c r="AO95" s="808"/>
      <c r="AP95" s="808"/>
      <c r="AQ95" s="808"/>
      <c r="AR95" s="808"/>
      <c r="AS95" s="808"/>
      <c r="AT95" s="808"/>
      <c r="AU95" s="291" t="s">
        <v>1376</v>
      </c>
    </row>
    <row r="96" spans="1:47" s="785" customFormat="1" ht="14.25" customHeight="1">
      <c r="A96" s="794">
        <v>94</v>
      </c>
      <c r="B96" s="800" t="s">
        <v>244</v>
      </c>
      <c r="C96" s="800" t="s">
        <v>1299</v>
      </c>
      <c r="D96" s="819">
        <v>40878</v>
      </c>
      <c r="E96" s="819">
        <v>41000</v>
      </c>
      <c r="F96" s="934">
        <v>2011</v>
      </c>
      <c r="G96" s="800" t="s">
        <v>1325</v>
      </c>
      <c r="H96" s="837" t="s">
        <v>1449</v>
      </c>
      <c r="I96" s="800" t="s">
        <v>1326</v>
      </c>
      <c r="J96" s="800" t="s">
        <v>2331</v>
      </c>
      <c r="K96" s="808">
        <v>421000</v>
      </c>
      <c r="L96" s="808">
        <v>129083</v>
      </c>
      <c r="M96" s="808">
        <v>129083</v>
      </c>
      <c r="N96" s="808">
        <v>129083</v>
      </c>
      <c r="O96" s="808">
        <f t="shared" si="6"/>
        <v>0.30661045130641329</v>
      </c>
      <c r="P96" s="920" t="s">
        <v>66</v>
      </c>
      <c r="Q96" s="808"/>
      <c r="R96" s="808"/>
      <c r="S96" s="808"/>
      <c r="T96" s="808" t="s">
        <v>233</v>
      </c>
      <c r="U96" s="808"/>
      <c r="V96" s="808"/>
      <c r="W96" s="808">
        <v>250</v>
      </c>
      <c r="X96" s="808"/>
      <c r="Y96" s="808"/>
      <c r="Z96" s="808"/>
      <c r="AA96" s="808"/>
      <c r="AB96" s="808"/>
      <c r="AC96" s="808">
        <v>150</v>
      </c>
      <c r="AD96" s="808">
        <v>150</v>
      </c>
      <c r="AE96" s="808"/>
      <c r="AF96" s="808"/>
      <c r="AG96" s="808"/>
      <c r="AH96" s="808"/>
      <c r="AI96" s="808"/>
      <c r="AJ96" s="787">
        <f t="shared" si="8"/>
        <v>0</v>
      </c>
      <c r="AK96" s="808"/>
      <c r="AL96" s="808"/>
      <c r="AM96" s="808"/>
      <c r="AN96" s="808"/>
      <c r="AO96" s="808"/>
      <c r="AP96" s="808"/>
      <c r="AQ96" s="808"/>
      <c r="AR96" s="808"/>
      <c r="AS96" s="808"/>
      <c r="AT96" s="808"/>
      <c r="AU96" s="800" t="s">
        <v>1327</v>
      </c>
    </row>
    <row r="97" spans="1:47" s="800" customFormat="1" ht="14.25" customHeight="1">
      <c r="A97" s="794">
        <v>95</v>
      </c>
      <c r="B97" s="785" t="s">
        <v>2368</v>
      </c>
      <c r="C97" s="842" t="s">
        <v>1278</v>
      </c>
      <c r="D97" s="792">
        <v>40575</v>
      </c>
      <c r="E97" s="792">
        <v>41153</v>
      </c>
      <c r="F97" s="934">
        <v>2011</v>
      </c>
      <c r="G97" s="785" t="s">
        <v>1161</v>
      </c>
      <c r="H97" s="837" t="s">
        <v>1452</v>
      </c>
      <c r="I97" s="785" t="s">
        <v>1307</v>
      </c>
      <c r="J97" s="812" t="s">
        <v>2438</v>
      </c>
      <c r="K97" s="787">
        <v>435000</v>
      </c>
      <c r="L97" s="842">
        <v>18673301</v>
      </c>
      <c r="M97" s="920">
        <v>13252916</v>
      </c>
      <c r="N97" s="842">
        <v>8974755</v>
      </c>
      <c r="O97" s="808">
        <f t="shared" si="6"/>
        <v>20.631620689655172</v>
      </c>
      <c r="P97" s="842">
        <v>71</v>
      </c>
      <c r="Q97" s="842" t="s">
        <v>75</v>
      </c>
      <c r="R97" s="842" t="s">
        <v>75</v>
      </c>
      <c r="S97" s="842" t="s">
        <v>75</v>
      </c>
      <c r="T97" s="842"/>
      <c r="U97" s="842"/>
      <c r="V97" s="842"/>
      <c r="W97" s="842">
        <v>352362</v>
      </c>
      <c r="X97" s="842">
        <v>358484</v>
      </c>
      <c r="Y97" s="842"/>
      <c r="Z97" s="842"/>
      <c r="AA97" s="842"/>
      <c r="AB97" s="842"/>
      <c r="AC97" s="842"/>
      <c r="AD97" s="842"/>
      <c r="AE97" s="842"/>
      <c r="AF97" s="842"/>
      <c r="AG97" s="842"/>
      <c r="AH97" s="842"/>
      <c r="AI97" s="842"/>
      <c r="AJ97" s="787">
        <f t="shared" si="8"/>
        <v>0</v>
      </c>
      <c r="AK97" s="842">
        <v>434079</v>
      </c>
      <c r="AL97" s="842">
        <v>113579</v>
      </c>
      <c r="AM97" s="842"/>
      <c r="AN97" s="842"/>
      <c r="AO97" s="842"/>
      <c r="AP97" s="842"/>
      <c r="AQ97" s="842"/>
      <c r="AR97" s="842"/>
      <c r="AS97" s="842"/>
      <c r="AT97" s="842"/>
      <c r="AU97" s="275" t="s">
        <v>1308</v>
      </c>
    </row>
    <row r="98" spans="1:47" s="800" customFormat="1" ht="14.25" customHeight="1">
      <c r="A98" s="794">
        <v>96</v>
      </c>
      <c r="B98" s="785" t="s">
        <v>1</v>
      </c>
      <c r="C98" s="785" t="s">
        <v>1299</v>
      </c>
      <c r="D98" s="792">
        <v>40634</v>
      </c>
      <c r="E98" s="792">
        <v>40725</v>
      </c>
      <c r="F98" s="934">
        <v>2011</v>
      </c>
      <c r="G98" s="785" t="s">
        <v>489</v>
      </c>
      <c r="H98" s="837" t="s">
        <v>1449</v>
      </c>
      <c r="I98" s="785" t="s">
        <v>490</v>
      </c>
      <c r="J98" s="800" t="s">
        <v>2331</v>
      </c>
      <c r="K98" s="842">
        <v>650000</v>
      </c>
      <c r="L98" s="842">
        <v>73950</v>
      </c>
      <c r="M98" s="920">
        <v>73950</v>
      </c>
      <c r="N98" s="842">
        <v>72416</v>
      </c>
      <c r="O98" s="808">
        <f t="shared" si="6"/>
        <v>0.11140923076923077</v>
      </c>
      <c r="P98" s="842">
        <v>100</v>
      </c>
      <c r="Q98" s="842" t="s">
        <v>75</v>
      </c>
      <c r="R98" s="842" t="s">
        <v>75</v>
      </c>
      <c r="S98" s="842" t="s">
        <v>75</v>
      </c>
      <c r="T98" s="842" t="s">
        <v>75</v>
      </c>
      <c r="U98" s="842" t="s">
        <v>75</v>
      </c>
      <c r="V98" s="842" t="s">
        <v>75</v>
      </c>
      <c r="W98" s="842">
        <v>0</v>
      </c>
      <c r="X98" s="842">
        <v>0</v>
      </c>
      <c r="Y98" s="842"/>
      <c r="Z98" s="842" t="s">
        <v>75</v>
      </c>
      <c r="AA98" s="842">
        <v>641000</v>
      </c>
      <c r="AB98" s="842">
        <v>100</v>
      </c>
      <c r="AC98" s="842" t="s">
        <v>233</v>
      </c>
      <c r="AD98" s="842" t="s">
        <v>233</v>
      </c>
      <c r="AE98" s="842" t="s">
        <v>233</v>
      </c>
      <c r="AF98" s="842" t="s">
        <v>233</v>
      </c>
      <c r="AG98" s="842"/>
      <c r="AH98" s="842"/>
      <c r="AI98" s="842"/>
      <c r="AJ98" s="787">
        <f t="shared" si="8"/>
        <v>641000</v>
      </c>
      <c r="AK98" s="842">
        <v>0</v>
      </c>
      <c r="AL98" s="842">
        <v>0</v>
      </c>
      <c r="AM98" s="842"/>
      <c r="AN98" s="842"/>
      <c r="AO98" s="842"/>
      <c r="AP98" s="842"/>
      <c r="AQ98" s="842"/>
      <c r="AR98" s="842"/>
      <c r="AS98" s="842"/>
      <c r="AT98" s="842"/>
      <c r="AU98" s="265" t="s">
        <v>491</v>
      </c>
    </row>
    <row r="99" spans="1:47" s="800" customFormat="1" ht="14.25" customHeight="1">
      <c r="A99" s="794">
        <v>97</v>
      </c>
      <c r="B99" s="785" t="s">
        <v>120</v>
      </c>
      <c r="C99" s="842" t="s">
        <v>1299</v>
      </c>
      <c r="D99" s="792">
        <v>40756</v>
      </c>
      <c r="E99" s="792">
        <v>40848</v>
      </c>
      <c r="F99" s="934">
        <v>2011</v>
      </c>
      <c r="G99" s="785" t="s">
        <v>620</v>
      </c>
      <c r="H99" s="837" t="s">
        <v>1449</v>
      </c>
      <c r="I99" s="785" t="s">
        <v>1365</v>
      </c>
      <c r="J99" s="800" t="s">
        <v>2331</v>
      </c>
      <c r="K99" s="842">
        <v>699100</v>
      </c>
      <c r="L99" s="842"/>
      <c r="M99" s="920">
        <v>150010</v>
      </c>
      <c r="N99" s="920">
        <v>150010</v>
      </c>
      <c r="O99" s="808">
        <f t="shared" ref="O99:O110" si="9">N99/K99</f>
        <v>0.21457588327850094</v>
      </c>
      <c r="P99" s="842"/>
      <c r="Q99" s="842"/>
      <c r="R99" s="842"/>
      <c r="S99" s="842"/>
      <c r="T99" s="842"/>
      <c r="U99" s="842">
        <v>385</v>
      </c>
      <c r="V99" s="842"/>
      <c r="W99" s="842"/>
      <c r="X99" s="842"/>
      <c r="Y99" s="842"/>
      <c r="Z99" s="842"/>
      <c r="AA99" s="842"/>
      <c r="AB99" s="842"/>
      <c r="AC99" s="842"/>
      <c r="AD99" s="842" t="s">
        <v>2</v>
      </c>
      <c r="AE99" s="842"/>
      <c r="AF99" s="842"/>
      <c r="AG99" s="842"/>
      <c r="AH99" s="842">
        <v>600</v>
      </c>
      <c r="AI99" s="842"/>
      <c r="AJ99" s="787">
        <f t="shared" si="8"/>
        <v>600</v>
      </c>
      <c r="AK99" s="842"/>
      <c r="AL99" s="842"/>
      <c r="AM99" s="842"/>
      <c r="AN99" s="842"/>
      <c r="AO99" s="842"/>
      <c r="AP99" s="842"/>
      <c r="AQ99" s="842"/>
      <c r="AR99" s="842"/>
      <c r="AS99" s="842"/>
      <c r="AT99" s="842"/>
      <c r="AU99" s="842" t="s">
        <v>1364</v>
      </c>
    </row>
    <row r="100" spans="1:47" s="800" customFormat="1" ht="14.25" customHeight="1">
      <c r="A100" s="794">
        <v>98</v>
      </c>
      <c r="B100" s="785" t="s">
        <v>170</v>
      </c>
      <c r="C100" s="842" t="s">
        <v>1299</v>
      </c>
      <c r="D100" s="792">
        <v>40817</v>
      </c>
      <c r="E100" s="792">
        <v>40909</v>
      </c>
      <c r="F100" s="934">
        <v>2011</v>
      </c>
      <c r="G100" s="785" t="s">
        <v>243</v>
      </c>
      <c r="H100" s="837" t="s">
        <v>1449</v>
      </c>
      <c r="I100" s="785" t="s">
        <v>1321</v>
      </c>
      <c r="J100" s="800" t="s">
        <v>2331</v>
      </c>
      <c r="K100" s="842">
        <v>750000</v>
      </c>
      <c r="L100" s="842">
        <v>188083</v>
      </c>
      <c r="M100" s="842">
        <v>188083</v>
      </c>
      <c r="N100" s="842">
        <v>188083</v>
      </c>
      <c r="O100" s="808">
        <f t="shared" si="9"/>
        <v>0.25077733333333335</v>
      </c>
      <c r="P100" s="920" t="s">
        <v>66</v>
      </c>
      <c r="Q100" s="842" t="s">
        <v>134</v>
      </c>
      <c r="R100" s="842" t="s">
        <v>134</v>
      </c>
      <c r="S100" s="842" t="s">
        <v>134</v>
      </c>
      <c r="T100" s="842" t="s">
        <v>233</v>
      </c>
      <c r="U100" s="842">
        <v>360</v>
      </c>
      <c r="V100" s="842">
        <v>68492</v>
      </c>
      <c r="W100" s="920" t="s">
        <v>66</v>
      </c>
      <c r="X100" s="920" t="s">
        <v>66</v>
      </c>
      <c r="Y100" s="920"/>
      <c r="Z100" s="842"/>
      <c r="AA100" s="842">
        <v>68492</v>
      </c>
      <c r="AB100" s="842">
        <v>360</v>
      </c>
      <c r="AC100" s="842"/>
      <c r="AD100" s="842">
        <v>25</v>
      </c>
      <c r="AE100" s="842"/>
      <c r="AF100" s="842"/>
      <c r="AG100" s="842"/>
      <c r="AH100" s="842"/>
      <c r="AI100" s="842"/>
      <c r="AJ100" s="787">
        <f t="shared" si="8"/>
        <v>68492</v>
      </c>
      <c r="AK100" s="920" t="s">
        <v>66</v>
      </c>
      <c r="AL100" s="920" t="s">
        <v>66</v>
      </c>
      <c r="AM100" s="842"/>
      <c r="AN100" s="842"/>
      <c r="AO100" s="842"/>
      <c r="AP100" s="842"/>
      <c r="AQ100" s="842"/>
      <c r="AR100" s="842"/>
      <c r="AS100" s="842" t="s">
        <v>204</v>
      </c>
      <c r="AT100" s="842"/>
      <c r="AU100" s="785" t="s">
        <v>1320</v>
      </c>
    </row>
    <row r="101" spans="1:47" s="800" customFormat="1" ht="14.25" customHeight="1">
      <c r="A101" s="794">
        <v>99</v>
      </c>
      <c r="B101" s="785" t="s">
        <v>12</v>
      </c>
      <c r="C101" s="785" t="s">
        <v>1299</v>
      </c>
      <c r="D101" s="792">
        <v>40634</v>
      </c>
      <c r="E101" s="792">
        <v>40725</v>
      </c>
      <c r="F101" s="934">
        <v>2011</v>
      </c>
      <c r="G101" s="785" t="s">
        <v>505</v>
      </c>
      <c r="H101" s="837" t="s">
        <v>1449</v>
      </c>
      <c r="I101" s="785" t="s">
        <v>506</v>
      </c>
      <c r="J101" s="800" t="s">
        <v>2331</v>
      </c>
      <c r="K101" s="842">
        <v>814904</v>
      </c>
      <c r="L101" s="842">
        <v>299869</v>
      </c>
      <c r="M101" s="920">
        <v>299869</v>
      </c>
      <c r="N101" s="842">
        <v>299869</v>
      </c>
      <c r="O101" s="808">
        <f t="shared" si="9"/>
        <v>0.36798076828681658</v>
      </c>
      <c r="P101" s="842">
        <v>100</v>
      </c>
      <c r="Q101" s="842" t="s">
        <v>75</v>
      </c>
      <c r="R101" s="842" t="s">
        <v>75</v>
      </c>
      <c r="S101" s="842" t="s">
        <v>75</v>
      </c>
      <c r="T101" s="842" t="s">
        <v>233</v>
      </c>
      <c r="U101" s="842" t="s">
        <v>75</v>
      </c>
      <c r="V101" s="842" t="s">
        <v>75</v>
      </c>
      <c r="W101" s="842" t="s">
        <v>75</v>
      </c>
      <c r="X101" s="842" t="s">
        <v>75</v>
      </c>
      <c r="Y101" s="842"/>
      <c r="Z101" s="842"/>
      <c r="AA101" s="842">
        <v>585136</v>
      </c>
      <c r="AB101" s="842">
        <v>1295</v>
      </c>
      <c r="AC101" s="842"/>
      <c r="AD101" s="842"/>
      <c r="AE101" s="842"/>
      <c r="AF101" s="842"/>
      <c r="AG101" s="842"/>
      <c r="AH101" s="842"/>
      <c r="AI101" s="842"/>
      <c r="AJ101" s="787">
        <f t="shared" si="8"/>
        <v>585136</v>
      </c>
      <c r="AK101" s="842" t="s">
        <v>134</v>
      </c>
      <c r="AL101" s="842" t="s">
        <v>134</v>
      </c>
      <c r="AM101" s="842"/>
      <c r="AN101" s="842"/>
      <c r="AO101" s="842"/>
      <c r="AP101" s="842"/>
      <c r="AQ101" s="842"/>
      <c r="AR101" s="842"/>
      <c r="AS101" s="842" t="s">
        <v>75</v>
      </c>
      <c r="AT101" s="842"/>
      <c r="AU101" s="265" t="s">
        <v>507</v>
      </c>
    </row>
    <row r="102" spans="1:47" s="800" customFormat="1" ht="14.25" customHeight="1">
      <c r="A102" s="794">
        <v>100</v>
      </c>
      <c r="B102" s="790" t="s">
        <v>170</v>
      </c>
      <c r="C102" s="790" t="s">
        <v>1299</v>
      </c>
      <c r="D102" s="824">
        <v>40695</v>
      </c>
      <c r="E102" s="824">
        <v>40817</v>
      </c>
      <c r="F102" s="934">
        <v>2011</v>
      </c>
      <c r="G102" s="837" t="s">
        <v>1153</v>
      </c>
      <c r="H102" s="837" t="s">
        <v>1449</v>
      </c>
      <c r="I102" s="837" t="s">
        <v>1155</v>
      </c>
      <c r="J102" s="800" t="s">
        <v>2331</v>
      </c>
      <c r="K102" s="787">
        <v>985335</v>
      </c>
      <c r="L102" s="787">
        <v>56281</v>
      </c>
      <c r="M102" s="787">
        <v>48615</v>
      </c>
      <c r="N102" s="787">
        <v>48615</v>
      </c>
      <c r="O102" s="808">
        <f t="shared" si="9"/>
        <v>4.9338549833305427E-2</v>
      </c>
      <c r="P102" s="787">
        <v>86</v>
      </c>
      <c r="Q102" s="787" t="s">
        <v>75</v>
      </c>
      <c r="R102" s="787" t="s">
        <v>75</v>
      </c>
      <c r="S102" s="787" t="s">
        <v>75</v>
      </c>
      <c r="T102" s="787" t="s">
        <v>233</v>
      </c>
      <c r="U102" s="787" t="s">
        <v>75</v>
      </c>
      <c r="V102" s="787" t="s">
        <v>75</v>
      </c>
      <c r="W102" s="787" t="s">
        <v>66</v>
      </c>
      <c r="X102" s="787" t="s">
        <v>66</v>
      </c>
      <c r="Y102" s="808"/>
      <c r="Z102" s="787"/>
      <c r="AA102" s="787">
        <v>985335</v>
      </c>
      <c r="AB102" s="787"/>
      <c r="AC102" s="787"/>
      <c r="AD102" s="808">
        <v>150</v>
      </c>
      <c r="AE102" s="787"/>
      <c r="AF102" s="787"/>
      <c r="AG102" s="787"/>
      <c r="AH102" s="808"/>
      <c r="AI102" s="787"/>
      <c r="AJ102" s="787">
        <f t="shared" si="8"/>
        <v>985335</v>
      </c>
      <c r="AK102" s="787" t="s">
        <v>66</v>
      </c>
      <c r="AL102" s="787" t="s">
        <v>66</v>
      </c>
      <c r="AM102" s="787"/>
      <c r="AN102" s="787"/>
      <c r="AO102" s="787"/>
      <c r="AP102" s="787"/>
      <c r="AQ102" s="787"/>
      <c r="AR102" s="787"/>
      <c r="AS102" s="787"/>
      <c r="AT102" s="787"/>
      <c r="AU102" s="837" t="s">
        <v>1154</v>
      </c>
    </row>
    <row r="103" spans="1:47" s="800" customFormat="1" ht="14.25" customHeight="1">
      <c r="A103" s="794">
        <v>101</v>
      </c>
      <c r="B103" s="812" t="s">
        <v>12</v>
      </c>
      <c r="C103" s="785" t="s">
        <v>1299</v>
      </c>
      <c r="D103" s="925">
        <v>40544</v>
      </c>
      <c r="E103" s="925">
        <v>41183</v>
      </c>
      <c r="F103" s="934">
        <v>2011</v>
      </c>
      <c r="G103" s="812" t="s">
        <v>79</v>
      </c>
      <c r="H103" s="841" t="s">
        <v>1453</v>
      </c>
      <c r="I103" s="812" t="s">
        <v>11</v>
      </c>
      <c r="J103" s="812" t="s">
        <v>2438</v>
      </c>
      <c r="K103" s="871">
        <v>1000000</v>
      </c>
      <c r="L103" s="871">
        <v>30438354</v>
      </c>
      <c r="M103" s="871">
        <v>9682005</v>
      </c>
      <c r="N103" s="816">
        <v>9234574</v>
      </c>
      <c r="O103" s="808">
        <f t="shared" si="9"/>
        <v>9.2345740000000003</v>
      </c>
      <c r="P103" s="871">
        <v>32</v>
      </c>
      <c r="Q103" s="871">
        <v>22400</v>
      </c>
      <c r="R103" s="871"/>
      <c r="S103" s="871">
        <v>22400</v>
      </c>
      <c r="T103" s="871" t="s">
        <v>94</v>
      </c>
      <c r="U103" s="871">
        <v>20</v>
      </c>
      <c r="V103" s="871">
        <v>69085</v>
      </c>
      <c r="W103" s="871">
        <v>7037895</v>
      </c>
      <c r="X103" s="871">
        <v>233901</v>
      </c>
      <c r="Y103" s="808">
        <f>X103/S103</f>
        <v>10.442008928571429</v>
      </c>
      <c r="Z103" s="871"/>
      <c r="AA103" s="871">
        <v>914904</v>
      </c>
      <c r="AB103" s="871"/>
      <c r="AC103" s="871"/>
      <c r="AD103" s="871"/>
      <c r="AE103" s="871"/>
      <c r="AF103" s="871"/>
      <c r="AG103" s="871"/>
      <c r="AH103" s="871">
        <v>35052</v>
      </c>
      <c r="AI103" s="871"/>
      <c r="AJ103" s="787">
        <f t="shared" si="8"/>
        <v>949956</v>
      </c>
      <c r="AK103" s="871">
        <v>1072843</v>
      </c>
      <c r="AL103" s="871">
        <v>107804</v>
      </c>
      <c r="AM103" s="871"/>
      <c r="AN103" s="871"/>
      <c r="AO103" s="871"/>
      <c r="AP103" s="871"/>
      <c r="AQ103" s="871"/>
      <c r="AR103" s="871"/>
      <c r="AS103" s="871"/>
      <c r="AT103" s="871"/>
      <c r="AU103" s="275" t="s">
        <v>70</v>
      </c>
    </row>
    <row r="104" spans="1:47" s="800" customFormat="1" ht="14.25" customHeight="1">
      <c r="A104" s="794">
        <v>102</v>
      </c>
      <c r="B104" s="785" t="s">
        <v>270</v>
      </c>
      <c r="C104" s="842" t="s">
        <v>1299</v>
      </c>
      <c r="D104" s="792">
        <v>40725</v>
      </c>
      <c r="E104" s="792">
        <v>40787</v>
      </c>
      <c r="F104" s="934">
        <v>2011</v>
      </c>
      <c r="G104" s="785" t="s">
        <v>168</v>
      </c>
      <c r="H104" s="837" t="s">
        <v>1449</v>
      </c>
      <c r="I104" s="785" t="s">
        <v>1306</v>
      </c>
      <c r="J104" s="800" t="s">
        <v>2331</v>
      </c>
      <c r="K104" s="842">
        <v>1150000</v>
      </c>
      <c r="L104" s="842">
        <v>227511</v>
      </c>
      <c r="M104" s="842">
        <v>227511</v>
      </c>
      <c r="N104" s="842">
        <v>227511</v>
      </c>
      <c r="O104" s="808">
        <f t="shared" si="9"/>
        <v>0.19783565217391305</v>
      </c>
      <c r="P104" s="920" t="s">
        <v>66</v>
      </c>
      <c r="Q104" s="842">
        <v>9200</v>
      </c>
      <c r="R104" s="842">
        <v>4240</v>
      </c>
      <c r="S104" s="842">
        <v>9200</v>
      </c>
      <c r="T104" s="842" t="s">
        <v>233</v>
      </c>
      <c r="U104" s="842">
        <v>230</v>
      </c>
      <c r="V104" s="842">
        <v>733000</v>
      </c>
      <c r="W104" s="920" t="s">
        <v>66</v>
      </c>
      <c r="X104" s="920" t="s">
        <v>66</v>
      </c>
      <c r="Y104" s="808"/>
      <c r="Z104" s="842"/>
      <c r="AA104" s="842">
        <v>317000</v>
      </c>
      <c r="AB104" s="842">
        <v>683</v>
      </c>
      <c r="AC104" s="842"/>
      <c r="AD104" s="842"/>
      <c r="AE104" s="842"/>
      <c r="AF104" s="842"/>
      <c r="AG104" s="842"/>
      <c r="AH104" s="842"/>
      <c r="AI104" s="842"/>
      <c r="AJ104" s="787">
        <f t="shared" si="8"/>
        <v>317000</v>
      </c>
      <c r="AK104" s="920" t="s">
        <v>66</v>
      </c>
      <c r="AL104" s="920" t="s">
        <v>66</v>
      </c>
      <c r="AM104" s="842"/>
      <c r="AN104" s="842"/>
      <c r="AO104" s="842"/>
      <c r="AP104" s="842"/>
      <c r="AQ104" s="842"/>
      <c r="AR104" s="842"/>
      <c r="AS104" s="842"/>
      <c r="AT104" s="842"/>
      <c r="AU104" s="275" t="s">
        <v>1309</v>
      </c>
    </row>
    <row r="105" spans="1:47" s="800" customFormat="1" ht="14.25" customHeight="1">
      <c r="A105" s="794">
        <v>103</v>
      </c>
      <c r="B105" s="790" t="s">
        <v>170</v>
      </c>
      <c r="C105" s="790" t="s">
        <v>1299</v>
      </c>
      <c r="D105" s="824">
        <v>40695</v>
      </c>
      <c r="E105" s="824">
        <v>40940</v>
      </c>
      <c r="F105" s="934">
        <v>2011</v>
      </c>
      <c r="G105" s="837" t="s">
        <v>1112</v>
      </c>
      <c r="H105" s="837" t="s">
        <v>1449</v>
      </c>
      <c r="I105" s="837" t="s">
        <v>1111</v>
      </c>
      <c r="J105" s="800" t="s">
        <v>2331</v>
      </c>
      <c r="K105" s="787">
        <v>1500000</v>
      </c>
      <c r="L105" s="787">
        <v>292511</v>
      </c>
      <c r="M105" s="787">
        <v>292511</v>
      </c>
      <c r="N105" s="787">
        <v>253659</v>
      </c>
      <c r="O105" s="808">
        <f t="shared" si="9"/>
        <v>0.16910600000000001</v>
      </c>
      <c r="P105" s="842">
        <v>100</v>
      </c>
      <c r="Q105" s="787" t="s">
        <v>75</v>
      </c>
      <c r="R105" s="787" t="s">
        <v>75</v>
      </c>
      <c r="S105" s="787" t="s">
        <v>75</v>
      </c>
      <c r="T105" s="787" t="s">
        <v>233</v>
      </c>
      <c r="U105" s="787">
        <v>300</v>
      </c>
      <c r="V105" s="787">
        <v>1440000</v>
      </c>
      <c r="W105" s="787">
        <v>33498</v>
      </c>
      <c r="X105" s="787">
        <v>28337</v>
      </c>
      <c r="Y105" s="808"/>
      <c r="Z105" s="787"/>
      <c r="AA105" s="787">
        <v>1440000</v>
      </c>
      <c r="AB105" s="787"/>
      <c r="AC105" s="787">
        <v>300</v>
      </c>
      <c r="AD105" s="808"/>
      <c r="AE105" s="879">
        <v>6000</v>
      </c>
      <c r="AF105" s="787"/>
      <c r="AG105" s="787"/>
      <c r="AH105" s="808"/>
      <c r="AI105" s="787"/>
      <c r="AJ105" s="787">
        <f t="shared" si="8"/>
        <v>1440000</v>
      </c>
      <c r="AK105" s="787">
        <v>3960</v>
      </c>
      <c r="AL105" s="787">
        <v>4329</v>
      </c>
      <c r="AM105" s="787"/>
      <c r="AN105" s="787"/>
      <c r="AO105" s="787"/>
      <c r="AP105" s="787"/>
      <c r="AQ105" s="787"/>
      <c r="AR105" s="787"/>
      <c r="AS105" s="787" t="s">
        <v>1288</v>
      </c>
      <c r="AT105" s="787"/>
      <c r="AU105" s="277" t="s">
        <v>1110</v>
      </c>
    </row>
    <row r="106" spans="1:47" s="800" customFormat="1" ht="14.25" customHeight="1">
      <c r="A106" s="794">
        <v>104</v>
      </c>
      <c r="B106" s="785" t="s">
        <v>353</v>
      </c>
      <c r="C106" s="842" t="s">
        <v>1299</v>
      </c>
      <c r="D106" s="792">
        <v>40817</v>
      </c>
      <c r="E106" s="792">
        <v>40878</v>
      </c>
      <c r="F106" s="934">
        <v>2011</v>
      </c>
      <c r="G106" s="785" t="s">
        <v>1316</v>
      </c>
      <c r="H106" s="837" t="s">
        <v>1449</v>
      </c>
      <c r="I106" s="785" t="s">
        <v>1315</v>
      </c>
      <c r="J106" s="800" t="s">
        <v>2331</v>
      </c>
      <c r="K106" s="842">
        <v>1500000</v>
      </c>
      <c r="L106" s="842">
        <v>238333</v>
      </c>
      <c r="M106" s="842">
        <v>238333</v>
      </c>
      <c r="N106" s="842">
        <v>238333</v>
      </c>
      <c r="O106" s="808">
        <f t="shared" si="9"/>
        <v>0.15888866666666668</v>
      </c>
      <c r="P106" s="920" t="s">
        <v>66</v>
      </c>
      <c r="Q106" s="842" t="s">
        <v>134</v>
      </c>
      <c r="R106" s="842" t="s">
        <v>75</v>
      </c>
      <c r="S106" s="842" t="s">
        <v>134</v>
      </c>
      <c r="T106" s="842" t="s">
        <v>233</v>
      </c>
      <c r="U106" s="842">
        <v>500</v>
      </c>
      <c r="V106" s="842">
        <v>759790</v>
      </c>
      <c r="W106" s="920" t="s">
        <v>66</v>
      </c>
      <c r="X106" s="920" t="s">
        <v>66</v>
      </c>
      <c r="Y106" s="920"/>
      <c r="Z106" s="842"/>
      <c r="AA106" s="842">
        <v>759790</v>
      </c>
      <c r="AB106" s="842">
        <v>500</v>
      </c>
      <c r="AC106" s="842"/>
      <c r="AD106" s="842">
        <v>50</v>
      </c>
      <c r="AE106" s="842"/>
      <c r="AF106" s="842"/>
      <c r="AG106" s="842"/>
      <c r="AH106" s="842"/>
      <c r="AI106" s="842"/>
      <c r="AJ106" s="787">
        <f t="shared" si="8"/>
        <v>759790</v>
      </c>
      <c r="AK106" s="920" t="s">
        <v>66</v>
      </c>
      <c r="AL106" s="920" t="s">
        <v>66</v>
      </c>
      <c r="AM106" s="842"/>
      <c r="AN106" s="842"/>
      <c r="AO106" s="842"/>
      <c r="AP106" s="842"/>
      <c r="AQ106" s="842"/>
      <c r="AR106" s="842"/>
      <c r="AS106" s="842"/>
      <c r="AT106" s="842"/>
      <c r="AU106" s="842" t="s">
        <v>1314</v>
      </c>
    </row>
    <row r="107" spans="1:47" s="800" customFormat="1" ht="14.25" customHeight="1">
      <c r="A107" s="794">
        <v>105</v>
      </c>
      <c r="B107" s="785" t="s">
        <v>148</v>
      </c>
      <c r="C107" s="785" t="s">
        <v>1299</v>
      </c>
      <c r="D107" s="792">
        <v>40664</v>
      </c>
      <c r="E107" s="792">
        <v>40756</v>
      </c>
      <c r="F107" s="934">
        <v>2011</v>
      </c>
      <c r="G107" s="785" t="s">
        <v>925</v>
      </c>
      <c r="H107" s="837" t="s">
        <v>1449</v>
      </c>
      <c r="I107" s="785" t="s">
        <v>924</v>
      </c>
      <c r="J107" s="800" t="s">
        <v>2331</v>
      </c>
      <c r="K107" s="842">
        <v>1731900</v>
      </c>
      <c r="L107" s="842">
        <v>133744</v>
      </c>
      <c r="M107" s="920">
        <v>130549</v>
      </c>
      <c r="N107" s="920">
        <v>130549</v>
      </c>
      <c r="O107" s="808">
        <f t="shared" si="9"/>
        <v>7.5379063456319645E-2</v>
      </c>
      <c r="P107" s="842">
        <v>97.75</v>
      </c>
      <c r="Q107" s="842" t="s">
        <v>75</v>
      </c>
      <c r="R107" s="842" t="s">
        <v>75</v>
      </c>
      <c r="S107" s="842" t="s">
        <v>75</v>
      </c>
      <c r="T107" s="842" t="s">
        <v>233</v>
      </c>
      <c r="U107" s="842" t="s">
        <v>75</v>
      </c>
      <c r="V107" s="842" t="s">
        <v>75</v>
      </c>
      <c r="W107" s="842"/>
      <c r="X107" s="842"/>
      <c r="Y107" s="842"/>
      <c r="Z107" s="842"/>
      <c r="AA107" s="842">
        <v>1731900</v>
      </c>
      <c r="AB107" s="842">
        <v>200</v>
      </c>
      <c r="AC107" s="842" t="s">
        <v>75</v>
      </c>
      <c r="AD107" s="842" t="s">
        <v>75</v>
      </c>
      <c r="AE107" s="842"/>
      <c r="AF107" s="842" t="s">
        <v>75</v>
      </c>
      <c r="AG107" s="842" t="s">
        <v>75</v>
      </c>
      <c r="AH107" s="842" t="s">
        <v>75</v>
      </c>
      <c r="AI107" s="842" t="s">
        <v>75</v>
      </c>
      <c r="AJ107" s="787">
        <f t="shared" si="8"/>
        <v>1731900</v>
      </c>
      <c r="AK107" s="842"/>
      <c r="AL107" s="842"/>
      <c r="AM107" s="842"/>
      <c r="AN107" s="842"/>
      <c r="AO107" s="842"/>
      <c r="AP107" s="842"/>
      <c r="AQ107" s="842"/>
      <c r="AR107" s="842"/>
      <c r="AS107" s="842" t="s">
        <v>75</v>
      </c>
      <c r="AT107" s="842" t="s">
        <v>75</v>
      </c>
      <c r="AU107" s="842" t="s">
        <v>480</v>
      </c>
    </row>
    <row r="108" spans="1:47" s="800" customFormat="1" ht="14.25" customHeight="1">
      <c r="A108" s="794">
        <v>106</v>
      </c>
      <c r="B108" s="800" t="s">
        <v>12</v>
      </c>
      <c r="C108" s="800" t="s">
        <v>1299</v>
      </c>
      <c r="D108" s="819">
        <v>40848</v>
      </c>
      <c r="E108" s="819">
        <v>40878</v>
      </c>
      <c r="F108" s="934">
        <v>2011</v>
      </c>
      <c r="G108" s="800" t="s">
        <v>863</v>
      </c>
      <c r="H108" s="837" t="s">
        <v>1449</v>
      </c>
      <c r="I108" s="800" t="s">
        <v>1354</v>
      </c>
      <c r="J108" s="800" t="s">
        <v>2331</v>
      </c>
      <c r="K108" s="808">
        <v>2122964</v>
      </c>
      <c r="L108" s="808">
        <v>314019</v>
      </c>
      <c r="M108" s="808">
        <v>314019</v>
      </c>
      <c r="N108" s="808">
        <v>314019</v>
      </c>
      <c r="O108" s="808">
        <f t="shared" si="9"/>
        <v>0.14791536738258398</v>
      </c>
      <c r="P108" s="920" t="s">
        <v>66</v>
      </c>
      <c r="Q108" s="808"/>
      <c r="R108" s="808"/>
      <c r="S108" s="808"/>
      <c r="T108" s="808"/>
      <c r="U108" s="808"/>
      <c r="V108" s="808"/>
      <c r="W108" s="808"/>
      <c r="X108" s="808"/>
      <c r="Y108" s="808"/>
      <c r="Z108" s="808"/>
      <c r="AA108" s="808">
        <v>2122964</v>
      </c>
      <c r="AB108" s="808">
        <v>3542</v>
      </c>
      <c r="AC108" s="808"/>
      <c r="AD108" s="808"/>
      <c r="AE108" s="808"/>
      <c r="AF108" s="808"/>
      <c r="AG108" s="808"/>
      <c r="AH108" s="808"/>
      <c r="AI108" s="808"/>
      <c r="AJ108" s="787">
        <f t="shared" si="8"/>
        <v>2122964</v>
      </c>
      <c r="AK108" s="808"/>
      <c r="AL108" s="808"/>
      <c r="AM108" s="808"/>
      <c r="AN108" s="808"/>
      <c r="AO108" s="808"/>
      <c r="AP108" s="808"/>
      <c r="AQ108" s="808"/>
      <c r="AR108" s="808"/>
      <c r="AS108" s="808"/>
      <c r="AT108" s="808"/>
      <c r="AU108" s="800" t="s">
        <v>1353</v>
      </c>
    </row>
    <row r="109" spans="1:47" s="800" customFormat="1" ht="14.25" customHeight="1">
      <c r="A109" s="794">
        <v>107</v>
      </c>
      <c r="B109" s="785" t="s">
        <v>148</v>
      </c>
      <c r="C109" s="785" t="s">
        <v>1299</v>
      </c>
      <c r="D109" s="792">
        <v>40544</v>
      </c>
      <c r="E109" s="792">
        <v>40634</v>
      </c>
      <c r="F109" s="934">
        <v>2011</v>
      </c>
      <c r="G109" s="785" t="s">
        <v>866</v>
      </c>
      <c r="H109" s="837" t="s">
        <v>1449</v>
      </c>
      <c r="I109" s="785" t="s">
        <v>867</v>
      </c>
      <c r="J109" s="800" t="s">
        <v>2331</v>
      </c>
      <c r="K109" s="842">
        <v>2135700</v>
      </c>
      <c r="L109" s="842">
        <v>195182</v>
      </c>
      <c r="M109" s="920">
        <v>194658</v>
      </c>
      <c r="N109" s="842">
        <v>194658</v>
      </c>
      <c r="O109" s="808">
        <f t="shared" si="9"/>
        <v>9.1144823711195394E-2</v>
      </c>
      <c r="P109" s="842">
        <v>100</v>
      </c>
      <c r="Q109" s="842"/>
      <c r="R109" s="842"/>
      <c r="S109" s="842"/>
      <c r="T109" s="842"/>
      <c r="U109" s="842"/>
      <c r="V109" s="842"/>
      <c r="W109" s="842"/>
      <c r="X109" s="842"/>
      <c r="Y109" s="842"/>
      <c r="Z109" s="842"/>
      <c r="AA109" s="842">
        <v>727255</v>
      </c>
      <c r="AB109" s="842">
        <v>590</v>
      </c>
      <c r="AC109" s="842"/>
      <c r="AD109" s="842" t="s">
        <v>94</v>
      </c>
      <c r="AE109" s="842"/>
      <c r="AF109" s="842"/>
      <c r="AG109" s="842"/>
      <c r="AH109" s="842"/>
      <c r="AI109" s="842"/>
      <c r="AJ109" s="787">
        <f t="shared" si="8"/>
        <v>727255</v>
      </c>
      <c r="AK109" s="842"/>
      <c r="AL109" s="842"/>
      <c r="AM109" s="842"/>
      <c r="AN109" s="842"/>
      <c r="AO109" s="842"/>
      <c r="AP109" s="842"/>
      <c r="AQ109" s="842"/>
      <c r="AR109" s="842"/>
      <c r="AS109" s="842"/>
      <c r="AT109" s="842"/>
      <c r="AU109" s="265" t="s">
        <v>868</v>
      </c>
    </row>
    <row r="110" spans="1:47" s="800" customFormat="1" ht="14.25" customHeight="1">
      <c r="A110" s="794">
        <v>108</v>
      </c>
      <c r="B110" s="812" t="s">
        <v>6</v>
      </c>
      <c r="C110" s="785" t="s">
        <v>1261</v>
      </c>
      <c r="D110" s="925">
        <v>40725</v>
      </c>
      <c r="E110" s="925">
        <v>40878</v>
      </c>
      <c r="F110" s="934">
        <v>2011</v>
      </c>
      <c r="G110" s="812" t="s">
        <v>7</v>
      </c>
      <c r="H110" s="837" t="s">
        <v>1451</v>
      </c>
      <c r="I110" s="812" t="s">
        <v>434</v>
      </c>
      <c r="J110" s="812" t="s">
        <v>2438</v>
      </c>
      <c r="K110" s="871">
        <v>7300000</v>
      </c>
      <c r="L110" s="871">
        <v>2148592</v>
      </c>
      <c r="M110" s="871">
        <v>1866876</v>
      </c>
      <c r="N110" s="871">
        <v>1690166</v>
      </c>
      <c r="O110" s="808">
        <f t="shared" si="9"/>
        <v>0.23152958904109588</v>
      </c>
      <c r="P110" s="871">
        <v>86.8</v>
      </c>
      <c r="Q110" s="871">
        <v>4750</v>
      </c>
      <c r="R110" s="871">
        <v>2275</v>
      </c>
      <c r="S110" s="871">
        <v>4750</v>
      </c>
      <c r="T110" s="871" t="s">
        <v>94</v>
      </c>
      <c r="U110" s="871"/>
      <c r="V110" s="871">
        <v>2275</v>
      </c>
      <c r="W110" s="871">
        <v>53063</v>
      </c>
      <c r="X110" s="871">
        <v>44568</v>
      </c>
      <c r="Y110" s="808">
        <f>X110/S110</f>
        <v>9.3827368421052633</v>
      </c>
      <c r="Z110" s="871"/>
      <c r="AA110" s="871">
        <v>60000</v>
      </c>
      <c r="AB110" s="871"/>
      <c r="AC110" s="871"/>
      <c r="AD110" s="871"/>
      <c r="AE110" s="871"/>
      <c r="AF110" s="871"/>
      <c r="AG110" s="871"/>
      <c r="AH110" s="871" t="s">
        <v>2</v>
      </c>
      <c r="AI110" s="871"/>
      <c r="AJ110" s="787">
        <f t="shared" si="8"/>
        <v>60000</v>
      </c>
      <c r="AK110" s="871">
        <v>4730</v>
      </c>
      <c r="AL110" s="871">
        <v>2008</v>
      </c>
      <c r="AM110" s="871"/>
      <c r="AN110" s="871"/>
      <c r="AO110" s="871"/>
      <c r="AP110" s="871"/>
      <c r="AQ110" s="871"/>
      <c r="AR110" s="871"/>
      <c r="AS110" s="871"/>
      <c r="AT110" s="871"/>
      <c r="AU110" s="265" t="s">
        <v>68</v>
      </c>
    </row>
    <row r="111" spans="1:47" s="800" customFormat="1" ht="14.25" customHeight="1">
      <c r="A111" s="794">
        <v>109</v>
      </c>
      <c r="B111" s="800" t="s">
        <v>871</v>
      </c>
      <c r="C111" s="800" t="s">
        <v>1260</v>
      </c>
      <c r="D111" s="894">
        <v>40695</v>
      </c>
      <c r="E111" s="894">
        <v>40725</v>
      </c>
      <c r="F111" s="934">
        <v>2011</v>
      </c>
      <c r="G111" s="821" t="s">
        <v>1482</v>
      </c>
      <c r="H111" s="837" t="s">
        <v>1453</v>
      </c>
      <c r="I111" s="821" t="s">
        <v>1483</v>
      </c>
      <c r="J111" s="800" t="s">
        <v>2331</v>
      </c>
      <c r="K111" s="787" t="s">
        <v>134</v>
      </c>
      <c r="L111" s="822">
        <v>33015</v>
      </c>
      <c r="M111" s="822">
        <v>33015</v>
      </c>
      <c r="N111" s="822">
        <v>33015</v>
      </c>
      <c r="O111" s="808"/>
      <c r="P111" s="816">
        <v>100</v>
      </c>
      <c r="Q111" s="787"/>
      <c r="R111" s="787"/>
      <c r="S111" s="787"/>
      <c r="T111" s="822"/>
      <c r="U111" s="822"/>
      <c r="V111" s="822"/>
      <c r="W111" s="816" t="s">
        <v>66</v>
      </c>
      <c r="X111" s="816" t="s">
        <v>66</v>
      </c>
      <c r="Y111" s="816"/>
      <c r="Z111" s="822"/>
      <c r="AA111" s="822"/>
      <c r="AB111" s="822"/>
      <c r="AC111" s="822"/>
      <c r="AD111" s="816"/>
      <c r="AE111" s="822"/>
      <c r="AF111" s="822"/>
      <c r="AG111" s="822"/>
      <c r="AH111" s="816"/>
      <c r="AI111" s="822"/>
      <c r="AJ111" s="787">
        <f t="shared" si="8"/>
        <v>0</v>
      </c>
      <c r="AK111" s="816" t="s">
        <v>66</v>
      </c>
      <c r="AL111" s="816" t="s">
        <v>66</v>
      </c>
      <c r="AM111" s="822"/>
      <c r="AN111" s="822"/>
      <c r="AO111" s="822"/>
      <c r="AP111" s="822"/>
      <c r="AQ111" s="822"/>
      <c r="AR111" s="822"/>
      <c r="AS111" s="822"/>
      <c r="AT111" s="822"/>
      <c r="AU111" s="821" t="s">
        <v>1481</v>
      </c>
    </row>
    <row r="112" spans="1:47" s="800" customFormat="1" ht="14.25" customHeight="1">
      <c r="A112" s="794">
        <v>110</v>
      </c>
      <c r="B112" s="785" t="s">
        <v>466</v>
      </c>
      <c r="C112" s="785" t="s">
        <v>1261</v>
      </c>
      <c r="D112" s="792">
        <v>40725</v>
      </c>
      <c r="E112" s="792">
        <v>40817</v>
      </c>
      <c r="F112" s="934">
        <v>2011</v>
      </c>
      <c r="G112" s="785" t="s">
        <v>914</v>
      </c>
      <c r="H112" s="837" t="s">
        <v>1449</v>
      </c>
      <c r="I112" s="785" t="s">
        <v>928</v>
      </c>
      <c r="J112" s="800" t="s">
        <v>2331</v>
      </c>
      <c r="K112" s="842" t="s">
        <v>134</v>
      </c>
      <c r="L112" s="842">
        <v>42600</v>
      </c>
      <c r="M112" s="842">
        <v>42600</v>
      </c>
      <c r="N112" s="842">
        <v>42438</v>
      </c>
      <c r="O112" s="808"/>
      <c r="P112" s="842">
        <v>100</v>
      </c>
      <c r="Q112" s="842" t="s">
        <v>134</v>
      </c>
      <c r="R112" s="842" t="s">
        <v>75</v>
      </c>
      <c r="S112" s="842" t="s">
        <v>134</v>
      </c>
      <c r="T112" s="842" t="s">
        <v>233</v>
      </c>
      <c r="U112" s="842" t="s">
        <v>75</v>
      </c>
      <c r="V112" s="842" t="s">
        <v>75</v>
      </c>
      <c r="W112" s="842" t="s">
        <v>66</v>
      </c>
      <c r="X112" s="842" t="s">
        <v>66</v>
      </c>
      <c r="Y112" s="842"/>
      <c r="Z112" s="842" t="s">
        <v>75</v>
      </c>
      <c r="AA112" s="842" t="s">
        <v>134</v>
      </c>
      <c r="AB112" s="842">
        <v>17</v>
      </c>
      <c r="AC112" s="842" t="s">
        <v>75</v>
      </c>
      <c r="AD112" s="842" t="s">
        <v>75</v>
      </c>
      <c r="AE112" s="842" t="s">
        <v>75</v>
      </c>
      <c r="AF112" s="842" t="s">
        <v>75</v>
      </c>
      <c r="AG112" s="842" t="s">
        <v>75</v>
      </c>
      <c r="AH112" s="842" t="s">
        <v>75</v>
      </c>
      <c r="AI112" s="842" t="s">
        <v>75</v>
      </c>
      <c r="AJ112" s="787">
        <f t="shared" si="8"/>
        <v>0</v>
      </c>
      <c r="AK112" s="842" t="s">
        <v>66</v>
      </c>
      <c r="AL112" s="842" t="s">
        <v>66</v>
      </c>
      <c r="AM112" s="842"/>
      <c r="AN112" s="842"/>
      <c r="AO112" s="842"/>
      <c r="AP112" s="842"/>
      <c r="AQ112" s="842"/>
      <c r="AR112" s="842"/>
      <c r="AS112" s="842" t="s">
        <v>75</v>
      </c>
      <c r="AT112" s="842" t="s">
        <v>75</v>
      </c>
      <c r="AU112" s="275" t="s">
        <v>467</v>
      </c>
    </row>
    <row r="113" spans="1:47" s="815" customFormat="1" ht="14.25" customHeight="1">
      <c r="A113" s="794">
        <v>111</v>
      </c>
      <c r="B113" s="785" t="s">
        <v>270</v>
      </c>
      <c r="C113" s="842" t="s">
        <v>1299</v>
      </c>
      <c r="D113" s="792">
        <v>40848</v>
      </c>
      <c r="E113" s="792"/>
      <c r="F113" s="934">
        <v>2011</v>
      </c>
      <c r="G113" s="785" t="s">
        <v>1313</v>
      </c>
      <c r="H113" s="841" t="s">
        <v>1452</v>
      </c>
      <c r="I113" s="785" t="s">
        <v>1311</v>
      </c>
      <c r="J113" s="800" t="s">
        <v>2331</v>
      </c>
      <c r="K113" s="842" t="s">
        <v>134</v>
      </c>
      <c r="L113" s="842">
        <v>67867</v>
      </c>
      <c r="M113" s="842">
        <v>67867</v>
      </c>
      <c r="N113" s="842">
        <v>66014</v>
      </c>
      <c r="O113" s="808"/>
      <c r="P113" s="920">
        <v>100</v>
      </c>
      <c r="Q113" s="842" t="s">
        <v>75</v>
      </c>
      <c r="R113" s="842" t="s">
        <v>75</v>
      </c>
      <c r="S113" s="842" t="s">
        <v>75</v>
      </c>
      <c r="T113" s="842" t="s">
        <v>233</v>
      </c>
      <c r="U113" s="842" t="s">
        <v>75</v>
      </c>
      <c r="V113" s="842" t="s">
        <v>75</v>
      </c>
      <c r="W113" s="920" t="s">
        <v>66</v>
      </c>
      <c r="X113" s="920" t="s">
        <v>66</v>
      </c>
      <c r="Y113" s="920"/>
      <c r="Z113" s="842"/>
      <c r="AA113" s="842"/>
      <c r="AB113" s="842">
        <v>250</v>
      </c>
      <c r="AC113" s="842">
        <v>180</v>
      </c>
      <c r="AD113" s="842"/>
      <c r="AE113" s="842"/>
      <c r="AF113" s="842"/>
      <c r="AG113" s="842"/>
      <c r="AH113" s="842"/>
      <c r="AI113" s="842"/>
      <c r="AJ113" s="808">
        <f t="shared" si="8"/>
        <v>0</v>
      </c>
      <c r="AK113" s="842">
        <v>18500</v>
      </c>
      <c r="AL113" s="842">
        <v>12514</v>
      </c>
      <c r="AM113" s="842"/>
      <c r="AN113" s="842"/>
      <c r="AO113" s="842"/>
      <c r="AP113" s="842"/>
      <c r="AQ113" s="842"/>
      <c r="AR113" s="842"/>
      <c r="AS113" s="842"/>
      <c r="AT113" s="842"/>
      <c r="AU113" s="275" t="s">
        <v>1312</v>
      </c>
    </row>
    <row r="114" spans="1:47" s="837" customFormat="1" ht="17.25" customHeight="1">
      <c r="A114" s="794">
        <v>112</v>
      </c>
      <c r="B114" s="933" t="s">
        <v>1073</v>
      </c>
      <c r="C114" s="790" t="s">
        <v>1286</v>
      </c>
      <c r="D114" s="824">
        <v>40330</v>
      </c>
      <c r="E114" s="824">
        <v>40664</v>
      </c>
      <c r="F114" s="911">
        <v>2010</v>
      </c>
      <c r="G114" s="932" t="s">
        <v>1074</v>
      </c>
      <c r="H114" s="837" t="s">
        <v>1450</v>
      </c>
      <c r="I114" s="837" t="s">
        <v>1077</v>
      </c>
      <c r="J114" s="812" t="s">
        <v>2438</v>
      </c>
      <c r="K114" s="787">
        <v>7500</v>
      </c>
      <c r="L114" s="787">
        <v>1286382</v>
      </c>
      <c r="M114" s="787">
        <v>1327946</v>
      </c>
      <c r="N114" s="787">
        <v>1210308</v>
      </c>
      <c r="O114" s="808">
        <f t="shared" ref="O114:O145" si="10">N114/K114</f>
        <v>161.37440000000001</v>
      </c>
      <c r="P114" s="787">
        <v>103</v>
      </c>
      <c r="Q114" s="787">
        <v>3371</v>
      </c>
      <c r="R114" s="787">
        <v>7500</v>
      </c>
      <c r="S114" s="787">
        <v>7500</v>
      </c>
      <c r="T114" s="787" t="s">
        <v>2</v>
      </c>
      <c r="U114" s="787">
        <v>54</v>
      </c>
      <c r="V114" s="787">
        <v>1449</v>
      </c>
      <c r="W114" s="787">
        <v>182022</v>
      </c>
      <c r="X114" s="787">
        <v>172592</v>
      </c>
      <c r="Y114" s="808">
        <f>X114/S114</f>
        <v>23.012266666666665</v>
      </c>
      <c r="Z114" s="787">
        <v>927</v>
      </c>
      <c r="AA114" s="787">
        <v>2658</v>
      </c>
      <c r="AB114" s="787"/>
      <c r="AC114" s="787"/>
      <c r="AD114" s="808"/>
      <c r="AE114" s="787">
        <v>3000</v>
      </c>
      <c r="AF114" s="787"/>
      <c r="AG114" s="787"/>
      <c r="AH114" s="808"/>
      <c r="AI114" s="787"/>
      <c r="AJ114" s="787">
        <f t="shared" si="8"/>
        <v>3585</v>
      </c>
      <c r="AK114" s="787">
        <v>5793</v>
      </c>
      <c r="AL114" s="787">
        <v>7379</v>
      </c>
      <c r="AM114" s="787"/>
      <c r="AN114" s="787"/>
      <c r="AO114" s="787"/>
      <c r="AP114" s="787"/>
      <c r="AQ114" s="787"/>
      <c r="AR114" s="787"/>
      <c r="AS114" s="787"/>
      <c r="AT114" s="787"/>
      <c r="AU114" s="352" t="s">
        <v>1097</v>
      </c>
    </row>
    <row r="115" spans="1:47" s="837" customFormat="1" ht="19.5" customHeight="1">
      <c r="A115" s="794">
        <v>113</v>
      </c>
      <c r="B115" s="933" t="s">
        <v>170</v>
      </c>
      <c r="C115" s="790" t="s">
        <v>1299</v>
      </c>
      <c r="D115" s="824">
        <v>40483</v>
      </c>
      <c r="E115" s="824">
        <v>40756</v>
      </c>
      <c r="F115" s="911">
        <v>2010</v>
      </c>
      <c r="G115" s="932" t="s">
        <v>1076</v>
      </c>
      <c r="H115" s="837" t="s">
        <v>1449</v>
      </c>
      <c r="I115" s="837" t="s">
        <v>1079</v>
      </c>
      <c r="J115" s="812" t="s">
        <v>2438</v>
      </c>
      <c r="K115" s="787">
        <v>3000000</v>
      </c>
      <c r="L115" s="787">
        <v>1505011</v>
      </c>
      <c r="M115" s="787">
        <v>419748</v>
      </c>
      <c r="N115" s="787">
        <v>419748</v>
      </c>
      <c r="O115" s="808">
        <f t="shared" si="10"/>
        <v>0.13991600000000001</v>
      </c>
      <c r="P115" s="842">
        <v>28</v>
      </c>
      <c r="Q115" s="787" t="s">
        <v>75</v>
      </c>
      <c r="R115" s="787" t="s">
        <v>75</v>
      </c>
      <c r="S115" s="787" t="s">
        <v>75</v>
      </c>
      <c r="T115" s="787" t="s">
        <v>233</v>
      </c>
      <c r="U115" s="787">
        <v>512</v>
      </c>
      <c r="V115" s="787">
        <v>265852</v>
      </c>
      <c r="W115" s="787">
        <v>14021</v>
      </c>
      <c r="X115" s="787">
        <v>869</v>
      </c>
      <c r="Y115" s="808"/>
      <c r="Z115" s="787"/>
      <c r="AA115" s="787">
        <v>265852</v>
      </c>
      <c r="AB115" s="787">
        <v>512</v>
      </c>
      <c r="AC115" s="787">
        <v>280</v>
      </c>
      <c r="AD115" s="808">
        <v>280</v>
      </c>
      <c r="AE115" s="787"/>
      <c r="AF115" s="787"/>
      <c r="AG115" s="787"/>
      <c r="AH115" s="808"/>
      <c r="AI115" s="787"/>
      <c r="AJ115" s="787">
        <f t="shared" si="8"/>
        <v>265852</v>
      </c>
      <c r="AK115" s="787">
        <v>75318</v>
      </c>
      <c r="AL115" s="787">
        <v>21089</v>
      </c>
      <c r="AM115" s="787"/>
      <c r="AN115" s="787"/>
      <c r="AO115" s="787"/>
      <c r="AP115" s="787"/>
      <c r="AQ115" s="787"/>
      <c r="AR115" s="787"/>
      <c r="AS115" s="787"/>
      <c r="AT115" s="787"/>
      <c r="AU115" s="277" t="s">
        <v>1099</v>
      </c>
    </row>
    <row r="116" spans="1:47" s="837" customFormat="1" ht="14.1" customHeight="1">
      <c r="A116" s="794">
        <v>114</v>
      </c>
      <c r="B116" s="933" t="s">
        <v>15</v>
      </c>
      <c r="C116" s="790" t="s">
        <v>1286</v>
      </c>
      <c r="D116" s="824">
        <v>40483</v>
      </c>
      <c r="E116" s="824">
        <v>40695</v>
      </c>
      <c r="F116" s="911">
        <v>2010</v>
      </c>
      <c r="G116" s="932" t="s">
        <v>5</v>
      </c>
      <c r="H116" s="837" t="s">
        <v>1451</v>
      </c>
      <c r="I116" s="837" t="s">
        <v>1080</v>
      </c>
      <c r="J116" s="812" t="s">
        <v>2438</v>
      </c>
      <c r="K116" s="787">
        <v>12725</v>
      </c>
      <c r="L116" s="787">
        <v>701023</v>
      </c>
      <c r="M116" s="787">
        <v>327541</v>
      </c>
      <c r="N116" s="787">
        <v>327514</v>
      </c>
      <c r="O116" s="808">
        <f t="shared" si="10"/>
        <v>25.737838899803535</v>
      </c>
      <c r="P116" s="842">
        <v>47</v>
      </c>
      <c r="Q116" s="787">
        <v>2000</v>
      </c>
      <c r="R116" s="787" t="s">
        <v>75</v>
      </c>
      <c r="S116" s="787">
        <v>2000</v>
      </c>
      <c r="T116" s="787" t="s">
        <v>233</v>
      </c>
      <c r="U116" s="787" t="s">
        <v>134</v>
      </c>
      <c r="V116" s="787">
        <v>1922</v>
      </c>
      <c r="W116" s="787">
        <v>48960</v>
      </c>
      <c r="X116" s="787">
        <v>103425</v>
      </c>
      <c r="Y116" s="808">
        <f t="shared" ref="Y116:Y126" si="11">X116/S116</f>
        <v>51.712499999999999</v>
      </c>
      <c r="Z116" s="787"/>
      <c r="AA116" s="787"/>
      <c r="AB116" s="787">
        <v>353</v>
      </c>
      <c r="AC116" s="787"/>
      <c r="AD116" s="808"/>
      <c r="AE116" s="787">
        <v>4410</v>
      </c>
      <c r="AF116" s="787"/>
      <c r="AG116" s="787"/>
      <c r="AH116" s="808"/>
      <c r="AI116" s="787"/>
      <c r="AJ116" s="787">
        <f t="shared" si="8"/>
        <v>0</v>
      </c>
      <c r="AK116" s="787" t="s">
        <v>66</v>
      </c>
      <c r="AL116" s="787" t="s">
        <v>66</v>
      </c>
      <c r="AM116" s="787"/>
      <c r="AN116" s="787"/>
      <c r="AO116" s="787"/>
      <c r="AP116" s="787"/>
      <c r="AQ116" s="787"/>
      <c r="AR116" s="787"/>
      <c r="AS116" s="787"/>
      <c r="AT116" s="787"/>
      <c r="AU116" s="277" t="s">
        <v>1100</v>
      </c>
    </row>
    <row r="117" spans="1:47" s="841" customFormat="1" ht="16.5" customHeight="1">
      <c r="A117" s="794">
        <v>115</v>
      </c>
      <c r="B117" s="921" t="s">
        <v>259</v>
      </c>
      <c r="C117" s="800" t="s">
        <v>1261</v>
      </c>
      <c r="D117" s="819">
        <v>40452</v>
      </c>
      <c r="E117" s="819">
        <v>40787</v>
      </c>
      <c r="F117" s="911">
        <v>2010</v>
      </c>
      <c r="G117" s="931" t="s">
        <v>5</v>
      </c>
      <c r="H117" s="837" t="s">
        <v>1451</v>
      </c>
      <c r="I117" s="841" t="s">
        <v>1081</v>
      </c>
      <c r="J117" s="812" t="s">
        <v>2438</v>
      </c>
      <c r="K117" s="808">
        <v>28500</v>
      </c>
      <c r="L117" s="808">
        <v>1070620</v>
      </c>
      <c r="M117" s="808">
        <v>1057923</v>
      </c>
      <c r="N117" s="808">
        <v>1021022</v>
      </c>
      <c r="O117" s="808">
        <f t="shared" si="10"/>
        <v>35.825333333333333</v>
      </c>
      <c r="P117" s="808">
        <v>99</v>
      </c>
      <c r="Q117" s="808">
        <v>24360</v>
      </c>
      <c r="R117" s="808" t="s">
        <v>75</v>
      </c>
      <c r="S117" s="808">
        <v>24360</v>
      </c>
      <c r="T117" s="787" t="s">
        <v>233</v>
      </c>
      <c r="U117" s="808">
        <v>49</v>
      </c>
      <c r="V117" s="808"/>
      <c r="W117" s="808">
        <v>85040</v>
      </c>
      <c r="X117" s="808">
        <v>61236</v>
      </c>
      <c r="Y117" s="808">
        <f t="shared" si="11"/>
        <v>2.5137931034482759</v>
      </c>
      <c r="Z117" s="808">
        <v>605</v>
      </c>
      <c r="AA117" s="808"/>
      <c r="AB117" s="808">
        <v>126</v>
      </c>
      <c r="AC117" s="808"/>
      <c r="AD117" s="808"/>
      <c r="AE117" s="808"/>
      <c r="AF117" s="808"/>
      <c r="AG117" s="808"/>
      <c r="AH117" s="808"/>
      <c r="AI117" s="808"/>
      <c r="AJ117" s="787">
        <f t="shared" si="8"/>
        <v>605</v>
      </c>
      <c r="AK117" s="808" t="s">
        <v>66</v>
      </c>
      <c r="AL117" s="808" t="s">
        <v>66</v>
      </c>
      <c r="AM117" s="808"/>
      <c r="AN117" s="808"/>
      <c r="AO117" s="808"/>
      <c r="AP117" s="808"/>
      <c r="AQ117" s="808"/>
      <c r="AR117" s="808"/>
      <c r="AS117" s="808"/>
      <c r="AT117" s="808"/>
      <c r="AU117" s="303" t="s">
        <v>1101</v>
      </c>
    </row>
    <row r="118" spans="1:47" s="904" customFormat="1" ht="14.25" customHeight="1">
      <c r="A118" s="794">
        <v>116</v>
      </c>
      <c r="B118" s="812" t="s">
        <v>15</v>
      </c>
      <c r="C118" s="785" t="s">
        <v>1286</v>
      </c>
      <c r="D118" s="925">
        <v>40483</v>
      </c>
      <c r="E118" s="792">
        <v>40544</v>
      </c>
      <c r="F118" s="911">
        <v>2010</v>
      </c>
      <c r="G118" s="812" t="s">
        <v>5</v>
      </c>
      <c r="H118" s="841" t="s">
        <v>1451</v>
      </c>
      <c r="I118" s="812" t="s">
        <v>17</v>
      </c>
      <c r="J118" s="812" t="s">
        <v>2438</v>
      </c>
      <c r="K118" s="871">
        <v>12725</v>
      </c>
      <c r="L118" s="871">
        <v>701023</v>
      </c>
      <c r="M118" s="871">
        <v>327541</v>
      </c>
      <c r="N118" s="871">
        <v>327514</v>
      </c>
      <c r="O118" s="808">
        <f t="shared" si="10"/>
        <v>25.737838899803535</v>
      </c>
      <c r="P118" s="871">
        <v>46.7</v>
      </c>
      <c r="Q118" s="871">
        <v>5000</v>
      </c>
      <c r="R118" s="871"/>
      <c r="S118" s="871">
        <v>5000</v>
      </c>
      <c r="T118" s="871"/>
      <c r="U118" s="871"/>
      <c r="V118" s="871">
        <v>500</v>
      </c>
      <c r="W118" s="871">
        <v>48960</v>
      </c>
      <c r="X118" s="871">
        <v>103425</v>
      </c>
      <c r="Y118" s="808">
        <f t="shared" si="11"/>
        <v>20.684999999999999</v>
      </c>
      <c r="Z118" s="871">
        <v>750</v>
      </c>
      <c r="AA118" s="871">
        <v>1922</v>
      </c>
      <c r="AB118" s="871">
        <v>1015</v>
      </c>
      <c r="AC118" s="871"/>
      <c r="AD118" s="871"/>
      <c r="AE118" s="871">
        <v>4410</v>
      </c>
      <c r="AF118" s="871"/>
      <c r="AG118" s="871"/>
      <c r="AH118" s="871"/>
      <c r="AI118" s="871"/>
      <c r="AJ118" s="787">
        <f t="shared" si="8"/>
        <v>2672</v>
      </c>
      <c r="AK118" s="871" t="s">
        <v>66</v>
      </c>
      <c r="AL118" s="871" t="s">
        <v>66</v>
      </c>
      <c r="AM118" s="871"/>
      <c r="AN118" s="871"/>
      <c r="AO118" s="871"/>
      <c r="AP118" s="871"/>
      <c r="AQ118" s="871"/>
      <c r="AR118" s="871"/>
      <c r="AS118" s="871" t="s">
        <v>2</v>
      </c>
      <c r="AT118" s="871"/>
      <c r="AU118" s="265" t="s">
        <v>572</v>
      </c>
    </row>
    <row r="119" spans="1:47" s="904" customFormat="1" ht="19.5" customHeight="1">
      <c r="A119" s="794">
        <v>117</v>
      </c>
      <c r="B119" s="812" t="s">
        <v>1523</v>
      </c>
      <c r="C119" s="785" t="s">
        <v>1286</v>
      </c>
      <c r="D119" s="925">
        <v>40513</v>
      </c>
      <c r="E119" s="925">
        <v>40940</v>
      </c>
      <c r="F119" s="911">
        <v>2010</v>
      </c>
      <c r="G119" s="836" t="s">
        <v>1447</v>
      </c>
      <c r="H119" s="841" t="s">
        <v>1449</v>
      </c>
      <c r="I119" s="812" t="s">
        <v>60</v>
      </c>
      <c r="J119" s="812" t="s">
        <v>2438</v>
      </c>
      <c r="K119" s="871">
        <v>650000</v>
      </c>
      <c r="L119" s="871">
        <v>11486804</v>
      </c>
      <c r="M119" s="871">
        <v>9318581</v>
      </c>
      <c r="N119" s="930">
        <v>7327264</v>
      </c>
      <c r="O119" s="808">
        <f t="shared" si="10"/>
        <v>11.272713846153847</v>
      </c>
      <c r="P119" s="871">
        <v>81</v>
      </c>
      <c r="Q119" s="871">
        <v>50000</v>
      </c>
      <c r="R119" s="929">
        <v>50000</v>
      </c>
      <c r="S119" s="871">
        <v>50000</v>
      </c>
      <c r="T119" s="871" t="s">
        <v>94</v>
      </c>
      <c r="U119" s="871">
        <v>500</v>
      </c>
      <c r="V119" s="871">
        <v>50000</v>
      </c>
      <c r="W119" s="871">
        <v>2386797</v>
      </c>
      <c r="X119" s="930">
        <v>1736253</v>
      </c>
      <c r="Y119" s="808">
        <f t="shared" si="11"/>
        <v>34.725059999999999</v>
      </c>
      <c r="Z119" s="871"/>
      <c r="AA119" s="871">
        <v>250000</v>
      </c>
      <c r="AB119" s="871">
        <v>500</v>
      </c>
      <c r="AC119" s="871">
        <v>216</v>
      </c>
      <c r="AD119" s="871">
        <v>1000</v>
      </c>
      <c r="AE119" s="871"/>
      <c r="AF119" s="871"/>
      <c r="AG119" s="871"/>
      <c r="AH119" s="871">
        <v>2597</v>
      </c>
      <c r="AI119" s="871"/>
      <c r="AJ119" s="787">
        <f t="shared" si="8"/>
        <v>252597</v>
      </c>
      <c r="AK119" s="871">
        <v>1139014</v>
      </c>
      <c r="AL119" s="871">
        <v>1066188</v>
      </c>
      <c r="AM119" s="871"/>
      <c r="AN119" s="871"/>
      <c r="AO119" s="871"/>
      <c r="AP119" s="871"/>
      <c r="AQ119" s="871"/>
      <c r="AR119" s="871">
        <v>3</v>
      </c>
      <c r="AS119" s="871"/>
      <c r="AT119" s="871"/>
      <c r="AU119" s="299" t="s">
        <v>1544</v>
      </c>
    </row>
    <row r="120" spans="1:47" s="904" customFormat="1" ht="14.25" customHeight="1">
      <c r="A120" s="794">
        <v>118</v>
      </c>
      <c r="B120" s="812" t="s">
        <v>20</v>
      </c>
      <c r="C120" s="785" t="s">
        <v>1286</v>
      </c>
      <c r="D120" s="925">
        <v>40513</v>
      </c>
      <c r="E120" s="925">
        <v>40756</v>
      </c>
      <c r="F120" s="911">
        <v>2010</v>
      </c>
      <c r="G120" s="812" t="s">
        <v>5</v>
      </c>
      <c r="H120" s="841" t="s">
        <v>1451</v>
      </c>
      <c r="I120" s="812" t="s">
        <v>21</v>
      </c>
      <c r="J120" s="812" t="s">
        <v>2438</v>
      </c>
      <c r="K120" s="871">
        <v>1719707</v>
      </c>
      <c r="L120" s="871">
        <v>1320879</v>
      </c>
      <c r="M120" s="871">
        <v>1114007</v>
      </c>
      <c r="N120" s="871">
        <v>932872</v>
      </c>
      <c r="O120" s="808">
        <f t="shared" si="10"/>
        <v>0.54245984926502011</v>
      </c>
      <c r="P120" s="871">
        <v>84.33</v>
      </c>
      <c r="Q120" s="871">
        <v>26646</v>
      </c>
      <c r="R120" s="871"/>
      <c r="S120" s="871">
        <v>26646</v>
      </c>
      <c r="T120" s="871"/>
      <c r="U120" s="871"/>
      <c r="V120" s="871">
        <v>42500</v>
      </c>
      <c r="W120" s="871">
        <v>363038</v>
      </c>
      <c r="X120" s="871">
        <v>228077</v>
      </c>
      <c r="Y120" s="808">
        <f t="shared" si="11"/>
        <v>8.5595211288748771</v>
      </c>
      <c r="Z120" s="871">
        <v>3135</v>
      </c>
      <c r="AA120" s="871">
        <v>3135</v>
      </c>
      <c r="AB120" s="871"/>
      <c r="AC120" s="871"/>
      <c r="AD120" s="871"/>
      <c r="AE120" s="871">
        <v>3271</v>
      </c>
      <c r="AF120" s="871"/>
      <c r="AG120" s="871"/>
      <c r="AH120" s="871">
        <v>0</v>
      </c>
      <c r="AI120" s="871"/>
      <c r="AJ120" s="787">
        <f t="shared" ref="AJ120:AJ142" si="12">SUM(Z120,AA120,AH120)</f>
        <v>6270</v>
      </c>
      <c r="AK120" s="871">
        <v>41000</v>
      </c>
      <c r="AL120" s="871">
        <v>9591</v>
      </c>
      <c r="AM120" s="871"/>
      <c r="AN120" s="871"/>
      <c r="AO120" s="871"/>
      <c r="AP120" s="871"/>
      <c r="AQ120" s="871"/>
      <c r="AR120" s="871">
        <v>1</v>
      </c>
      <c r="AS120" s="871"/>
      <c r="AT120" s="871"/>
      <c r="AU120" s="281" t="s">
        <v>72</v>
      </c>
    </row>
    <row r="121" spans="1:47" s="904" customFormat="1" ht="14.25" customHeight="1">
      <c r="A121" s="794">
        <v>119</v>
      </c>
      <c r="B121" s="812" t="s">
        <v>22</v>
      </c>
      <c r="C121" s="785" t="s">
        <v>1286</v>
      </c>
      <c r="D121" s="925">
        <v>40452</v>
      </c>
      <c r="E121" s="925">
        <v>40725</v>
      </c>
      <c r="F121" s="911">
        <v>2010</v>
      </c>
      <c r="G121" s="812" t="s">
        <v>23</v>
      </c>
      <c r="H121" s="841" t="s">
        <v>1450</v>
      </c>
      <c r="I121" s="812" t="s">
        <v>61</v>
      </c>
      <c r="J121" s="812" t="s">
        <v>2438</v>
      </c>
      <c r="K121" s="871">
        <v>10000</v>
      </c>
      <c r="L121" s="871">
        <v>1045054</v>
      </c>
      <c r="M121" s="871">
        <v>694800</v>
      </c>
      <c r="N121" s="871">
        <v>651645</v>
      </c>
      <c r="O121" s="808">
        <f t="shared" si="10"/>
        <v>65.164500000000004</v>
      </c>
      <c r="P121" s="871">
        <v>66</v>
      </c>
      <c r="Q121" s="871">
        <v>10000</v>
      </c>
      <c r="R121" s="871"/>
      <c r="S121" s="871">
        <v>10000</v>
      </c>
      <c r="T121" s="871"/>
      <c r="U121" s="871"/>
      <c r="V121" s="871"/>
      <c r="W121" s="871">
        <v>133150</v>
      </c>
      <c r="X121" s="871">
        <v>143406</v>
      </c>
      <c r="Y121" s="808">
        <f t="shared" si="11"/>
        <v>14.3406</v>
      </c>
      <c r="Z121" s="871">
        <v>0</v>
      </c>
      <c r="AA121" s="871">
        <v>0</v>
      </c>
      <c r="AB121" s="871"/>
      <c r="AC121" s="871"/>
      <c r="AD121" s="871"/>
      <c r="AE121" s="871">
        <v>4000</v>
      </c>
      <c r="AF121" s="871"/>
      <c r="AG121" s="871"/>
      <c r="AH121" s="871">
        <v>0</v>
      </c>
      <c r="AI121" s="871"/>
      <c r="AJ121" s="787">
        <f t="shared" si="12"/>
        <v>0</v>
      </c>
      <c r="AK121" s="871" t="s">
        <v>66</v>
      </c>
      <c r="AL121" s="871" t="s">
        <v>66</v>
      </c>
      <c r="AM121" s="871"/>
      <c r="AN121" s="871"/>
      <c r="AO121" s="871"/>
      <c r="AP121" s="871"/>
      <c r="AQ121" s="871"/>
      <c r="AR121" s="871"/>
      <c r="AS121" s="871"/>
      <c r="AT121" s="871"/>
      <c r="AU121" s="281" t="s">
        <v>52</v>
      </c>
    </row>
    <row r="122" spans="1:47" s="904" customFormat="1" ht="14.25" customHeight="1">
      <c r="A122" s="794">
        <v>120</v>
      </c>
      <c r="B122" s="812" t="s">
        <v>25</v>
      </c>
      <c r="C122" s="785" t="s">
        <v>1260</v>
      </c>
      <c r="D122" s="925">
        <v>40483</v>
      </c>
      <c r="E122" s="925">
        <v>40695</v>
      </c>
      <c r="F122" s="911">
        <v>2010</v>
      </c>
      <c r="G122" s="812" t="s">
        <v>24</v>
      </c>
      <c r="H122" s="837" t="s">
        <v>1454</v>
      </c>
      <c r="I122" s="812" t="s">
        <v>62</v>
      </c>
      <c r="J122" s="812" t="s">
        <v>2438</v>
      </c>
      <c r="K122" s="871">
        <v>8000</v>
      </c>
      <c r="L122" s="871">
        <v>409759</v>
      </c>
      <c r="M122" s="871">
        <v>180379</v>
      </c>
      <c r="N122" s="871">
        <v>141863</v>
      </c>
      <c r="O122" s="808">
        <f t="shared" si="10"/>
        <v>17.732875</v>
      </c>
      <c r="P122" s="871">
        <v>44</v>
      </c>
      <c r="Q122" s="871">
        <v>2000</v>
      </c>
      <c r="R122" s="871"/>
      <c r="S122" s="871">
        <v>2000</v>
      </c>
      <c r="T122" s="871"/>
      <c r="U122" s="871"/>
      <c r="V122" s="871">
        <v>1200</v>
      </c>
      <c r="W122" s="871">
        <v>15000</v>
      </c>
      <c r="X122" s="871">
        <v>16377</v>
      </c>
      <c r="Y122" s="808">
        <f t="shared" si="11"/>
        <v>8.1884999999999994</v>
      </c>
      <c r="Z122" s="871">
        <v>2000</v>
      </c>
      <c r="AA122" s="871"/>
      <c r="AB122" s="871">
        <v>50</v>
      </c>
      <c r="AC122" s="871"/>
      <c r="AD122" s="871"/>
      <c r="AE122" s="871"/>
      <c r="AF122" s="871"/>
      <c r="AG122" s="871"/>
      <c r="AH122" s="871"/>
      <c r="AI122" s="871"/>
      <c r="AJ122" s="787">
        <f t="shared" si="12"/>
        <v>2000</v>
      </c>
      <c r="AK122" s="871" t="s">
        <v>66</v>
      </c>
      <c r="AL122" s="871" t="s">
        <v>66</v>
      </c>
      <c r="AM122" s="871"/>
      <c r="AN122" s="871"/>
      <c r="AO122" s="871"/>
      <c r="AP122" s="871"/>
      <c r="AQ122" s="871"/>
      <c r="AR122" s="871"/>
      <c r="AS122" s="871"/>
      <c r="AT122" s="871"/>
      <c r="AU122" s="281" t="s">
        <v>53</v>
      </c>
    </row>
    <row r="123" spans="1:47" s="904" customFormat="1" ht="14.25" customHeight="1">
      <c r="A123" s="794">
        <v>121</v>
      </c>
      <c r="B123" s="812" t="s">
        <v>26</v>
      </c>
      <c r="C123" s="785" t="s">
        <v>1299</v>
      </c>
      <c r="D123" s="925">
        <v>40513</v>
      </c>
      <c r="E123" s="925">
        <v>40544</v>
      </c>
      <c r="F123" s="911">
        <v>2010</v>
      </c>
      <c r="G123" s="812" t="s">
        <v>80</v>
      </c>
      <c r="H123" s="837" t="s">
        <v>1452</v>
      </c>
      <c r="I123" s="812" t="s">
        <v>64</v>
      </c>
      <c r="J123" s="812" t="s">
        <v>2438</v>
      </c>
      <c r="K123" s="871">
        <v>105000</v>
      </c>
      <c r="L123" s="871">
        <v>3030275</v>
      </c>
      <c r="M123" s="871">
        <v>1340351</v>
      </c>
      <c r="N123" s="871">
        <v>391364</v>
      </c>
      <c r="O123" s="808">
        <f t="shared" si="10"/>
        <v>3.7272761904761906</v>
      </c>
      <c r="P123" s="871">
        <v>44</v>
      </c>
      <c r="Q123" s="871">
        <v>60000</v>
      </c>
      <c r="R123" s="871"/>
      <c r="S123" s="871">
        <v>60000</v>
      </c>
      <c r="T123" s="871"/>
      <c r="U123" s="871"/>
      <c r="V123" s="871">
        <v>60000</v>
      </c>
      <c r="W123" s="871">
        <v>238038</v>
      </c>
      <c r="X123" s="871">
        <f>238038*0.44</f>
        <v>104736.72</v>
      </c>
      <c r="Y123" s="808">
        <f t="shared" si="11"/>
        <v>1.7456119999999999</v>
      </c>
      <c r="Z123" s="871"/>
      <c r="AA123" s="871"/>
      <c r="AB123" s="871"/>
      <c r="AC123" s="871"/>
      <c r="AD123" s="871"/>
      <c r="AE123" s="871"/>
      <c r="AF123" s="871"/>
      <c r="AG123" s="871"/>
      <c r="AH123" s="871"/>
      <c r="AI123" s="871"/>
      <c r="AJ123" s="787">
        <f t="shared" si="12"/>
        <v>0</v>
      </c>
      <c r="AK123" s="930">
        <v>351839</v>
      </c>
      <c r="AL123" s="871">
        <v>72168</v>
      </c>
      <c r="AM123" s="871"/>
      <c r="AN123" s="871"/>
      <c r="AO123" s="871"/>
      <c r="AP123" s="871"/>
      <c r="AQ123" s="871"/>
      <c r="AR123" s="871"/>
      <c r="AS123" s="871"/>
      <c r="AT123" s="871"/>
      <c r="AU123" s="281" t="s">
        <v>73</v>
      </c>
    </row>
    <row r="124" spans="1:47" s="904" customFormat="1" ht="15" customHeight="1">
      <c r="A124" s="794">
        <v>122</v>
      </c>
      <c r="B124" s="812" t="s">
        <v>27</v>
      </c>
      <c r="C124" s="785" t="s">
        <v>1299</v>
      </c>
      <c r="D124" s="925">
        <v>40422</v>
      </c>
      <c r="E124" s="925">
        <v>40634</v>
      </c>
      <c r="F124" s="911">
        <v>2010</v>
      </c>
      <c r="G124" s="812" t="s">
        <v>5</v>
      </c>
      <c r="H124" s="837" t="s">
        <v>1451</v>
      </c>
      <c r="I124" s="812" t="s">
        <v>63</v>
      </c>
      <c r="J124" s="812" t="s">
        <v>2438</v>
      </c>
      <c r="K124" s="871">
        <v>5000</v>
      </c>
      <c r="L124" s="871">
        <v>287261</v>
      </c>
      <c r="M124" s="871">
        <v>287261</v>
      </c>
      <c r="N124" s="871">
        <v>284774</v>
      </c>
      <c r="O124" s="808">
        <f t="shared" si="10"/>
        <v>56.954799999999999</v>
      </c>
      <c r="P124" s="871">
        <v>100</v>
      </c>
      <c r="Q124" s="871">
        <v>5000</v>
      </c>
      <c r="R124" s="871">
        <v>5000</v>
      </c>
      <c r="S124" s="871">
        <v>5000</v>
      </c>
      <c r="T124" s="871"/>
      <c r="U124" s="871"/>
      <c r="V124" s="871">
        <v>5000</v>
      </c>
      <c r="W124" s="871">
        <v>44200</v>
      </c>
      <c r="X124" s="871">
        <v>35675</v>
      </c>
      <c r="Y124" s="808">
        <f t="shared" si="11"/>
        <v>7.1349999999999998</v>
      </c>
      <c r="Z124" s="871"/>
      <c r="AA124" s="871">
        <v>48070</v>
      </c>
      <c r="AB124" s="871"/>
      <c r="AC124" s="871"/>
      <c r="AD124" s="871"/>
      <c r="AE124" s="871">
        <v>2160</v>
      </c>
      <c r="AF124" s="871"/>
      <c r="AG124" s="871"/>
      <c r="AH124" s="871"/>
      <c r="AI124" s="871"/>
      <c r="AJ124" s="787">
        <f t="shared" si="12"/>
        <v>48070</v>
      </c>
      <c r="AK124" s="871" t="s">
        <v>66</v>
      </c>
      <c r="AL124" s="871" t="s">
        <v>66</v>
      </c>
      <c r="AM124" s="871"/>
      <c r="AN124" s="871"/>
      <c r="AO124" s="871"/>
      <c r="AP124" s="871"/>
      <c r="AQ124" s="871"/>
      <c r="AR124" s="871"/>
      <c r="AS124" s="871"/>
      <c r="AT124" s="871"/>
      <c r="AU124" s="281" t="s">
        <v>54</v>
      </c>
    </row>
    <row r="125" spans="1:47" s="904" customFormat="1" ht="14.25" customHeight="1">
      <c r="A125" s="794">
        <v>123</v>
      </c>
      <c r="B125" s="812" t="s">
        <v>8</v>
      </c>
      <c r="C125" s="785" t="s">
        <v>1261</v>
      </c>
      <c r="D125" s="925">
        <v>40452</v>
      </c>
      <c r="E125" s="925">
        <v>40725</v>
      </c>
      <c r="F125" s="911">
        <v>2010</v>
      </c>
      <c r="G125" s="812" t="s">
        <v>29</v>
      </c>
      <c r="H125" s="841" t="s">
        <v>1450</v>
      </c>
      <c r="I125" s="812" t="s">
        <v>65</v>
      </c>
      <c r="J125" s="812" t="s">
        <v>2438</v>
      </c>
      <c r="K125" s="871">
        <v>60000</v>
      </c>
      <c r="L125" s="871">
        <v>4183640</v>
      </c>
      <c r="M125" s="871">
        <v>2765622</v>
      </c>
      <c r="N125" s="871">
        <v>2753528</v>
      </c>
      <c r="O125" s="808">
        <f t="shared" si="10"/>
        <v>45.892133333333334</v>
      </c>
      <c r="P125" s="871">
        <v>67</v>
      </c>
      <c r="Q125" s="871">
        <v>50000</v>
      </c>
      <c r="R125" s="871"/>
      <c r="S125" s="871">
        <v>50000</v>
      </c>
      <c r="T125" s="871"/>
      <c r="U125" s="871"/>
      <c r="V125" s="871">
        <v>50000</v>
      </c>
      <c r="W125" s="871">
        <v>0</v>
      </c>
      <c r="X125" s="871">
        <v>121036</v>
      </c>
      <c r="Y125" s="808">
        <f t="shared" si="11"/>
        <v>2.4207200000000002</v>
      </c>
      <c r="Z125" s="871"/>
      <c r="AA125" s="871" t="s">
        <v>2</v>
      </c>
      <c r="AB125" s="871"/>
      <c r="AC125" s="871"/>
      <c r="AD125" s="871"/>
      <c r="AE125" s="871">
        <v>20500</v>
      </c>
      <c r="AF125" s="871"/>
      <c r="AG125" s="871"/>
      <c r="AH125" s="871"/>
      <c r="AI125" s="871"/>
      <c r="AJ125" s="787">
        <f t="shared" si="12"/>
        <v>0</v>
      </c>
      <c r="AK125" s="871">
        <v>0</v>
      </c>
      <c r="AL125" s="871">
        <v>21</v>
      </c>
      <c r="AM125" s="871"/>
      <c r="AN125" s="871"/>
      <c r="AO125" s="871"/>
      <c r="AP125" s="871"/>
      <c r="AQ125" s="871"/>
      <c r="AR125" s="871"/>
      <c r="AS125" s="871"/>
      <c r="AT125" s="871"/>
      <c r="AU125" s="265" t="s">
        <v>55</v>
      </c>
    </row>
    <row r="126" spans="1:47" s="904" customFormat="1" ht="14.25" customHeight="1">
      <c r="A126" s="794">
        <v>124</v>
      </c>
      <c r="B126" s="812" t="s">
        <v>26</v>
      </c>
      <c r="C126" s="785" t="s">
        <v>1299</v>
      </c>
      <c r="D126" s="925">
        <v>40452</v>
      </c>
      <c r="E126" s="925">
        <v>40603</v>
      </c>
      <c r="F126" s="911">
        <v>2010</v>
      </c>
      <c r="G126" s="812" t="s">
        <v>5</v>
      </c>
      <c r="H126" s="841" t="s">
        <v>1451</v>
      </c>
      <c r="I126" s="812" t="s">
        <v>30</v>
      </c>
      <c r="J126" s="812" t="s">
        <v>2438</v>
      </c>
      <c r="K126" s="871">
        <v>51354</v>
      </c>
      <c r="L126" s="871">
        <v>2318438</v>
      </c>
      <c r="M126" s="871">
        <v>550738</v>
      </c>
      <c r="N126" s="871">
        <v>547975</v>
      </c>
      <c r="O126" s="808">
        <f t="shared" si="10"/>
        <v>10.670541729952877</v>
      </c>
      <c r="P126" s="871">
        <v>24</v>
      </c>
      <c r="Q126" s="871">
        <v>15406</v>
      </c>
      <c r="R126" s="929">
        <v>15406</v>
      </c>
      <c r="S126" s="871">
        <v>15406</v>
      </c>
      <c r="T126" s="871"/>
      <c r="U126" s="871"/>
      <c r="V126" s="871">
        <v>51354</v>
      </c>
      <c r="W126" s="871">
        <v>93276</v>
      </c>
      <c r="X126" s="871">
        <v>9915</v>
      </c>
      <c r="Y126" s="808">
        <f t="shared" si="11"/>
        <v>0.6435804232117357</v>
      </c>
      <c r="Z126" s="871"/>
      <c r="AA126" s="871">
        <v>24030</v>
      </c>
      <c r="AB126" s="871"/>
      <c r="AC126" s="871"/>
      <c r="AD126" s="871"/>
      <c r="AE126" s="871">
        <v>6434</v>
      </c>
      <c r="AF126" s="871"/>
      <c r="AG126" s="871"/>
      <c r="AH126" s="871"/>
      <c r="AI126" s="871"/>
      <c r="AJ126" s="787">
        <f t="shared" si="12"/>
        <v>24030</v>
      </c>
      <c r="AK126" s="871">
        <v>58400</v>
      </c>
      <c r="AL126" s="871">
        <v>131061</v>
      </c>
      <c r="AM126" s="871"/>
      <c r="AN126" s="871"/>
      <c r="AO126" s="871"/>
      <c r="AP126" s="871"/>
      <c r="AQ126" s="871"/>
      <c r="AR126" s="871"/>
      <c r="AS126" s="871"/>
      <c r="AT126" s="871"/>
      <c r="AU126" s="281" t="s">
        <v>56</v>
      </c>
    </row>
    <row r="127" spans="1:47" s="904" customFormat="1" ht="14.25" customHeight="1">
      <c r="A127" s="794">
        <v>125</v>
      </c>
      <c r="B127" s="812" t="s">
        <v>97</v>
      </c>
      <c r="C127" s="785" t="s">
        <v>1299</v>
      </c>
      <c r="D127" s="792">
        <v>40238</v>
      </c>
      <c r="E127" s="792">
        <v>40695</v>
      </c>
      <c r="F127" s="911">
        <v>2010</v>
      </c>
      <c r="G127" s="812" t="s">
        <v>96</v>
      </c>
      <c r="H127" s="837" t="s">
        <v>1452</v>
      </c>
      <c r="I127" s="785" t="s">
        <v>437</v>
      </c>
      <c r="J127" s="812" t="s">
        <v>2438</v>
      </c>
      <c r="K127" s="871">
        <v>29890</v>
      </c>
      <c r="L127" s="871">
        <v>3670686</v>
      </c>
      <c r="M127" s="871">
        <v>1976563</v>
      </c>
      <c r="N127" s="871">
        <v>1974453</v>
      </c>
      <c r="O127" s="808">
        <f t="shared" si="10"/>
        <v>66.057310137169623</v>
      </c>
      <c r="P127" s="871">
        <v>54</v>
      </c>
      <c r="Q127" s="871"/>
      <c r="R127" s="871"/>
      <c r="S127" s="871"/>
      <c r="T127" s="871"/>
      <c r="U127" s="871"/>
      <c r="V127" s="871"/>
      <c r="W127" s="871">
        <v>10000</v>
      </c>
      <c r="X127" s="871">
        <v>4292</v>
      </c>
      <c r="Y127" s="871"/>
      <c r="Z127" s="871"/>
      <c r="AA127" s="871"/>
      <c r="AB127" s="871"/>
      <c r="AC127" s="871"/>
      <c r="AD127" s="871"/>
      <c r="AE127" s="871"/>
      <c r="AF127" s="871"/>
      <c r="AG127" s="871"/>
      <c r="AH127" s="842"/>
      <c r="AI127" s="842"/>
      <c r="AJ127" s="787">
        <f t="shared" si="12"/>
        <v>0</v>
      </c>
      <c r="AK127" s="871">
        <v>3122</v>
      </c>
      <c r="AL127" s="871">
        <v>24029</v>
      </c>
      <c r="AM127" s="871"/>
      <c r="AN127" s="871"/>
      <c r="AO127" s="871"/>
      <c r="AP127" s="871"/>
      <c r="AQ127" s="871"/>
      <c r="AR127" s="871"/>
      <c r="AS127" s="871"/>
      <c r="AT127" s="871"/>
      <c r="AU127" s="281" t="s">
        <v>103</v>
      </c>
    </row>
    <row r="128" spans="1:47" s="904" customFormat="1" ht="14.25" customHeight="1">
      <c r="A128" s="794">
        <v>126</v>
      </c>
      <c r="B128" s="812" t="s">
        <v>98</v>
      </c>
      <c r="C128" s="785" t="s">
        <v>1299</v>
      </c>
      <c r="D128" s="925">
        <v>40391</v>
      </c>
      <c r="E128" s="792">
        <v>40634</v>
      </c>
      <c r="F128" s="911">
        <v>2010</v>
      </c>
      <c r="G128" s="812" t="s">
        <v>5</v>
      </c>
      <c r="H128" s="841" t="s">
        <v>1451</v>
      </c>
      <c r="I128" s="785" t="s">
        <v>438</v>
      </c>
      <c r="J128" s="812" t="s">
        <v>2438</v>
      </c>
      <c r="K128" s="842">
        <v>80000</v>
      </c>
      <c r="L128" s="842">
        <v>2803535</v>
      </c>
      <c r="M128" s="871">
        <v>561629</v>
      </c>
      <c r="N128" s="842">
        <v>530818</v>
      </c>
      <c r="O128" s="808">
        <f t="shared" si="10"/>
        <v>6.6352250000000002</v>
      </c>
      <c r="P128" s="842">
        <v>20</v>
      </c>
      <c r="Q128" s="842">
        <v>1500</v>
      </c>
      <c r="R128" s="842">
        <v>3100</v>
      </c>
      <c r="S128" s="842">
        <v>3100</v>
      </c>
      <c r="T128" s="842" t="s">
        <v>94</v>
      </c>
      <c r="U128" s="842">
        <v>20</v>
      </c>
      <c r="V128" s="842">
        <v>14418</v>
      </c>
      <c r="W128" s="842">
        <v>603669</v>
      </c>
      <c r="X128" s="842">
        <v>45788</v>
      </c>
      <c r="Y128" s="808">
        <f>X128/S128</f>
        <v>14.770322580645161</v>
      </c>
      <c r="Z128" s="842"/>
      <c r="AA128" s="842"/>
      <c r="AB128" s="842"/>
      <c r="AC128" s="842"/>
      <c r="AD128" s="842"/>
      <c r="AE128" s="842"/>
      <c r="AF128" s="842"/>
      <c r="AG128" s="842"/>
      <c r="AH128" s="842"/>
      <c r="AI128" s="842"/>
      <c r="AJ128" s="787">
        <f t="shared" si="12"/>
        <v>0</v>
      </c>
      <c r="AK128" s="842">
        <v>2600</v>
      </c>
      <c r="AL128" s="842">
        <v>15</v>
      </c>
      <c r="AM128" s="842"/>
      <c r="AN128" s="842"/>
      <c r="AO128" s="842"/>
      <c r="AP128" s="842"/>
      <c r="AQ128" s="842"/>
      <c r="AR128" s="842"/>
      <c r="AS128" s="842"/>
      <c r="AT128" s="842"/>
      <c r="AU128" s="265" t="s">
        <v>102</v>
      </c>
    </row>
    <row r="129" spans="1:47" s="904" customFormat="1" ht="14.25" customHeight="1">
      <c r="A129" s="794">
        <v>127</v>
      </c>
      <c r="B129" s="812" t="s">
        <v>85</v>
      </c>
      <c r="C129" s="785" t="s">
        <v>1261</v>
      </c>
      <c r="D129" s="792">
        <v>40452</v>
      </c>
      <c r="E129" s="792">
        <v>40695</v>
      </c>
      <c r="F129" s="911">
        <v>2010</v>
      </c>
      <c r="G129" s="812" t="s">
        <v>104</v>
      </c>
      <c r="H129" s="841" t="s">
        <v>1454</v>
      </c>
      <c r="I129" s="785" t="s">
        <v>440</v>
      </c>
      <c r="J129" s="812" t="s">
        <v>2438</v>
      </c>
      <c r="K129" s="842">
        <v>103750</v>
      </c>
      <c r="L129" s="842">
        <v>5038981</v>
      </c>
      <c r="M129" s="871">
        <v>3091118</v>
      </c>
      <c r="N129" s="842">
        <v>2814292</v>
      </c>
      <c r="O129" s="808">
        <f t="shared" si="10"/>
        <v>27.125706024096385</v>
      </c>
      <c r="P129" s="842">
        <v>61</v>
      </c>
      <c r="Q129" s="842">
        <v>100000</v>
      </c>
      <c r="R129" s="842"/>
      <c r="S129" s="842">
        <v>100000</v>
      </c>
      <c r="T129" s="842"/>
      <c r="U129" s="842"/>
      <c r="V129" s="842">
        <v>100000</v>
      </c>
      <c r="W129" s="842">
        <v>528646</v>
      </c>
      <c r="X129" s="842">
        <v>518081</v>
      </c>
      <c r="Y129" s="808">
        <f>X129/S129</f>
        <v>5.1808100000000001</v>
      </c>
      <c r="Z129" s="842">
        <v>3358</v>
      </c>
      <c r="AA129" s="842">
        <v>10000</v>
      </c>
      <c r="AB129" s="842">
        <v>161</v>
      </c>
      <c r="AC129" s="842"/>
      <c r="AD129" s="842"/>
      <c r="AE129" s="842"/>
      <c r="AF129" s="842"/>
      <c r="AG129" s="842"/>
      <c r="AH129" s="842"/>
      <c r="AI129" s="842"/>
      <c r="AJ129" s="787">
        <f t="shared" si="12"/>
        <v>13358</v>
      </c>
      <c r="AK129" s="842">
        <v>105233</v>
      </c>
      <c r="AL129" s="842">
        <v>5821</v>
      </c>
      <c r="AM129" s="842"/>
      <c r="AN129" s="842"/>
      <c r="AO129" s="842"/>
      <c r="AP129" s="842"/>
      <c r="AQ129" s="842"/>
      <c r="AR129" s="842"/>
      <c r="AS129" s="842"/>
      <c r="AT129" s="842"/>
      <c r="AU129" s="265" t="s">
        <v>105</v>
      </c>
    </row>
    <row r="130" spans="1:47" s="904" customFormat="1" ht="14.25" customHeight="1">
      <c r="A130" s="794">
        <v>128</v>
      </c>
      <c r="B130" s="812" t="s">
        <v>1</v>
      </c>
      <c r="C130" s="785" t="s">
        <v>1299</v>
      </c>
      <c r="D130" s="792">
        <v>40452</v>
      </c>
      <c r="E130" s="925">
        <v>40603</v>
      </c>
      <c r="F130" s="911">
        <v>2010</v>
      </c>
      <c r="G130" s="812" t="s">
        <v>1459</v>
      </c>
      <c r="H130" s="837" t="s">
        <v>1460</v>
      </c>
      <c r="I130" s="785" t="s">
        <v>441</v>
      </c>
      <c r="J130" s="812" t="s">
        <v>2438</v>
      </c>
      <c r="K130" s="842">
        <v>31675</v>
      </c>
      <c r="L130" s="842">
        <v>1283953</v>
      </c>
      <c r="M130" s="871">
        <v>374131</v>
      </c>
      <c r="N130" s="842">
        <v>342180</v>
      </c>
      <c r="O130" s="808">
        <f t="shared" si="10"/>
        <v>10.80284135753749</v>
      </c>
      <c r="P130" s="842">
        <v>27</v>
      </c>
      <c r="Q130" s="842"/>
      <c r="R130" s="842"/>
      <c r="S130" s="842"/>
      <c r="T130" s="842"/>
      <c r="U130" s="842"/>
      <c r="V130" s="842"/>
      <c r="W130" s="842">
        <v>374131</v>
      </c>
      <c r="X130" s="842">
        <v>14347</v>
      </c>
      <c r="Y130" s="842"/>
      <c r="Z130" s="842">
        <v>0</v>
      </c>
      <c r="AA130" s="842">
        <v>0</v>
      </c>
      <c r="AB130" s="842"/>
      <c r="AC130" s="842"/>
      <c r="AD130" s="842"/>
      <c r="AE130" s="842"/>
      <c r="AF130" s="842"/>
      <c r="AG130" s="842"/>
      <c r="AH130" s="842">
        <v>0</v>
      </c>
      <c r="AI130" s="842"/>
      <c r="AJ130" s="787">
        <f t="shared" si="12"/>
        <v>0</v>
      </c>
      <c r="AK130" s="842">
        <v>3500</v>
      </c>
      <c r="AL130" s="842">
        <v>280</v>
      </c>
      <c r="AM130" s="842"/>
      <c r="AN130" s="842"/>
      <c r="AO130" s="842"/>
      <c r="AP130" s="842"/>
      <c r="AQ130" s="842"/>
      <c r="AR130" s="842"/>
      <c r="AS130" s="842"/>
      <c r="AT130" s="842"/>
      <c r="AU130" s="275" t="s">
        <v>442</v>
      </c>
    </row>
    <row r="131" spans="1:47" s="904" customFormat="1" ht="14.25" customHeight="1">
      <c r="A131" s="794">
        <v>129</v>
      </c>
      <c r="B131" s="812" t="s">
        <v>12</v>
      </c>
      <c r="C131" s="785" t="s">
        <v>1299</v>
      </c>
      <c r="D131" s="792">
        <v>40238</v>
      </c>
      <c r="E131" s="792">
        <v>40634</v>
      </c>
      <c r="F131" s="911">
        <v>2010</v>
      </c>
      <c r="G131" s="812" t="s">
        <v>79</v>
      </c>
      <c r="H131" s="837" t="s">
        <v>1453</v>
      </c>
      <c r="I131" s="785" t="s">
        <v>443</v>
      </c>
      <c r="J131" s="812" t="s">
        <v>2438</v>
      </c>
      <c r="K131" s="842">
        <v>293000</v>
      </c>
      <c r="L131" s="842">
        <v>2056046</v>
      </c>
      <c r="M131" s="871">
        <v>2047020</v>
      </c>
      <c r="N131" s="842">
        <v>2043224</v>
      </c>
      <c r="O131" s="808">
        <f t="shared" si="10"/>
        <v>6.973460750853242</v>
      </c>
      <c r="P131" s="842">
        <v>99.5</v>
      </c>
      <c r="Q131" s="842">
        <v>41665</v>
      </c>
      <c r="R131" s="842">
        <v>17650</v>
      </c>
      <c r="S131" s="842">
        <v>41665</v>
      </c>
      <c r="T131" s="842" t="s">
        <v>94</v>
      </c>
      <c r="U131" s="842">
        <v>59</v>
      </c>
      <c r="V131" s="842">
        <v>17650</v>
      </c>
      <c r="W131" s="842">
        <v>184656</v>
      </c>
      <c r="X131" s="842">
        <v>184656</v>
      </c>
      <c r="Y131" s="808">
        <f>X131/S131</f>
        <v>4.4319212768510736</v>
      </c>
      <c r="Z131" s="842"/>
      <c r="AA131" s="842">
        <v>60000</v>
      </c>
      <c r="AB131" s="842"/>
      <c r="AC131" s="842"/>
      <c r="AD131" s="842"/>
      <c r="AE131" s="842"/>
      <c r="AF131" s="842"/>
      <c r="AG131" s="842"/>
      <c r="AH131" s="842"/>
      <c r="AI131" s="842"/>
      <c r="AJ131" s="787">
        <f t="shared" si="12"/>
        <v>60000</v>
      </c>
      <c r="AK131" s="842">
        <v>69926</v>
      </c>
      <c r="AL131" s="842">
        <v>69926</v>
      </c>
      <c r="AM131" s="842"/>
      <c r="AN131" s="842"/>
      <c r="AO131" s="842"/>
      <c r="AP131" s="842"/>
      <c r="AQ131" s="842"/>
      <c r="AR131" s="842"/>
      <c r="AS131" s="842"/>
      <c r="AT131" s="842"/>
      <c r="AU131" s="265" t="s">
        <v>106</v>
      </c>
    </row>
    <row r="132" spans="1:47" s="904" customFormat="1" ht="20.25" customHeight="1">
      <c r="A132" s="794">
        <v>130</v>
      </c>
      <c r="B132" s="785" t="s">
        <v>1180</v>
      </c>
      <c r="C132" s="785" t="s">
        <v>1261</v>
      </c>
      <c r="D132" s="925">
        <v>40391</v>
      </c>
      <c r="E132" s="925">
        <v>40575</v>
      </c>
      <c r="F132" s="911">
        <v>2010</v>
      </c>
      <c r="G132" s="812" t="s">
        <v>5</v>
      </c>
      <c r="H132" s="841" t="s">
        <v>1451</v>
      </c>
      <c r="I132" s="785" t="s">
        <v>444</v>
      </c>
      <c r="J132" s="812" t="s">
        <v>2438</v>
      </c>
      <c r="K132" s="842">
        <v>16000</v>
      </c>
      <c r="L132" s="842">
        <v>378714</v>
      </c>
      <c r="M132" s="920">
        <v>378714</v>
      </c>
      <c r="N132" s="842">
        <v>308055</v>
      </c>
      <c r="O132" s="808">
        <f t="shared" si="10"/>
        <v>19.2534375</v>
      </c>
      <c r="P132" s="842">
        <v>100</v>
      </c>
      <c r="Q132" s="842">
        <v>16000</v>
      </c>
      <c r="R132" s="842"/>
      <c r="S132" s="842">
        <v>16000</v>
      </c>
      <c r="T132" s="842"/>
      <c r="U132" s="842"/>
      <c r="V132" s="842"/>
      <c r="W132" s="842">
        <v>44653</v>
      </c>
      <c r="X132" s="842">
        <v>34162</v>
      </c>
      <c r="Y132" s="808">
        <f>X132/S132</f>
        <v>2.1351249999999999</v>
      </c>
      <c r="Z132" s="842"/>
      <c r="AA132" s="842"/>
      <c r="AB132" s="842"/>
      <c r="AC132" s="842"/>
      <c r="AD132" s="842"/>
      <c r="AE132" s="842"/>
      <c r="AF132" s="842"/>
      <c r="AG132" s="842"/>
      <c r="AH132" s="842"/>
      <c r="AI132" s="842"/>
      <c r="AJ132" s="787">
        <f t="shared" si="12"/>
        <v>0</v>
      </c>
      <c r="AK132" s="842">
        <v>0</v>
      </c>
      <c r="AL132" s="842">
        <v>0</v>
      </c>
      <c r="AM132" s="842"/>
      <c r="AN132" s="842"/>
      <c r="AO132" s="842"/>
      <c r="AP132" s="842"/>
      <c r="AQ132" s="842"/>
      <c r="AR132" s="842"/>
      <c r="AS132" s="842"/>
      <c r="AT132" s="842"/>
      <c r="AU132" s="265" t="s">
        <v>445</v>
      </c>
    </row>
    <row r="133" spans="1:47" s="904" customFormat="1" ht="14.25" customHeight="1">
      <c r="A133" s="794">
        <v>131</v>
      </c>
      <c r="B133" s="812" t="s">
        <v>446</v>
      </c>
      <c r="C133" s="785" t="s">
        <v>1261</v>
      </c>
      <c r="D133" s="792">
        <v>40299</v>
      </c>
      <c r="E133" s="792">
        <v>40575</v>
      </c>
      <c r="F133" s="911">
        <v>2010</v>
      </c>
      <c r="G133" s="812" t="s">
        <v>447</v>
      </c>
      <c r="H133" s="837" t="s">
        <v>1449</v>
      </c>
      <c r="I133" s="785" t="s">
        <v>448</v>
      </c>
      <c r="J133" s="812" t="s">
        <v>2438</v>
      </c>
      <c r="K133" s="842">
        <v>312000</v>
      </c>
      <c r="L133" s="842">
        <v>738960</v>
      </c>
      <c r="M133" s="920">
        <v>436858</v>
      </c>
      <c r="N133" s="842">
        <v>436858</v>
      </c>
      <c r="O133" s="808">
        <f t="shared" si="10"/>
        <v>1.4001858974358974</v>
      </c>
      <c r="P133" s="842">
        <v>59</v>
      </c>
      <c r="Q133" s="842">
        <v>189000</v>
      </c>
      <c r="R133" s="842"/>
      <c r="S133" s="842">
        <v>189000</v>
      </c>
      <c r="T133" s="842"/>
      <c r="U133" s="842"/>
      <c r="V133" s="842">
        <v>189000</v>
      </c>
      <c r="W133" s="842">
        <v>137551</v>
      </c>
      <c r="X133" s="842">
        <v>19115</v>
      </c>
      <c r="Y133" s="808">
        <f>X133/S133</f>
        <v>0.10113756613756614</v>
      </c>
      <c r="Z133" s="842"/>
      <c r="AA133" s="842"/>
      <c r="AB133" s="842"/>
      <c r="AC133" s="842"/>
      <c r="AD133" s="842">
        <v>25</v>
      </c>
      <c r="AE133" s="842"/>
      <c r="AF133" s="842"/>
      <c r="AG133" s="842"/>
      <c r="AH133" s="842"/>
      <c r="AI133" s="842"/>
      <c r="AJ133" s="787">
        <f t="shared" si="12"/>
        <v>0</v>
      </c>
      <c r="AK133" s="842">
        <v>181911</v>
      </c>
      <c r="AL133" s="842">
        <v>107327.49</v>
      </c>
      <c r="AM133" s="842"/>
      <c r="AN133" s="842"/>
      <c r="AO133" s="842"/>
      <c r="AP133" s="842"/>
      <c r="AQ133" s="842"/>
      <c r="AR133" s="842"/>
      <c r="AS133" s="842"/>
      <c r="AT133" s="842"/>
      <c r="AU133" s="265" t="s">
        <v>449</v>
      </c>
    </row>
    <row r="134" spans="1:47" s="904" customFormat="1" ht="14.25" customHeight="1">
      <c r="A134" s="794">
        <v>132</v>
      </c>
      <c r="B134" s="812" t="s">
        <v>171</v>
      </c>
      <c r="C134" s="785" t="s">
        <v>1299</v>
      </c>
      <c r="D134" s="792">
        <v>40179</v>
      </c>
      <c r="E134" s="792">
        <v>40878</v>
      </c>
      <c r="F134" s="911">
        <v>2010</v>
      </c>
      <c r="G134" s="812" t="s">
        <v>5</v>
      </c>
      <c r="H134" s="837" t="s">
        <v>1451</v>
      </c>
      <c r="I134" s="785" t="s">
        <v>450</v>
      </c>
      <c r="J134" s="812" t="s">
        <v>2438</v>
      </c>
      <c r="K134" s="842">
        <v>23000</v>
      </c>
      <c r="L134" s="842">
        <v>923594</v>
      </c>
      <c r="M134" s="920">
        <v>829794</v>
      </c>
      <c r="N134" s="842">
        <v>829794</v>
      </c>
      <c r="O134" s="808">
        <f t="shared" si="10"/>
        <v>36.078000000000003</v>
      </c>
      <c r="P134" s="842">
        <v>90</v>
      </c>
      <c r="Q134" s="842">
        <v>10000</v>
      </c>
      <c r="R134" s="842"/>
      <c r="S134" s="842">
        <v>10000</v>
      </c>
      <c r="T134" s="842" t="s">
        <v>2</v>
      </c>
      <c r="U134" s="842">
        <v>21</v>
      </c>
      <c r="V134" s="842">
        <v>5419</v>
      </c>
      <c r="W134" s="842">
        <v>188574</v>
      </c>
      <c r="X134" s="842">
        <v>197133</v>
      </c>
      <c r="Y134" s="808">
        <f>X134/S134</f>
        <v>19.7133</v>
      </c>
      <c r="Z134" s="842"/>
      <c r="AA134" s="842"/>
      <c r="AB134" s="842"/>
      <c r="AC134" s="842"/>
      <c r="AD134" s="842"/>
      <c r="AE134" s="842"/>
      <c r="AF134" s="842"/>
      <c r="AG134" s="842"/>
      <c r="AH134" s="842"/>
      <c r="AI134" s="842"/>
      <c r="AJ134" s="787">
        <f t="shared" si="12"/>
        <v>0</v>
      </c>
      <c r="AK134" s="842">
        <v>2400</v>
      </c>
      <c r="AL134" s="842">
        <v>19707</v>
      </c>
      <c r="AM134" s="842"/>
      <c r="AN134" s="842"/>
      <c r="AO134" s="842"/>
      <c r="AP134" s="842"/>
      <c r="AQ134" s="842"/>
      <c r="AR134" s="842"/>
      <c r="AS134" s="842"/>
      <c r="AT134" s="842"/>
      <c r="AU134" s="265" t="s">
        <v>451</v>
      </c>
    </row>
    <row r="135" spans="1:47" s="904" customFormat="1" ht="14.25" customHeight="1">
      <c r="A135" s="794">
        <v>133</v>
      </c>
      <c r="B135" s="812" t="s">
        <v>456</v>
      </c>
      <c r="C135" s="785" t="s">
        <v>1278</v>
      </c>
      <c r="D135" s="925">
        <v>40513</v>
      </c>
      <c r="E135" s="925">
        <v>40695</v>
      </c>
      <c r="F135" s="911">
        <v>2010</v>
      </c>
      <c r="G135" s="928" t="s">
        <v>5</v>
      </c>
      <c r="H135" s="837" t="s">
        <v>1451</v>
      </c>
      <c r="I135" s="812" t="s">
        <v>457</v>
      </c>
      <c r="J135" s="800" t="s">
        <v>2331</v>
      </c>
      <c r="K135" s="926">
        <v>5000</v>
      </c>
      <c r="L135" s="927">
        <v>195002</v>
      </c>
      <c r="M135" s="927">
        <v>195002</v>
      </c>
      <c r="N135" s="926">
        <v>167162.63999999998</v>
      </c>
      <c r="O135" s="808">
        <f t="shared" si="10"/>
        <v>33.432527999999998</v>
      </c>
      <c r="P135" s="871">
        <v>100</v>
      </c>
      <c r="Q135" s="871"/>
      <c r="R135" s="871"/>
      <c r="S135" s="871"/>
      <c r="T135" s="871"/>
      <c r="U135" s="871"/>
      <c r="V135" s="871">
        <v>1000</v>
      </c>
      <c r="W135" s="871"/>
      <c r="X135" s="871"/>
      <c r="Y135" s="871"/>
      <c r="Z135" s="871"/>
      <c r="AA135" s="871"/>
      <c r="AB135" s="871"/>
      <c r="AC135" s="871">
        <v>200</v>
      </c>
      <c r="AD135" s="871"/>
      <c r="AE135" s="871"/>
      <c r="AF135" s="871"/>
      <c r="AG135" s="871"/>
      <c r="AH135" s="871"/>
      <c r="AI135" s="871"/>
      <c r="AJ135" s="787">
        <f t="shared" si="12"/>
        <v>0</v>
      </c>
      <c r="AK135" s="871">
        <v>32000</v>
      </c>
      <c r="AL135" s="871">
        <v>32000</v>
      </c>
      <c r="AM135" s="871"/>
      <c r="AN135" s="871"/>
      <c r="AO135" s="871"/>
      <c r="AP135" s="871"/>
      <c r="AQ135" s="871"/>
      <c r="AR135" s="871"/>
      <c r="AS135" s="871"/>
      <c r="AT135" s="871"/>
      <c r="AU135" s="265" t="s">
        <v>458</v>
      </c>
    </row>
    <row r="136" spans="1:47" s="904" customFormat="1" ht="14.25" customHeight="1">
      <c r="A136" s="794">
        <v>134</v>
      </c>
      <c r="B136" s="812" t="s">
        <v>477</v>
      </c>
      <c r="C136" s="785" t="s">
        <v>1299</v>
      </c>
      <c r="D136" s="792">
        <v>40452</v>
      </c>
      <c r="E136" s="792">
        <v>40544</v>
      </c>
      <c r="F136" s="911">
        <v>2010</v>
      </c>
      <c r="G136" s="812" t="s">
        <v>5</v>
      </c>
      <c r="H136" s="837" t="s">
        <v>1451</v>
      </c>
      <c r="I136" s="785" t="s">
        <v>478</v>
      </c>
      <c r="J136" s="800" t="s">
        <v>2331</v>
      </c>
      <c r="K136" s="842">
        <v>10000</v>
      </c>
      <c r="L136" s="842">
        <v>183673</v>
      </c>
      <c r="M136" s="920">
        <v>183673</v>
      </c>
      <c r="N136" s="842">
        <v>131301</v>
      </c>
      <c r="O136" s="808">
        <f t="shared" si="10"/>
        <v>13.130100000000001</v>
      </c>
      <c r="P136" s="842">
        <v>100</v>
      </c>
      <c r="Q136" s="842">
        <v>10000</v>
      </c>
      <c r="R136" s="842"/>
      <c r="S136" s="842">
        <v>10000</v>
      </c>
      <c r="T136" s="842" t="s">
        <v>94</v>
      </c>
      <c r="U136" s="842">
        <v>30</v>
      </c>
      <c r="V136" s="842">
        <v>10000</v>
      </c>
      <c r="W136" s="842">
        <v>6500</v>
      </c>
      <c r="X136" s="842">
        <v>5835</v>
      </c>
      <c r="Y136" s="808">
        <f>X136/S136</f>
        <v>0.58350000000000002</v>
      </c>
      <c r="Z136" s="842"/>
      <c r="AA136" s="842">
        <v>7500</v>
      </c>
      <c r="AB136" s="842">
        <v>50</v>
      </c>
      <c r="AC136" s="842"/>
      <c r="AD136" s="842"/>
      <c r="AE136" s="842"/>
      <c r="AF136" s="842"/>
      <c r="AG136" s="842"/>
      <c r="AH136" s="842"/>
      <c r="AI136" s="842"/>
      <c r="AJ136" s="787">
        <f t="shared" si="12"/>
        <v>7500</v>
      </c>
      <c r="AK136" s="842" t="s">
        <v>75</v>
      </c>
      <c r="AL136" s="842" t="s">
        <v>75</v>
      </c>
      <c r="AM136" s="842"/>
      <c r="AN136" s="842"/>
      <c r="AO136" s="842"/>
      <c r="AP136" s="842"/>
      <c r="AQ136" s="842"/>
      <c r="AR136" s="842"/>
      <c r="AS136" s="842"/>
      <c r="AT136" s="842"/>
      <c r="AU136" s="265" t="s">
        <v>479</v>
      </c>
    </row>
    <row r="137" spans="1:47" s="904" customFormat="1" ht="14.25" customHeight="1">
      <c r="A137" s="794">
        <v>135</v>
      </c>
      <c r="B137" s="812" t="s">
        <v>291</v>
      </c>
      <c r="C137" s="785" t="s">
        <v>1299</v>
      </c>
      <c r="D137" s="792">
        <v>40452</v>
      </c>
      <c r="E137" s="792">
        <v>40544</v>
      </c>
      <c r="F137" s="911">
        <v>2010</v>
      </c>
      <c r="G137" s="812" t="s">
        <v>5</v>
      </c>
      <c r="H137" s="837" t="s">
        <v>1451</v>
      </c>
      <c r="I137" s="785" t="s">
        <v>500</v>
      </c>
      <c r="J137" s="800" t="s">
        <v>2331</v>
      </c>
      <c r="K137" s="842">
        <v>7500</v>
      </c>
      <c r="L137" s="842">
        <v>122297</v>
      </c>
      <c r="M137" s="920">
        <v>122297</v>
      </c>
      <c r="N137" s="842">
        <v>122049</v>
      </c>
      <c r="O137" s="808">
        <f t="shared" si="10"/>
        <v>16.273199999999999</v>
      </c>
      <c r="P137" s="842">
        <v>100</v>
      </c>
      <c r="Q137" s="842">
        <v>7500</v>
      </c>
      <c r="R137" s="842"/>
      <c r="S137" s="842">
        <v>7500</v>
      </c>
      <c r="T137" s="842" t="s">
        <v>233</v>
      </c>
      <c r="U137" s="842">
        <v>90</v>
      </c>
      <c r="V137" s="842"/>
      <c r="W137" s="842">
        <v>0</v>
      </c>
      <c r="X137" s="842">
        <v>3296</v>
      </c>
      <c r="Y137" s="808">
        <f>X137/S137</f>
        <v>0.43946666666666667</v>
      </c>
      <c r="Z137" s="842" t="s">
        <v>75</v>
      </c>
      <c r="AA137" s="842"/>
      <c r="AB137" s="842"/>
      <c r="AC137" s="842"/>
      <c r="AD137" s="842"/>
      <c r="AE137" s="842">
        <v>1500</v>
      </c>
      <c r="AF137" s="842" t="s">
        <v>75</v>
      </c>
      <c r="AG137" s="842" t="s">
        <v>75</v>
      </c>
      <c r="AH137" s="842" t="s">
        <v>75</v>
      </c>
      <c r="AI137" s="842" t="s">
        <v>75</v>
      </c>
      <c r="AJ137" s="787">
        <f t="shared" si="12"/>
        <v>0</v>
      </c>
      <c r="AK137" s="842" t="s">
        <v>75</v>
      </c>
      <c r="AL137" s="842" t="s">
        <v>75</v>
      </c>
      <c r="AM137" s="842"/>
      <c r="AN137" s="842"/>
      <c r="AO137" s="842"/>
      <c r="AP137" s="842"/>
      <c r="AQ137" s="842"/>
      <c r="AR137" s="842"/>
      <c r="AS137" s="842" t="s">
        <v>95</v>
      </c>
      <c r="AT137" s="842" t="s">
        <v>95</v>
      </c>
      <c r="AU137" s="265" t="s">
        <v>501</v>
      </c>
    </row>
    <row r="138" spans="1:47" s="904" customFormat="1" ht="14.25" customHeight="1">
      <c r="A138" s="794">
        <v>136</v>
      </c>
      <c r="B138" s="812" t="s">
        <v>502</v>
      </c>
      <c r="C138" s="785" t="s">
        <v>1299</v>
      </c>
      <c r="D138" s="792">
        <v>40452</v>
      </c>
      <c r="E138" s="792">
        <v>40544</v>
      </c>
      <c r="F138" s="911">
        <v>2010</v>
      </c>
      <c r="G138" s="812" t="s">
        <v>338</v>
      </c>
      <c r="H138" s="837" t="s">
        <v>1451</v>
      </c>
      <c r="I138" s="785" t="s">
        <v>503</v>
      </c>
      <c r="J138" s="800" t="s">
        <v>2331</v>
      </c>
      <c r="K138" s="842">
        <v>8750</v>
      </c>
      <c r="L138" s="842">
        <v>244001</v>
      </c>
      <c r="M138" s="920">
        <v>244001</v>
      </c>
      <c r="N138" s="842">
        <v>215166</v>
      </c>
      <c r="O138" s="808">
        <f t="shared" si="10"/>
        <v>24.590399999999999</v>
      </c>
      <c r="P138" s="842">
        <v>100</v>
      </c>
      <c r="Q138" s="842"/>
      <c r="R138" s="842"/>
      <c r="S138" s="842"/>
      <c r="T138" s="842" t="s">
        <v>233</v>
      </c>
      <c r="U138" s="842">
        <v>50</v>
      </c>
      <c r="V138" s="842">
        <v>7500</v>
      </c>
      <c r="W138" s="842">
        <v>12250</v>
      </c>
      <c r="X138" s="842">
        <v>10136</v>
      </c>
      <c r="Y138" s="842"/>
      <c r="Z138" s="842" t="s">
        <v>75</v>
      </c>
      <c r="AA138" s="842">
        <v>7500</v>
      </c>
      <c r="AB138" s="842">
        <v>20</v>
      </c>
      <c r="AC138" s="842" t="s">
        <v>233</v>
      </c>
      <c r="AD138" s="842" t="s">
        <v>233</v>
      </c>
      <c r="AE138" s="842">
        <v>3000</v>
      </c>
      <c r="AF138" s="842" t="s">
        <v>233</v>
      </c>
      <c r="AG138" s="842" t="s">
        <v>233</v>
      </c>
      <c r="AH138" s="842" t="s">
        <v>233</v>
      </c>
      <c r="AI138" s="842" t="s">
        <v>233</v>
      </c>
      <c r="AJ138" s="787">
        <f t="shared" si="12"/>
        <v>7500</v>
      </c>
      <c r="AK138" s="842">
        <v>0</v>
      </c>
      <c r="AL138" s="842">
        <v>0</v>
      </c>
      <c r="AM138" s="842"/>
      <c r="AN138" s="842"/>
      <c r="AO138" s="842"/>
      <c r="AP138" s="842"/>
      <c r="AQ138" s="842"/>
      <c r="AR138" s="842"/>
      <c r="AS138" s="842" t="s">
        <v>233</v>
      </c>
      <c r="AT138" s="842" t="s">
        <v>233</v>
      </c>
      <c r="AU138" s="265" t="s">
        <v>504</v>
      </c>
    </row>
    <row r="139" spans="1:47" s="904" customFormat="1" ht="14.25" customHeight="1">
      <c r="A139" s="794">
        <v>137</v>
      </c>
      <c r="B139" s="812" t="s">
        <v>248</v>
      </c>
      <c r="C139" s="785" t="s">
        <v>1299</v>
      </c>
      <c r="D139" s="925">
        <v>40391</v>
      </c>
      <c r="E139" s="792">
        <v>40483</v>
      </c>
      <c r="F139" s="911">
        <v>2010</v>
      </c>
      <c r="G139" s="812" t="s">
        <v>5</v>
      </c>
      <c r="H139" s="837" t="s">
        <v>1451</v>
      </c>
      <c r="I139" s="785" t="s">
        <v>524</v>
      </c>
      <c r="J139" s="800" t="s">
        <v>2331</v>
      </c>
      <c r="K139" s="842">
        <v>7500</v>
      </c>
      <c r="L139" s="842">
        <v>180396</v>
      </c>
      <c r="M139" s="920">
        <v>180396</v>
      </c>
      <c r="N139" s="842">
        <v>157770</v>
      </c>
      <c r="O139" s="808">
        <f t="shared" si="10"/>
        <v>21.036000000000001</v>
      </c>
      <c r="P139" s="842">
        <v>100</v>
      </c>
      <c r="Q139" s="842">
        <v>7500</v>
      </c>
      <c r="R139" s="842">
        <v>125</v>
      </c>
      <c r="S139" s="842">
        <v>7500</v>
      </c>
      <c r="T139" s="842" t="s">
        <v>2</v>
      </c>
      <c r="U139" s="842">
        <v>50</v>
      </c>
      <c r="V139" s="842">
        <v>7500</v>
      </c>
      <c r="W139" s="842">
        <v>35922</v>
      </c>
      <c r="X139" s="842">
        <v>42817</v>
      </c>
      <c r="Y139" s="808">
        <f>X139/S139</f>
        <v>5.7089333333333334</v>
      </c>
      <c r="Z139" s="842"/>
      <c r="AA139" s="842">
        <v>7500</v>
      </c>
      <c r="AB139" s="842">
        <v>30</v>
      </c>
      <c r="AC139" s="842"/>
      <c r="AD139" s="842"/>
      <c r="AE139" s="842">
        <v>3000</v>
      </c>
      <c r="AF139" s="842"/>
      <c r="AG139" s="842"/>
      <c r="AH139" s="842"/>
      <c r="AI139" s="842"/>
      <c r="AJ139" s="787">
        <f t="shared" si="12"/>
        <v>7500</v>
      </c>
      <c r="AK139" s="842">
        <v>0</v>
      </c>
      <c r="AL139" s="842">
        <v>0</v>
      </c>
      <c r="AM139" s="842"/>
      <c r="AN139" s="842"/>
      <c r="AO139" s="842"/>
      <c r="AP139" s="842"/>
      <c r="AQ139" s="842"/>
      <c r="AR139" s="842"/>
      <c r="AS139" s="842"/>
      <c r="AT139" s="842"/>
      <c r="AU139" s="265" t="s">
        <v>525</v>
      </c>
    </row>
    <row r="140" spans="1:47" s="904" customFormat="1" ht="14.25" customHeight="1">
      <c r="A140" s="794">
        <v>138</v>
      </c>
      <c r="B140" s="812" t="s">
        <v>167</v>
      </c>
      <c r="C140" s="785" t="s">
        <v>1299</v>
      </c>
      <c r="D140" s="792">
        <v>40452</v>
      </c>
      <c r="E140" s="792">
        <v>40544</v>
      </c>
      <c r="F140" s="911">
        <v>2010</v>
      </c>
      <c r="G140" s="812" t="s">
        <v>5</v>
      </c>
      <c r="H140" s="837" t="s">
        <v>1451</v>
      </c>
      <c r="I140" s="785" t="s">
        <v>526</v>
      </c>
      <c r="J140" s="800" t="s">
        <v>2331</v>
      </c>
      <c r="K140" s="842">
        <v>5000</v>
      </c>
      <c r="L140" s="842">
        <v>174302</v>
      </c>
      <c r="M140" s="920">
        <v>174302</v>
      </c>
      <c r="N140" s="842">
        <v>173333</v>
      </c>
      <c r="O140" s="808">
        <f t="shared" si="10"/>
        <v>34.666600000000003</v>
      </c>
      <c r="P140" s="842">
        <v>100</v>
      </c>
      <c r="Q140" s="842">
        <v>5000</v>
      </c>
      <c r="R140" s="842">
        <v>200</v>
      </c>
      <c r="S140" s="842">
        <v>5000</v>
      </c>
      <c r="T140" s="842" t="s">
        <v>2</v>
      </c>
      <c r="U140" s="842">
        <v>75</v>
      </c>
      <c r="V140" s="842">
        <v>5000</v>
      </c>
      <c r="W140" s="842">
        <v>20663</v>
      </c>
      <c r="X140" s="842">
        <v>21291</v>
      </c>
      <c r="Y140" s="808">
        <f>X140/S140</f>
        <v>4.2582000000000004</v>
      </c>
      <c r="Z140" s="842"/>
      <c r="AA140" s="842">
        <v>5000</v>
      </c>
      <c r="AB140" s="842"/>
      <c r="AC140" s="842"/>
      <c r="AD140" s="842"/>
      <c r="AE140" s="842">
        <v>2000</v>
      </c>
      <c r="AF140" s="842"/>
      <c r="AG140" s="842"/>
      <c r="AH140" s="842"/>
      <c r="AI140" s="842"/>
      <c r="AJ140" s="787">
        <f t="shared" si="12"/>
        <v>5000</v>
      </c>
      <c r="AK140" s="842">
        <v>0</v>
      </c>
      <c r="AL140" s="842">
        <v>0</v>
      </c>
      <c r="AM140" s="842"/>
      <c r="AN140" s="842"/>
      <c r="AO140" s="842"/>
      <c r="AP140" s="842"/>
      <c r="AQ140" s="842"/>
      <c r="AR140" s="842"/>
      <c r="AS140" s="842"/>
      <c r="AT140" s="842"/>
      <c r="AU140" s="265" t="s">
        <v>527</v>
      </c>
    </row>
    <row r="141" spans="1:47" s="904" customFormat="1" ht="15">
      <c r="A141" s="794">
        <v>139</v>
      </c>
      <c r="B141" s="812" t="s">
        <v>120</v>
      </c>
      <c r="C141" s="785" t="s">
        <v>1299</v>
      </c>
      <c r="D141" s="792">
        <v>40422</v>
      </c>
      <c r="E141" s="792">
        <v>40513</v>
      </c>
      <c r="F141" s="911">
        <v>2010</v>
      </c>
      <c r="G141" s="812" t="s">
        <v>5</v>
      </c>
      <c r="H141" s="837" t="s">
        <v>1451</v>
      </c>
      <c r="I141" s="785" t="s">
        <v>528</v>
      </c>
      <c r="J141" s="800" t="s">
        <v>2331</v>
      </c>
      <c r="K141" s="842">
        <v>5840</v>
      </c>
      <c r="L141" s="842">
        <v>253865</v>
      </c>
      <c r="M141" s="920">
        <v>236309</v>
      </c>
      <c r="N141" s="842">
        <v>236309</v>
      </c>
      <c r="O141" s="808">
        <f t="shared" si="10"/>
        <v>40.463869863013699</v>
      </c>
      <c r="P141" s="842">
        <v>100</v>
      </c>
      <c r="Q141" s="842">
        <v>5840</v>
      </c>
      <c r="R141" s="842">
        <v>5840</v>
      </c>
      <c r="S141" s="842">
        <v>5840</v>
      </c>
      <c r="T141" s="842" t="s">
        <v>233</v>
      </c>
      <c r="U141" s="842"/>
      <c r="V141" s="842">
        <v>5840</v>
      </c>
      <c r="W141" s="842">
        <v>34868</v>
      </c>
      <c r="X141" s="842">
        <v>17714</v>
      </c>
      <c r="Y141" s="808">
        <f>X141/S141</f>
        <v>3.033219178082192</v>
      </c>
      <c r="Z141" s="842"/>
      <c r="AA141" s="842"/>
      <c r="AB141" s="842"/>
      <c r="AC141" s="842"/>
      <c r="AD141" s="842"/>
      <c r="AE141" s="842">
        <v>2350</v>
      </c>
      <c r="AF141" s="842"/>
      <c r="AG141" s="842"/>
      <c r="AH141" s="842"/>
      <c r="AI141" s="842"/>
      <c r="AJ141" s="787">
        <f t="shared" si="12"/>
        <v>0</v>
      </c>
      <c r="AK141" s="842">
        <v>0</v>
      </c>
      <c r="AL141" s="842">
        <v>0</v>
      </c>
      <c r="AM141" s="842"/>
      <c r="AN141" s="842"/>
      <c r="AO141" s="842"/>
      <c r="AP141" s="842"/>
      <c r="AQ141" s="842"/>
      <c r="AR141" s="842"/>
      <c r="AS141" s="842"/>
      <c r="AT141" s="842"/>
      <c r="AU141" s="265" t="s">
        <v>529</v>
      </c>
    </row>
    <row r="142" spans="1:47" s="904" customFormat="1" ht="14.25" customHeight="1">
      <c r="A142" s="794">
        <v>140</v>
      </c>
      <c r="B142" s="812" t="s">
        <v>145</v>
      </c>
      <c r="C142" s="785" t="s">
        <v>1299</v>
      </c>
      <c r="D142" s="792">
        <v>40452</v>
      </c>
      <c r="E142" s="792">
        <v>40544</v>
      </c>
      <c r="F142" s="911">
        <v>2010</v>
      </c>
      <c r="G142" s="812" t="s">
        <v>5</v>
      </c>
      <c r="H142" s="841" t="s">
        <v>1451</v>
      </c>
      <c r="I142" s="785" t="s">
        <v>530</v>
      </c>
      <c r="J142" s="800" t="s">
        <v>2331</v>
      </c>
      <c r="K142" s="842">
        <v>15000</v>
      </c>
      <c r="L142" s="842">
        <v>301288</v>
      </c>
      <c r="M142" s="920">
        <v>301288</v>
      </c>
      <c r="N142" s="842">
        <v>300970</v>
      </c>
      <c r="O142" s="808">
        <f t="shared" si="10"/>
        <v>20.064666666666668</v>
      </c>
      <c r="P142" s="842">
        <v>100</v>
      </c>
      <c r="Q142" s="842">
        <v>15000</v>
      </c>
      <c r="R142" s="842">
        <v>800</v>
      </c>
      <c r="S142" s="842">
        <v>15000</v>
      </c>
      <c r="T142" s="842" t="s">
        <v>233</v>
      </c>
      <c r="U142" s="842"/>
      <c r="V142" s="842">
        <v>15000</v>
      </c>
      <c r="W142" s="842">
        <v>3380</v>
      </c>
      <c r="X142" s="842">
        <v>25226</v>
      </c>
      <c r="Y142" s="808">
        <f>X142/S142</f>
        <v>1.6817333333333333</v>
      </c>
      <c r="Z142" s="842">
        <v>0</v>
      </c>
      <c r="AA142" s="842">
        <v>15000</v>
      </c>
      <c r="AB142" s="842">
        <v>120</v>
      </c>
      <c r="AC142" s="842"/>
      <c r="AD142" s="842"/>
      <c r="AE142" s="842">
        <v>6000</v>
      </c>
      <c r="AF142" s="842"/>
      <c r="AG142" s="842"/>
      <c r="AH142" s="842"/>
      <c r="AI142" s="842"/>
      <c r="AJ142" s="787">
        <f t="shared" si="12"/>
        <v>15000</v>
      </c>
      <c r="AK142" s="842">
        <v>12977</v>
      </c>
      <c r="AL142" s="842">
        <v>8508</v>
      </c>
      <c r="AM142" s="842"/>
      <c r="AN142" s="842"/>
      <c r="AO142" s="842"/>
      <c r="AP142" s="842"/>
      <c r="AQ142" s="842"/>
      <c r="AR142" s="842"/>
      <c r="AS142" s="842"/>
      <c r="AT142" s="842"/>
      <c r="AU142" s="265" t="s">
        <v>531</v>
      </c>
    </row>
    <row r="143" spans="1:47" s="904" customFormat="1" ht="14.25" customHeight="1">
      <c r="A143" s="794">
        <v>141</v>
      </c>
      <c r="B143" s="812" t="s">
        <v>536</v>
      </c>
      <c r="C143" s="785" t="s">
        <v>1286</v>
      </c>
      <c r="D143" s="925">
        <v>40513</v>
      </c>
      <c r="E143" s="792">
        <v>40603</v>
      </c>
      <c r="F143" s="911">
        <v>2010</v>
      </c>
      <c r="G143" s="812" t="s">
        <v>5</v>
      </c>
      <c r="H143" s="837" t="s">
        <v>1451</v>
      </c>
      <c r="I143" s="785" t="s">
        <v>537</v>
      </c>
      <c r="J143" s="800" t="s">
        <v>2331</v>
      </c>
      <c r="K143" s="842">
        <v>5000</v>
      </c>
      <c r="L143" s="842">
        <v>92709</v>
      </c>
      <c r="M143" s="920">
        <v>92709</v>
      </c>
      <c r="N143" s="842">
        <v>79857</v>
      </c>
      <c r="O143" s="808">
        <f t="shared" si="10"/>
        <v>15.971399999999999</v>
      </c>
      <c r="P143" s="842">
        <v>100</v>
      </c>
      <c r="Q143" s="842">
        <v>6340</v>
      </c>
      <c r="R143" s="842">
        <v>0</v>
      </c>
      <c r="S143" s="842">
        <v>6340</v>
      </c>
      <c r="T143" s="842" t="s">
        <v>233</v>
      </c>
      <c r="U143" s="842">
        <v>15</v>
      </c>
      <c r="V143" s="842">
        <v>0</v>
      </c>
      <c r="W143" s="842">
        <v>24648</v>
      </c>
      <c r="X143" s="842">
        <v>24455</v>
      </c>
      <c r="Y143" s="808">
        <f>X143/S143</f>
        <v>3.8572555205047321</v>
      </c>
      <c r="Z143" s="842"/>
      <c r="AA143" s="842"/>
      <c r="AB143" s="842"/>
      <c r="AC143" s="842"/>
      <c r="AD143" s="842"/>
      <c r="AE143" s="842"/>
      <c r="AF143" s="842"/>
      <c r="AG143" s="842"/>
      <c r="AH143" s="842"/>
      <c r="AI143" s="842"/>
      <c r="AJ143" s="842"/>
      <c r="AK143" s="842"/>
      <c r="AL143" s="842"/>
      <c r="AM143" s="842"/>
      <c r="AN143" s="842"/>
      <c r="AO143" s="842"/>
      <c r="AP143" s="842"/>
      <c r="AQ143" s="842"/>
      <c r="AR143" s="842"/>
      <c r="AS143" s="842"/>
      <c r="AT143" s="842"/>
      <c r="AU143" s="265" t="s">
        <v>538</v>
      </c>
    </row>
    <row r="144" spans="1:47" s="904" customFormat="1" ht="14.25" customHeight="1">
      <c r="A144" s="794">
        <v>142</v>
      </c>
      <c r="B144" s="812" t="s">
        <v>539</v>
      </c>
      <c r="C144" s="785" t="s">
        <v>1286</v>
      </c>
      <c r="D144" s="792">
        <v>40179</v>
      </c>
      <c r="E144" s="792">
        <v>40634</v>
      </c>
      <c r="F144" s="911">
        <v>2010</v>
      </c>
      <c r="G144" s="812" t="s">
        <v>540</v>
      </c>
      <c r="H144" s="837" t="s">
        <v>1450</v>
      </c>
      <c r="I144" s="785" t="s">
        <v>541</v>
      </c>
      <c r="J144" s="800" t="s">
        <v>2331</v>
      </c>
      <c r="K144" s="842">
        <v>1250</v>
      </c>
      <c r="L144" s="842">
        <v>53996</v>
      </c>
      <c r="M144" s="920">
        <v>53996</v>
      </c>
      <c r="N144" s="842">
        <v>44945</v>
      </c>
      <c r="O144" s="808">
        <f t="shared" si="10"/>
        <v>35.956000000000003</v>
      </c>
      <c r="P144" s="842">
        <v>100</v>
      </c>
      <c r="Q144" s="842"/>
      <c r="R144" s="842"/>
      <c r="S144" s="842"/>
      <c r="T144" s="842"/>
      <c r="U144" s="842"/>
      <c r="V144" s="842"/>
      <c r="W144" s="842">
        <v>5250</v>
      </c>
      <c r="X144" s="842">
        <v>5074</v>
      </c>
      <c r="Y144" s="842"/>
      <c r="Z144" s="842"/>
      <c r="AA144" s="842"/>
      <c r="AB144" s="842"/>
      <c r="AC144" s="842"/>
      <c r="AD144" s="842"/>
      <c r="AE144" s="842"/>
      <c r="AF144" s="842"/>
      <c r="AG144" s="842"/>
      <c r="AH144" s="842"/>
      <c r="AI144" s="842"/>
      <c r="AJ144" s="842"/>
      <c r="AK144" s="842"/>
      <c r="AL144" s="842"/>
      <c r="AM144" s="842"/>
      <c r="AN144" s="842"/>
      <c r="AO144" s="842"/>
      <c r="AP144" s="842"/>
      <c r="AQ144" s="842"/>
      <c r="AR144" s="842"/>
      <c r="AS144" s="842"/>
      <c r="AT144" s="842"/>
      <c r="AU144" s="265" t="s">
        <v>542</v>
      </c>
    </row>
    <row r="145" spans="1:74" s="904" customFormat="1" ht="14.25" customHeight="1">
      <c r="A145" s="794">
        <v>143</v>
      </c>
      <c r="B145" s="812" t="s">
        <v>354</v>
      </c>
      <c r="C145" s="785" t="s">
        <v>1260</v>
      </c>
      <c r="D145" s="792">
        <v>40513</v>
      </c>
      <c r="E145" s="792">
        <v>40634</v>
      </c>
      <c r="F145" s="911">
        <v>2010</v>
      </c>
      <c r="G145" s="812" t="s">
        <v>5</v>
      </c>
      <c r="H145" s="837" t="s">
        <v>1451</v>
      </c>
      <c r="I145" s="785" t="s">
        <v>543</v>
      </c>
      <c r="J145" s="800" t="s">
        <v>2331</v>
      </c>
      <c r="K145" s="842">
        <v>5800</v>
      </c>
      <c r="L145" s="842">
        <v>218932</v>
      </c>
      <c r="M145" s="920">
        <v>218932</v>
      </c>
      <c r="N145" s="842">
        <v>218932</v>
      </c>
      <c r="O145" s="808">
        <f t="shared" si="10"/>
        <v>37.746896551724134</v>
      </c>
      <c r="P145" s="842">
        <v>100</v>
      </c>
      <c r="Q145" s="842">
        <v>5800</v>
      </c>
      <c r="R145" s="842"/>
      <c r="S145" s="842">
        <v>5800</v>
      </c>
      <c r="T145" s="842" t="s">
        <v>233</v>
      </c>
      <c r="U145" s="842"/>
      <c r="V145" s="842">
        <v>5800</v>
      </c>
      <c r="W145" s="842">
        <v>0</v>
      </c>
      <c r="X145" s="842">
        <v>52596</v>
      </c>
      <c r="Y145" s="808">
        <f>X145/S145</f>
        <v>9.0682758620689654</v>
      </c>
      <c r="Z145" s="842"/>
      <c r="AA145" s="842"/>
      <c r="AB145" s="842"/>
      <c r="AC145" s="842"/>
      <c r="AD145" s="842"/>
      <c r="AE145" s="842"/>
      <c r="AF145" s="842"/>
      <c r="AG145" s="842"/>
      <c r="AH145" s="842"/>
      <c r="AI145" s="842"/>
      <c r="AJ145" s="842"/>
      <c r="AK145" s="842"/>
      <c r="AL145" s="842"/>
      <c r="AM145" s="842"/>
      <c r="AN145" s="842"/>
      <c r="AO145" s="842"/>
      <c r="AP145" s="842"/>
      <c r="AQ145" s="842"/>
      <c r="AR145" s="842"/>
      <c r="AS145" s="842"/>
      <c r="AT145" s="842"/>
      <c r="AU145" s="265" t="s">
        <v>544</v>
      </c>
    </row>
    <row r="146" spans="1:74" s="904" customFormat="1" ht="14.25" customHeight="1">
      <c r="A146" s="794">
        <v>144</v>
      </c>
      <c r="B146" s="812" t="s">
        <v>855</v>
      </c>
      <c r="C146" s="785" t="s">
        <v>1260</v>
      </c>
      <c r="D146" s="792">
        <v>40513</v>
      </c>
      <c r="E146" s="792">
        <v>40634</v>
      </c>
      <c r="F146" s="911">
        <v>2010</v>
      </c>
      <c r="G146" s="812" t="s">
        <v>5</v>
      </c>
      <c r="H146" s="837" t="s">
        <v>1451</v>
      </c>
      <c r="I146" s="785" t="s">
        <v>854</v>
      </c>
      <c r="J146" s="800" t="s">
        <v>2331</v>
      </c>
      <c r="K146" s="842">
        <v>6630</v>
      </c>
      <c r="L146" s="842">
        <v>111031</v>
      </c>
      <c r="M146" s="842">
        <v>111031</v>
      </c>
      <c r="N146" s="842">
        <v>111031</v>
      </c>
      <c r="O146" s="808">
        <f t="shared" ref="O146:O177" si="13">N146/K146</f>
        <v>16.746757164404222</v>
      </c>
      <c r="P146" s="842">
        <v>100</v>
      </c>
      <c r="Q146" s="842"/>
      <c r="R146" s="842"/>
      <c r="S146" s="842">
        <v>6630</v>
      </c>
      <c r="T146" s="842"/>
      <c r="U146" s="842"/>
      <c r="V146" s="842">
        <v>6630</v>
      </c>
      <c r="W146" s="842"/>
      <c r="X146" s="842"/>
      <c r="Y146" s="808">
        <f>X146/S146</f>
        <v>0</v>
      </c>
      <c r="Z146" s="842"/>
      <c r="AA146" s="842">
        <v>6630</v>
      </c>
      <c r="AB146" s="842"/>
      <c r="AC146" s="842"/>
      <c r="AD146" s="842"/>
      <c r="AE146" s="842"/>
      <c r="AF146" s="842"/>
      <c r="AG146" s="842"/>
      <c r="AH146" s="842"/>
      <c r="AI146" s="842"/>
      <c r="AJ146" s="787">
        <f t="shared" ref="AJ146:AJ209" si="14">SUM(Z146,AA146,AH146)</f>
        <v>6630</v>
      </c>
      <c r="AK146" s="842"/>
      <c r="AL146" s="842"/>
      <c r="AM146" s="842"/>
      <c r="AN146" s="842"/>
      <c r="AO146" s="842"/>
      <c r="AP146" s="842"/>
      <c r="AQ146" s="842"/>
      <c r="AR146" s="842"/>
      <c r="AS146" s="842"/>
      <c r="AT146" s="842"/>
      <c r="AU146" s="265" t="s">
        <v>853</v>
      </c>
    </row>
    <row r="147" spans="1:74" s="904" customFormat="1" ht="14.25" customHeight="1">
      <c r="A147" s="794">
        <v>145</v>
      </c>
      <c r="B147" s="812" t="s">
        <v>25</v>
      </c>
      <c r="C147" s="785" t="s">
        <v>1260</v>
      </c>
      <c r="D147" s="792">
        <v>40513</v>
      </c>
      <c r="E147" s="792">
        <v>40634</v>
      </c>
      <c r="F147" s="911">
        <v>2010</v>
      </c>
      <c r="G147" s="812" t="s">
        <v>5</v>
      </c>
      <c r="H147" s="837" t="s">
        <v>1451</v>
      </c>
      <c r="I147" s="785" t="s">
        <v>852</v>
      </c>
      <c r="J147" s="800" t="s">
        <v>2331</v>
      </c>
      <c r="K147" s="842">
        <v>4000</v>
      </c>
      <c r="L147" s="842">
        <v>59800</v>
      </c>
      <c r="M147" s="842">
        <v>54467</v>
      </c>
      <c r="N147" s="842">
        <v>54467</v>
      </c>
      <c r="O147" s="808">
        <f t="shared" si="13"/>
        <v>13.61675</v>
      </c>
      <c r="P147" s="842">
        <v>100</v>
      </c>
      <c r="Q147" s="842"/>
      <c r="R147" s="842"/>
      <c r="S147" s="842">
        <v>4000</v>
      </c>
      <c r="T147" s="842"/>
      <c r="U147" s="842"/>
      <c r="V147" s="842">
        <v>4000</v>
      </c>
      <c r="W147" s="842">
        <v>15400</v>
      </c>
      <c r="X147" s="842">
        <v>9145</v>
      </c>
      <c r="Y147" s="808">
        <f>X147/S147</f>
        <v>2.2862499999999999</v>
      </c>
      <c r="Z147" s="842"/>
      <c r="AA147" s="842">
        <v>4000</v>
      </c>
      <c r="AB147" s="842"/>
      <c r="AC147" s="842"/>
      <c r="AD147" s="842"/>
      <c r="AE147" s="842"/>
      <c r="AF147" s="842"/>
      <c r="AG147" s="842"/>
      <c r="AH147" s="842"/>
      <c r="AI147" s="842"/>
      <c r="AJ147" s="787">
        <f t="shared" si="14"/>
        <v>4000</v>
      </c>
      <c r="AK147" s="842"/>
      <c r="AL147" s="842"/>
      <c r="AM147" s="842"/>
      <c r="AN147" s="842"/>
      <c r="AO147" s="842"/>
      <c r="AP147" s="842"/>
      <c r="AQ147" s="842"/>
      <c r="AR147" s="842"/>
      <c r="AS147" s="842"/>
      <c r="AT147" s="842"/>
      <c r="AU147" s="275" t="s">
        <v>851</v>
      </c>
    </row>
    <row r="148" spans="1:74" s="904" customFormat="1" ht="14.25" customHeight="1">
      <c r="A148" s="794">
        <v>146</v>
      </c>
      <c r="B148" s="812" t="s">
        <v>857</v>
      </c>
      <c r="C148" s="785" t="s">
        <v>1286</v>
      </c>
      <c r="D148" s="792">
        <v>40422</v>
      </c>
      <c r="E148" s="792">
        <v>40664</v>
      </c>
      <c r="F148" s="911">
        <v>2010</v>
      </c>
      <c r="G148" s="812" t="s">
        <v>858</v>
      </c>
      <c r="H148" s="837" t="s">
        <v>1450</v>
      </c>
      <c r="I148" s="785" t="s">
        <v>859</v>
      </c>
      <c r="J148" s="800" t="s">
        <v>2331</v>
      </c>
      <c r="K148" s="842">
        <v>2500</v>
      </c>
      <c r="L148" s="842">
        <v>150644</v>
      </c>
      <c r="M148" s="920">
        <v>120514</v>
      </c>
      <c r="N148" s="842">
        <v>120514</v>
      </c>
      <c r="O148" s="808">
        <f t="shared" si="13"/>
        <v>48.205599999999997</v>
      </c>
      <c r="P148" s="842">
        <v>100</v>
      </c>
      <c r="Q148" s="842"/>
      <c r="R148" s="842"/>
      <c r="S148" s="842"/>
      <c r="T148" s="842"/>
      <c r="U148" s="842"/>
      <c r="V148" s="842"/>
      <c r="W148" s="842"/>
      <c r="X148" s="842"/>
      <c r="Y148" s="842"/>
      <c r="Z148" s="842">
        <v>2500</v>
      </c>
      <c r="AA148" s="842">
        <v>2500</v>
      </c>
      <c r="AB148" s="842">
        <v>30</v>
      </c>
      <c r="AC148" s="842"/>
      <c r="AD148" s="842"/>
      <c r="AE148" s="842"/>
      <c r="AF148" s="842"/>
      <c r="AG148" s="842"/>
      <c r="AH148" s="842"/>
      <c r="AI148" s="842"/>
      <c r="AJ148" s="787">
        <f t="shared" si="14"/>
        <v>5000</v>
      </c>
      <c r="AK148" s="842"/>
      <c r="AL148" s="842"/>
      <c r="AM148" s="842"/>
      <c r="AN148" s="842"/>
      <c r="AO148" s="842"/>
      <c r="AP148" s="842"/>
      <c r="AQ148" s="842"/>
      <c r="AR148" s="842"/>
      <c r="AS148" s="842"/>
      <c r="AT148" s="842"/>
      <c r="AU148" s="265" t="s">
        <v>860</v>
      </c>
    </row>
    <row r="149" spans="1:74" s="904" customFormat="1" ht="14.25" customHeight="1">
      <c r="A149" s="794">
        <v>147</v>
      </c>
      <c r="B149" s="812" t="s">
        <v>97</v>
      </c>
      <c r="C149" s="785" t="s">
        <v>1299</v>
      </c>
      <c r="D149" s="792">
        <v>40391</v>
      </c>
      <c r="E149" s="792">
        <v>40634</v>
      </c>
      <c r="F149" s="911">
        <v>2010</v>
      </c>
      <c r="G149" s="812" t="s">
        <v>5</v>
      </c>
      <c r="H149" s="837" t="s">
        <v>1451</v>
      </c>
      <c r="I149" s="785" t="s">
        <v>861</v>
      </c>
      <c r="J149" s="800" t="s">
        <v>2331</v>
      </c>
      <c r="K149" s="842">
        <v>10500</v>
      </c>
      <c r="L149" s="842">
        <v>242119</v>
      </c>
      <c r="M149" s="920">
        <v>241535</v>
      </c>
      <c r="N149" s="842">
        <v>241535</v>
      </c>
      <c r="O149" s="808">
        <f t="shared" si="13"/>
        <v>23.003333333333334</v>
      </c>
      <c r="P149" s="842">
        <v>100</v>
      </c>
      <c r="Q149" s="842">
        <v>7500</v>
      </c>
      <c r="R149" s="842">
        <v>40</v>
      </c>
      <c r="S149" s="842">
        <v>7500</v>
      </c>
      <c r="T149" s="842"/>
      <c r="U149" s="842">
        <v>100</v>
      </c>
      <c r="V149" s="842">
        <v>7500</v>
      </c>
      <c r="W149" s="842"/>
      <c r="X149" s="842"/>
      <c r="Y149" s="808">
        <f>X149/S149</f>
        <v>0</v>
      </c>
      <c r="Z149" s="842"/>
      <c r="AA149" s="842">
        <v>7500</v>
      </c>
      <c r="AB149" s="842"/>
      <c r="AC149" s="842"/>
      <c r="AD149" s="842"/>
      <c r="AE149" s="842">
        <v>3000</v>
      </c>
      <c r="AF149" s="842"/>
      <c r="AG149" s="842"/>
      <c r="AH149" s="842"/>
      <c r="AI149" s="842"/>
      <c r="AJ149" s="787">
        <f t="shared" si="14"/>
        <v>7500</v>
      </c>
      <c r="AK149" s="842"/>
      <c r="AL149" s="842"/>
      <c r="AM149" s="842"/>
      <c r="AN149" s="842"/>
      <c r="AO149" s="842"/>
      <c r="AP149" s="842"/>
      <c r="AQ149" s="842"/>
      <c r="AR149" s="842"/>
      <c r="AS149" s="842"/>
      <c r="AT149" s="842"/>
      <c r="AU149" s="265" t="s">
        <v>862</v>
      </c>
    </row>
    <row r="150" spans="1:74" s="904" customFormat="1" ht="14.25" customHeight="1">
      <c r="A150" s="794">
        <v>148</v>
      </c>
      <c r="B150" s="812" t="s">
        <v>148</v>
      </c>
      <c r="C150" s="785" t="s">
        <v>1299</v>
      </c>
      <c r="D150" s="792">
        <v>40513</v>
      </c>
      <c r="E150" s="792">
        <v>40544</v>
      </c>
      <c r="F150" s="911">
        <v>2010</v>
      </c>
      <c r="G150" s="812" t="s">
        <v>863</v>
      </c>
      <c r="H150" s="837" t="s">
        <v>1449</v>
      </c>
      <c r="I150" s="785" t="s">
        <v>864</v>
      </c>
      <c r="J150" s="800" t="s">
        <v>2331</v>
      </c>
      <c r="K150" s="842">
        <v>1200000</v>
      </c>
      <c r="L150" s="842">
        <v>166628</v>
      </c>
      <c r="M150" s="920">
        <v>166628</v>
      </c>
      <c r="N150" s="842">
        <v>166628</v>
      </c>
      <c r="O150" s="808">
        <f t="shared" si="13"/>
        <v>0.13885666666666666</v>
      </c>
      <c r="P150" s="842">
        <v>100</v>
      </c>
      <c r="Q150" s="842"/>
      <c r="R150" s="842"/>
      <c r="S150" s="842"/>
      <c r="T150" s="842"/>
      <c r="U150" s="842"/>
      <c r="V150" s="842"/>
      <c r="W150" s="842"/>
      <c r="X150" s="842"/>
      <c r="Y150" s="842"/>
      <c r="Z150" s="842"/>
      <c r="AA150" s="842">
        <v>1065043</v>
      </c>
      <c r="AB150" s="842">
        <v>4900</v>
      </c>
      <c r="AC150" s="842"/>
      <c r="AD150" s="842"/>
      <c r="AE150" s="842"/>
      <c r="AF150" s="842"/>
      <c r="AG150" s="842"/>
      <c r="AH150" s="842"/>
      <c r="AI150" s="842"/>
      <c r="AJ150" s="787">
        <f t="shared" si="14"/>
        <v>1065043</v>
      </c>
      <c r="AK150" s="842"/>
      <c r="AL150" s="842"/>
      <c r="AM150" s="842"/>
      <c r="AN150" s="842"/>
      <c r="AO150" s="842"/>
      <c r="AP150" s="842"/>
      <c r="AQ150" s="842"/>
      <c r="AR150" s="842"/>
      <c r="AS150" s="842"/>
      <c r="AT150" s="842"/>
      <c r="AU150" s="265" t="s">
        <v>865</v>
      </c>
    </row>
    <row r="151" spans="1:74" s="904" customFormat="1" ht="14.1" customHeight="1">
      <c r="A151" s="794">
        <v>149</v>
      </c>
      <c r="B151" s="812" t="s">
        <v>12</v>
      </c>
      <c r="C151" s="785" t="s">
        <v>1299</v>
      </c>
      <c r="D151" s="792">
        <v>40483</v>
      </c>
      <c r="E151" s="792">
        <v>40634</v>
      </c>
      <c r="F151" s="911">
        <v>2010</v>
      </c>
      <c r="G151" s="812" t="s">
        <v>615</v>
      </c>
      <c r="H151" s="837" t="s">
        <v>1452</v>
      </c>
      <c r="I151" s="785" t="s">
        <v>869</v>
      </c>
      <c r="J151" s="800" t="s">
        <v>2331</v>
      </c>
      <c r="K151" s="842">
        <v>14072</v>
      </c>
      <c r="L151" s="842">
        <v>253952</v>
      </c>
      <c r="M151" s="920">
        <v>253952</v>
      </c>
      <c r="N151" s="842">
        <v>253952</v>
      </c>
      <c r="O151" s="808">
        <f t="shared" si="13"/>
        <v>18.046617396247868</v>
      </c>
      <c r="P151" s="842">
        <v>100</v>
      </c>
      <c r="Q151" s="842">
        <v>4000</v>
      </c>
      <c r="R151" s="842">
        <v>4000</v>
      </c>
      <c r="S151" s="842">
        <v>4000</v>
      </c>
      <c r="T151" s="842"/>
      <c r="U151" s="842">
        <v>10</v>
      </c>
      <c r="V151" s="842">
        <v>8203</v>
      </c>
      <c r="W151" s="842">
        <v>73543</v>
      </c>
      <c r="X151" s="842">
        <v>73543</v>
      </c>
      <c r="Y151" s="808">
        <f>X151/S151</f>
        <v>18.385750000000002</v>
      </c>
      <c r="Z151" s="842"/>
      <c r="AA151" s="842"/>
      <c r="AB151" s="842"/>
      <c r="AC151" s="842">
        <v>25</v>
      </c>
      <c r="AD151" s="842"/>
      <c r="AE151" s="842"/>
      <c r="AF151" s="842"/>
      <c r="AG151" s="842">
        <v>12900</v>
      </c>
      <c r="AH151" s="842">
        <v>1108</v>
      </c>
      <c r="AI151" s="842"/>
      <c r="AJ151" s="787">
        <f t="shared" si="14"/>
        <v>1108</v>
      </c>
      <c r="AK151" s="842">
        <v>36666</v>
      </c>
      <c r="AL151" s="842">
        <v>36666</v>
      </c>
      <c r="AM151" s="842"/>
      <c r="AN151" s="842"/>
      <c r="AO151" s="842"/>
      <c r="AP151" s="842"/>
      <c r="AQ151" s="842"/>
      <c r="AR151" s="842"/>
      <c r="AS151" s="842"/>
      <c r="AT151" s="842"/>
      <c r="AU151" s="275" t="s">
        <v>870</v>
      </c>
    </row>
    <row r="152" spans="1:74" s="904" customFormat="1" ht="14.25" customHeight="1">
      <c r="A152" s="794">
        <v>150</v>
      </c>
      <c r="B152" s="812" t="s">
        <v>871</v>
      </c>
      <c r="C152" s="785" t="s">
        <v>1260</v>
      </c>
      <c r="D152" s="792">
        <v>40452</v>
      </c>
      <c r="E152" s="792">
        <v>40664</v>
      </c>
      <c r="F152" s="911">
        <v>2010</v>
      </c>
      <c r="G152" s="812" t="s">
        <v>122</v>
      </c>
      <c r="H152" s="837" t="s">
        <v>1451</v>
      </c>
      <c r="I152" s="785" t="s">
        <v>872</v>
      </c>
      <c r="J152" s="800" t="s">
        <v>2331</v>
      </c>
      <c r="K152" s="842">
        <v>3000</v>
      </c>
      <c r="L152" s="842">
        <v>88725</v>
      </c>
      <c r="M152" s="920">
        <v>88518</v>
      </c>
      <c r="N152" s="842">
        <v>88518</v>
      </c>
      <c r="O152" s="808">
        <f t="shared" si="13"/>
        <v>29.506</v>
      </c>
      <c r="P152" s="842">
        <v>100</v>
      </c>
      <c r="Q152" s="842"/>
      <c r="R152" s="842"/>
      <c r="S152" s="842"/>
      <c r="T152" s="842"/>
      <c r="U152" s="842"/>
      <c r="V152" s="842"/>
      <c r="W152" s="842">
        <v>6000</v>
      </c>
      <c r="X152" s="842">
        <v>12752</v>
      </c>
      <c r="Y152" s="842"/>
      <c r="Z152" s="842">
        <v>138</v>
      </c>
      <c r="AA152" s="842"/>
      <c r="AB152" s="842">
        <v>40</v>
      </c>
      <c r="AC152" s="842"/>
      <c r="AD152" s="842"/>
      <c r="AE152" s="842"/>
      <c r="AF152" s="842"/>
      <c r="AG152" s="842"/>
      <c r="AH152" s="842"/>
      <c r="AI152" s="842"/>
      <c r="AJ152" s="787">
        <f t="shared" si="14"/>
        <v>138</v>
      </c>
      <c r="AK152" s="842"/>
      <c r="AL152" s="842">
        <v>441</v>
      </c>
      <c r="AM152" s="842"/>
      <c r="AN152" s="842"/>
      <c r="AO152" s="842"/>
      <c r="AP152" s="842"/>
      <c r="AQ152" s="842"/>
      <c r="AR152" s="842"/>
      <c r="AS152" s="842"/>
      <c r="AT152" s="842"/>
      <c r="AU152" s="265" t="s">
        <v>873</v>
      </c>
      <c r="BV152" s="924"/>
    </row>
    <row r="153" spans="1:74" s="904" customFormat="1" ht="14.25" customHeight="1">
      <c r="A153" s="794">
        <v>151</v>
      </c>
      <c r="B153" s="812" t="s">
        <v>244</v>
      </c>
      <c r="C153" s="785" t="s">
        <v>1299</v>
      </c>
      <c r="D153" s="792">
        <v>40330</v>
      </c>
      <c r="E153" s="792">
        <v>40634</v>
      </c>
      <c r="F153" s="911">
        <v>2010</v>
      </c>
      <c r="G153" s="812" t="s">
        <v>875</v>
      </c>
      <c r="H153" s="837" t="s">
        <v>1449</v>
      </c>
      <c r="I153" s="785" t="s">
        <v>874</v>
      </c>
      <c r="J153" s="800" t="s">
        <v>2331</v>
      </c>
      <c r="K153" s="842">
        <v>800000</v>
      </c>
      <c r="L153" s="842">
        <v>381154</v>
      </c>
      <c r="M153" s="920">
        <v>370276</v>
      </c>
      <c r="N153" s="842">
        <v>370276</v>
      </c>
      <c r="O153" s="808">
        <f t="shared" si="13"/>
        <v>0.46284500000000001</v>
      </c>
      <c r="P153" s="842">
        <v>100</v>
      </c>
      <c r="Q153" s="842"/>
      <c r="R153" s="842"/>
      <c r="S153" s="842"/>
      <c r="T153" s="842"/>
      <c r="U153" s="842"/>
      <c r="V153" s="842">
        <v>145534</v>
      </c>
      <c r="W153" s="842">
        <v>100686</v>
      </c>
      <c r="X153" s="842">
        <v>49231</v>
      </c>
      <c r="Y153" s="842"/>
      <c r="Z153" s="842"/>
      <c r="AA153" s="842">
        <v>1026038</v>
      </c>
      <c r="AB153" s="842">
        <v>495</v>
      </c>
      <c r="AC153" s="842"/>
      <c r="AD153" s="842"/>
      <c r="AE153" s="842"/>
      <c r="AF153" s="842"/>
      <c r="AG153" s="842"/>
      <c r="AH153" s="842">
        <v>128</v>
      </c>
      <c r="AI153" s="842"/>
      <c r="AJ153" s="787">
        <f t="shared" si="14"/>
        <v>1026166</v>
      </c>
      <c r="AK153" s="842">
        <v>19996</v>
      </c>
      <c r="AL153" s="842">
        <v>29316</v>
      </c>
      <c r="AM153" s="842"/>
      <c r="AN153" s="842"/>
      <c r="AO153" s="842"/>
      <c r="AP153" s="842"/>
      <c r="AQ153" s="842"/>
      <c r="AR153" s="842"/>
      <c r="AS153" s="842"/>
      <c r="AT153" s="842"/>
      <c r="AU153" s="265" t="s">
        <v>876</v>
      </c>
      <c r="BV153" s="924"/>
    </row>
    <row r="154" spans="1:74" s="904" customFormat="1" ht="14.25" customHeight="1">
      <c r="A154" s="794">
        <v>152</v>
      </c>
      <c r="B154" s="812" t="s">
        <v>933</v>
      </c>
      <c r="C154" s="785" t="s">
        <v>1286</v>
      </c>
      <c r="D154" s="792">
        <v>40422</v>
      </c>
      <c r="E154" s="792">
        <v>40634</v>
      </c>
      <c r="F154" s="911">
        <v>2010</v>
      </c>
      <c r="G154" s="812" t="s">
        <v>5</v>
      </c>
      <c r="H154" s="837" t="s">
        <v>1451</v>
      </c>
      <c r="I154" s="785" t="s">
        <v>877</v>
      </c>
      <c r="J154" s="800" t="s">
        <v>2331</v>
      </c>
      <c r="K154" s="842">
        <v>5000</v>
      </c>
      <c r="L154" s="842">
        <v>242122</v>
      </c>
      <c r="M154" s="920">
        <v>232396</v>
      </c>
      <c r="N154" s="842">
        <v>232396</v>
      </c>
      <c r="O154" s="808">
        <f t="shared" si="13"/>
        <v>46.479199999999999</v>
      </c>
      <c r="P154" s="842">
        <v>96</v>
      </c>
      <c r="Q154" s="842"/>
      <c r="R154" s="842"/>
      <c r="S154" s="842"/>
      <c r="T154" s="842"/>
      <c r="U154" s="842"/>
      <c r="V154" s="842"/>
      <c r="W154" s="842">
        <v>24060</v>
      </c>
      <c r="X154" s="842">
        <v>20588</v>
      </c>
      <c r="Y154" s="842"/>
      <c r="Z154" s="842">
        <v>2954</v>
      </c>
      <c r="AA154" s="842">
        <v>2954</v>
      </c>
      <c r="AB154" s="842">
        <v>19</v>
      </c>
      <c r="AC154" s="842"/>
      <c r="AD154" s="842"/>
      <c r="AE154" s="842">
        <v>2000</v>
      </c>
      <c r="AF154" s="842"/>
      <c r="AG154" s="842"/>
      <c r="AH154" s="842"/>
      <c r="AI154" s="842"/>
      <c r="AJ154" s="787">
        <f t="shared" si="14"/>
        <v>5908</v>
      </c>
      <c r="AK154" s="842">
        <v>1504</v>
      </c>
      <c r="AL154" s="842">
        <v>1443.84</v>
      </c>
      <c r="AM154" s="842"/>
      <c r="AN154" s="842"/>
      <c r="AO154" s="842"/>
      <c r="AP154" s="842"/>
      <c r="AQ154" s="842"/>
      <c r="AR154" s="842"/>
      <c r="AS154" s="842"/>
      <c r="AT154" s="842"/>
      <c r="AU154" s="265" t="s">
        <v>878</v>
      </c>
      <c r="BV154" s="924"/>
    </row>
    <row r="155" spans="1:74" s="904" customFormat="1" ht="14.25" customHeight="1">
      <c r="A155" s="794">
        <v>153</v>
      </c>
      <c r="B155" s="923" t="s">
        <v>20</v>
      </c>
      <c r="C155" s="785" t="s">
        <v>1286</v>
      </c>
      <c r="D155" s="909">
        <v>40330</v>
      </c>
      <c r="E155" s="909">
        <v>40603</v>
      </c>
      <c r="F155" s="911">
        <v>2010</v>
      </c>
      <c r="G155" s="874" t="s">
        <v>5</v>
      </c>
      <c r="H155" s="837" t="s">
        <v>1451</v>
      </c>
      <c r="I155" s="906" t="s">
        <v>879</v>
      </c>
      <c r="J155" s="800" t="s">
        <v>2331</v>
      </c>
      <c r="K155" s="907">
        <v>2500</v>
      </c>
      <c r="L155" s="907">
        <v>68288</v>
      </c>
      <c r="M155" s="922">
        <v>51470</v>
      </c>
      <c r="N155" s="907">
        <v>51470</v>
      </c>
      <c r="O155" s="808">
        <f t="shared" si="13"/>
        <v>20.588000000000001</v>
      </c>
      <c r="P155" s="907">
        <v>75</v>
      </c>
      <c r="Q155" s="907">
        <v>5105</v>
      </c>
      <c r="R155" s="907"/>
      <c r="S155" s="907">
        <v>5105</v>
      </c>
      <c r="T155" s="907"/>
      <c r="U155" s="907"/>
      <c r="V155" s="907">
        <v>2500</v>
      </c>
      <c r="W155" s="907"/>
      <c r="X155" s="907"/>
      <c r="Y155" s="808">
        <f>X155/S155</f>
        <v>0</v>
      </c>
      <c r="Z155" s="907"/>
      <c r="AA155" s="907"/>
      <c r="AB155" s="907">
        <v>25</v>
      </c>
      <c r="AC155" s="907"/>
      <c r="AD155" s="907"/>
      <c r="AE155" s="907">
        <v>1500</v>
      </c>
      <c r="AF155" s="907"/>
      <c r="AG155" s="907"/>
      <c r="AH155" s="907"/>
      <c r="AI155" s="907"/>
      <c r="AJ155" s="787">
        <f t="shared" si="14"/>
        <v>0</v>
      </c>
      <c r="AK155" s="907">
        <v>2931</v>
      </c>
      <c r="AL155" s="907">
        <v>3214</v>
      </c>
      <c r="AM155" s="907"/>
      <c r="AN155" s="907"/>
      <c r="AO155" s="907"/>
      <c r="AP155" s="907"/>
      <c r="AQ155" s="907"/>
      <c r="AR155" s="907"/>
      <c r="AS155" s="907"/>
      <c r="AT155" s="907"/>
      <c r="AU155" s="276" t="s">
        <v>880</v>
      </c>
      <c r="BV155" s="924"/>
    </row>
    <row r="156" spans="1:74" s="904" customFormat="1" ht="14.25" customHeight="1">
      <c r="A156" s="794">
        <v>154</v>
      </c>
      <c r="B156" s="923" t="s">
        <v>462</v>
      </c>
      <c r="C156" s="785" t="s">
        <v>1299</v>
      </c>
      <c r="D156" s="909">
        <v>40269</v>
      </c>
      <c r="E156" s="909">
        <v>40603</v>
      </c>
      <c r="F156" s="911">
        <v>2010</v>
      </c>
      <c r="G156" s="874" t="s">
        <v>881</v>
      </c>
      <c r="H156" s="837" t="s">
        <v>1449</v>
      </c>
      <c r="I156" s="906" t="s">
        <v>882</v>
      </c>
      <c r="J156" s="800" t="s">
        <v>2331</v>
      </c>
      <c r="K156" s="907">
        <v>15000</v>
      </c>
      <c r="L156" s="907">
        <v>41159</v>
      </c>
      <c r="M156" s="907">
        <v>41159</v>
      </c>
      <c r="N156" s="907">
        <v>39600</v>
      </c>
      <c r="O156" s="808">
        <f t="shared" si="13"/>
        <v>2.64</v>
      </c>
      <c r="P156" s="907">
        <v>100</v>
      </c>
      <c r="Q156" s="907"/>
      <c r="R156" s="907"/>
      <c r="S156" s="907"/>
      <c r="T156" s="907"/>
      <c r="U156" s="907"/>
      <c r="V156" s="907"/>
      <c r="W156" s="907"/>
      <c r="X156" s="907">
        <v>73</v>
      </c>
      <c r="Y156" s="907"/>
      <c r="Z156" s="907"/>
      <c r="AA156" s="907">
        <v>15000</v>
      </c>
      <c r="AB156" s="907">
        <v>80</v>
      </c>
      <c r="AC156" s="907" t="s">
        <v>94</v>
      </c>
      <c r="AD156" s="907"/>
      <c r="AE156" s="907"/>
      <c r="AF156" s="907"/>
      <c r="AG156" s="907"/>
      <c r="AH156" s="907"/>
      <c r="AI156" s="907"/>
      <c r="AJ156" s="787">
        <f t="shared" si="14"/>
        <v>15000</v>
      </c>
      <c r="AK156" s="907"/>
      <c r="AL156" s="907"/>
      <c r="AM156" s="907"/>
      <c r="AN156" s="907"/>
      <c r="AO156" s="907"/>
      <c r="AP156" s="907"/>
      <c r="AQ156" s="907"/>
      <c r="AR156" s="907"/>
      <c r="AS156" s="907"/>
      <c r="AT156" s="907"/>
      <c r="AU156" s="276" t="s">
        <v>883</v>
      </c>
    </row>
    <row r="157" spans="1:74" s="904" customFormat="1" ht="14.25" customHeight="1">
      <c r="A157" s="794">
        <v>155</v>
      </c>
      <c r="B157" s="923" t="s">
        <v>121</v>
      </c>
      <c r="C157" s="785" t="s">
        <v>1261</v>
      </c>
      <c r="D157" s="909">
        <v>40391</v>
      </c>
      <c r="E157" s="909">
        <v>40544</v>
      </c>
      <c r="F157" s="911">
        <v>2010</v>
      </c>
      <c r="G157" s="874" t="s">
        <v>5</v>
      </c>
      <c r="H157" s="837" t="s">
        <v>1451</v>
      </c>
      <c r="I157" s="906" t="s">
        <v>884</v>
      </c>
      <c r="J157" s="800" t="s">
        <v>2331</v>
      </c>
      <c r="K157" s="907">
        <v>20000</v>
      </c>
      <c r="L157" s="907">
        <v>493628</v>
      </c>
      <c r="M157" s="922">
        <v>475243</v>
      </c>
      <c r="N157" s="907">
        <v>475243</v>
      </c>
      <c r="O157" s="808">
        <f t="shared" si="13"/>
        <v>23.762149999999998</v>
      </c>
      <c r="P157" s="907">
        <v>100</v>
      </c>
      <c r="Q157" s="907"/>
      <c r="R157" s="907"/>
      <c r="S157" s="907"/>
      <c r="T157" s="907"/>
      <c r="U157" s="907"/>
      <c r="V157" s="907">
        <v>5000</v>
      </c>
      <c r="W157" s="907"/>
      <c r="X157" s="907"/>
      <c r="Y157" s="907"/>
      <c r="Z157" s="907"/>
      <c r="AA157" s="907"/>
      <c r="AB157" s="907">
        <v>25</v>
      </c>
      <c r="AC157" s="907"/>
      <c r="AD157" s="907"/>
      <c r="AE157" s="907"/>
      <c r="AF157" s="907"/>
      <c r="AG157" s="907"/>
      <c r="AH157" s="907"/>
      <c r="AI157" s="907"/>
      <c r="AJ157" s="787">
        <f t="shared" si="14"/>
        <v>0</v>
      </c>
      <c r="AK157" s="907">
        <v>15000</v>
      </c>
      <c r="AL157" s="907">
        <v>15000</v>
      </c>
      <c r="AM157" s="907"/>
      <c r="AN157" s="907"/>
      <c r="AO157" s="907"/>
      <c r="AP157" s="907"/>
      <c r="AQ157" s="907"/>
      <c r="AR157" s="907"/>
      <c r="AS157" s="907"/>
      <c r="AT157" s="907"/>
      <c r="AU157" s="276" t="s">
        <v>885</v>
      </c>
    </row>
    <row r="158" spans="1:74" s="904" customFormat="1" ht="14.25" customHeight="1">
      <c r="A158" s="794">
        <v>156</v>
      </c>
      <c r="B158" s="923" t="s">
        <v>244</v>
      </c>
      <c r="C158" s="785" t="s">
        <v>1299</v>
      </c>
      <c r="D158" s="909">
        <v>40391</v>
      </c>
      <c r="E158" s="909">
        <v>40575</v>
      </c>
      <c r="F158" s="911">
        <v>2010</v>
      </c>
      <c r="G158" s="874" t="s">
        <v>5</v>
      </c>
      <c r="H158" s="837" t="s">
        <v>1451</v>
      </c>
      <c r="I158" s="906" t="s">
        <v>889</v>
      </c>
      <c r="J158" s="800" t="s">
        <v>2331</v>
      </c>
      <c r="K158" s="907">
        <v>3000</v>
      </c>
      <c r="L158" s="907">
        <v>153062</v>
      </c>
      <c r="M158" s="922">
        <v>150294</v>
      </c>
      <c r="N158" s="907">
        <v>150294</v>
      </c>
      <c r="O158" s="808">
        <f t="shared" si="13"/>
        <v>50.097999999999999</v>
      </c>
      <c r="P158" s="907">
        <v>98</v>
      </c>
      <c r="Q158" s="907"/>
      <c r="R158" s="907"/>
      <c r="S158" s="907"/>
      <c r="T158" s="907"/>
      <c r="U158" s="907"/>
      <c r="V158" s="907">
        <v>3000</v>
      </c>
      <c r="W158" s="907"/>
      <c r="X158" s="907"/>
      <c r="Y158" s="907"/>
      <c r="Z158" s="907"/>
      <c r="AA158" s="907">
        <v>3000</v>
      </c>
      <c r="AB158" s="907">
        <v>30</v>
      </c>
      <c r="AC158" s="907"/>
      <c r="AD158" s="907"/>
      <c r="AE158" s="907">
        <v>1200</v>
      </c>
      <c r="AF158" s="907"/>
      <c r="AG158" s="907"/>
      <c r="AH158" s="907"/>
      <c r="AI158" s="907"/>
      <c r="AJ158" s="787">
        <f t="shared" si="14"/>
        <v>3000</v>
      </c>
      <c r="AK158" s="907"/>
      <c r="AL158" s="907"/>
      <c r="AM158" s="907"/>
      <c r="AN158" s="907"/>
      <c r="AO158" s="907"/>
      <c r="AP158" s="907"/>
      <c r="AQ158" s="907"/>
      <c r="AR158" s="907"/>
      <c r="AS158" s="907"/>
      <c r="AT158" s="907"/>
      <c r="AU158" s="276" t="s">
        <v>890</v>
      </c>
    </row>
    <row r="159" spans="1:74" s="904" customFormat="1" ht="14.25" customHeight="1">
      <c r="A159" s="794">
        <v>157</v>
      </c>
      <c r="B159" s="923" t="s">
        <v>87</v>
      </c>
      <c r="C159" s="785" t="s">
        <v>1261</v>
      </c>
      <c r="D159" s="909">
        <v>40452</v>
      </c>
      <c r="E159" s="909">
        <v>40575</v>
      </c>
      <c r="F159" s="911">
        <v>2010</v>
      </c>
      <c r="G159" s="874" t="s">
        <v>891</v>
      </c>
      <c r="H159" s="837" t="s">
        <v>1450</v>
      </c>
      <c r="I159" s="906" t="s">
        <v>892</v>
      </c>
      <c r="J159" s="800" t="s">
        <v>2331</v>
      </c>
      <c r="K159" s="907">
        <v>18750</v>
      </c>
      <c r="L159" s="907">
        <v>250000</v>
      </c>
      <c r="M159" s="922">
        <v>250000</v>
      </c>
      <c r="N159" s="907">
        <v>249186</v>
      </c>
      <c r="O159" s="808">
        <f t="shared" si="13"/>
        <v>13.28992</v>
      </c>
      <c r="P159" s="907">
        <v>100</v>
      </c>
      <c r="Q159" s="907">
        <v>2915</v>
      </c>
      <c r="R159" s="907"/>
      <c r="S159" s="907">
        <v>2915</v>
      </c>
      <c r="T159" s="907"/>
      <c r="U159" s="907"/>
      <c r="V159" s="907"/>
      <c r="W159" s="907"/>
      <c r="X159" s="907">
        <v>5869</v>
      </c>
      <c r="Y159" s="808">
        <f>X159/S159</f>
        <v>2.0133790737564321</v>
      </c>
      <c r="Z159" s="907"/>
      <c r="AA159" s="907"/>
      <c r="AB159" s="907">
        <v>150</v>
      </c>
      <c r="AC159" s="907"/>
      <c r="AD159" s="907"/>
      <c r="AE159" s="907">
        <v>10000</v>
      </c>
      <c r="AF159" s="907"/>
      <c r="AG159" s="907"/>
      <c r="AH159" s="907"/>
      <c r="AI159" s="907"/>
      <c r="AJ159" s="787">
        <f t="shared" si="14"/>
        <v>0</v>
      </c>
      <c r="AK159" s="907"/>
      <c r="AL159" s="907"/>
      <c r="AM159" s="907"/>
      <c r="AN159" s="907"/>
      <c r="AO159" s="907"/>
      <c r="AP159" s="907"/>
      <c r="AQ159" s="907"/>
      <c r="AR159" s="907"/>
      <c r="AS159" s="907"/>
      <c r="AT159" s="907"/>
      <c r="AU159" s="293" t="s">
        <v>893</v>
      </c>
    </row>
    <row r="160" spans="1:74" s="904" customFormat="1" ht="14.25" customHeight="1">
      <c r="A160" s="794">
        <v>158</v>
      </c>
      <c r="B160" s="923" t="s">
        <v>353</v>
      </c>
      <c r="C160" s="785" t="s">
        <v>1299</v>
      </c>
      <c r="D160" s="909">
        <v>40391</v>
      </c>
      <c r="E160" s="909">
        <v>40575</v>
      </c>
      <c r="F160" s="911">
        <v>2010</v>
      </c>
      <c r="G160" s="874" t="s">
        <v>5</v>
      </c>
      <c r="H160" s="837" t="s">
        <v>1451</v>
      </c>
      <c r="I160" s="906" t="s">
        <v>894</v>
      </c>
      <c r="J160" s="800" t="s">
        <v>2331</v>
      </c>
      <c r="K160" s="907">
        <v>6144</v>
      </c>
      <c r="L160" s="907">
        <v>145252</v>
      </c>
      <c r="M160" s="922">
        <v>137910</v>
      </c>
      <c r="N160" s="907">
        <v>137910</v>
      </c>
      <c r="O160" s="808">
        <f t="shared" si="13"/>
        <v>22.4462890625</v>
      </c>
      <c r="P160" s="907">
        <v>95</v>
      </c>
      <c r="Q160" s="907">
        <v>2598</v>
      </c>
      <c r="R160" s="907">
        <v>2598</v>
      </c>
      <c r="S160" s="907">
        <v>2598</v>
      </c>
      <c r="T160" s="907"/>
      <c r="U160" s="907"/>
      <c r="V160" s="907">
        <v>6144</v>
      </c>
      <c r="W160" s="907">
        <v>14930</v>
      </c>
      <c r="X160" s="907">
        <v>6041</v>
      </c>
      <c r="Y160" s="808">
        <f>X160/S160</f>
        <v>2.3252501924557354</v>
      </c>
      <c r="Z160" s="907"/>
      <c r="AA160" s="907">
        <v>6144</v>
      </c>
      <c r="AB160" s="907">
        <v>55</v>
      </c>
      <c r="AC160" s="907"/>
      <c r="AD160" s="907"/>
      <c r="AE160" s="907">
        <v>660</v>
      </c>
      <c r="AF160" s="907"/>
      <c r="AG160" s="907"/>
      <c r="AH160" s="907"/>
      <c r="AI160" s="907"/>
      <c r="AJ160" s="787">
        <f t="shared" si="14"/>
        <v>6144</v>
      </c>
      <c r="AK160" s="907">
        <v>1071</v>
      </c>
      <c r="AL160" s="907">
        <v>1211</v>
      </c>
      <c r="AM160" s="907"/>
      <c r="AN160" s="907"/>
      <c r="AO160" s="907"/>
      <c r="AP160" s="907"/>
      <c r="AQ160" s="907"/>
      <c r="AR160" s="907"/>
      <c r="AS160" s="907"/>
      <c r="AT160" s="907"/>
      <c r="AU160" s="293" t="s">
        <v>895</v>
      </c>
    </row>
    <row r="161" spans="1:47" s="904" customFormat="1" ht="14.25" customHeight="1">
      <c r="A161" s="794">
        <v>159</v>
      </c>
      <c r="B161" s="923" t="s">
        <v>373</v>
      </c>
      <c r="C161" s="785" t="s">
        <v>1261</v>
      </c>
      <c r="D161" s="909">
        <v>40391</v>
      </c>
      <c r="E161" s="909">
        <v>40513</v>
      </c>
      <c r="F161" s="911">
        <v>2010</v>
      </c>
      <c r="G161" s="874" t="s">
        <v>623</v>
      </c>
      <c r="H161" s="837" t="s">
        <v>1451</v>
      </c>
      <c r="I161" s="906" t="s">
        <v>896</v>
      </c>
      <c r="J161" s="800" t="s">
        <v>2331</v>
      </c>
      <c r="K161" s="907">
        <v>40000</v>
      </c>
      <c r="L161" s="907">
        <v>54543</v>
      </c>
      <c r="M161" s="922">
        <v>54143</v>
      </c>
      <c r="N161" s="907">
        <v>47145</v>
      </c>
      <c r="O161" s="808">
        <f t="shared" si="13"/>
        <v>1.178625</v>
      </c>
      <c r="P161" s="907">
        <v>100</v>
      </c>
      <c r="Q161" s="907">
        <v>3600</v>
      </c>
      <c r="R161" s="907"/>
      <c r="S161" s="907">
        <v>3600</v>
      </c>
      <c r="T161" s="907"/>
      <c r="U161" s="907"/>
      <c r="V161" s="907">
        <v>3600</v>
      </c>
      <c r="W161" s="907">
        <v>4762</v>
      </c>
      <c r="X161" s="907">
        <v>822</v>
      </c>
      <c r="Y161" s="808">
        <f>X161/S161</f>
        <v>0.22833333333333333</v>
      </c>
      <c r="Z161" s="907"/>
      <c r="AA161" s="907"/>
      <c r="AB161" s="907">
        <v>9</v>
      </c>
      <c r="AC161" s="907"/>
      <c r="AD161" s="907"/>
      <c r="AE161" s="907"/>
      <c r="AF161" s="907"/>
      <c r="AG161" s="907"/>
      <c r="AH161" s="907"/>
      <c r="AI161" s="907"/>
      <c r="AJ161" s="787">
        <f t="shared" si="14"/>
        <v>0</v>
      </c>
      <c r="AK161" s="907"/>
      <c r="AL161" s="907"/>
      <c r="AM161" s="907"/>
      <c r="AN161" s="907"/>
      <c r="AO161" s="907"/>
      <c r="AP161" s="907"/>
      <c r="AQ161" s="907"/>
      <c r="AR161" s="907"/>
      <c r="AS161" s="907"/>
      <c r="AT161" s="907"/>
      <c r="AU161" s="276" t="s">
        <v>897</v>
      </c>
    </row>
    <row r="162" spans="1:47" s="904" customFormat="1" ht="15" customHeight="1">
      <c r="A162" s="794">
        <v>160</v>
      </c>
      <c r="B162" s="923" t="s">
        <v>85</v>
      </c>
      <c r="C162" s="785" t="s">
        <v>1261</v>
      </c>
      <c r="D162" s="909">
        <v>40391</v>
      </c>
      <c r="E162" s="909">
        <v>40452</v>
      </c>
      <c r="F162" s="911">
        <v>2010</v>
      </c>
      <c r="G162" s="874" t="s">
        <v>898</v>
      </c>
      <c r="H162" s="841" t="s">
        <v>1454</v>
      </c>
      <c r="I162" s="906" t="s">
        <v>899</v>
      </c>
      <c r="J162" s="800" t="s">
        <v>2331</v>
      </c>
      <c r="K162" s="907">
        <v>5000</v>
      </c>
      <c r="L162" s="907">
        <v>143243</v>
      </c>
      <c r="M162" s="922">
        <v>143243</v>
      </c>
      <c r="N162" s="907">
        <v>81295</v>
      </c>
      <c r="O162" s="808">
        <f t="shared" si="13"/>
        <v>16.259</v>
      </c>
      <c r="P162" s="907">
        <f>(M162*100)/L162</f>
        <v>100</v>
      </c>
      <c r="Q162" s="907">
        <v>1932</v>
      </c>
      <c r="R162" s="907">
        <v>842</v>
      </c>
      <c r="S162" s="907">
        <v>1932</v>
      </c>
      <c r="T162" s="907"/>
      <c r="U162" s="907"/>
      <c r="V162" s="907"/>
      <c r="W162" s="907"/>
      <c r="X162" s="907"/>
      <c r="Y162" s="808">
        <f>X162/S162</f>
        <v>0</v>
      </c>
      <c r="Z162" s="907">
        <v>268</v>
      </c>
      <c r="AA162" s="907"/>
      <c r="AB162" s="907">
        <v>83</v>
      </c>
      <c r="AC162" s="907"/>
      <c r="AD162" s="907"/>
      <c r="AE162" s="907"/>
      <c r="AF162" s="907"/>
      <c r="AG162" s="907"/>
      <c r="AH162" s="907">
        <v>1171</v>
      </c>
      <c r="AI162" s="907"/>
      <c r="AJ162" s="787">
        <f t="shared" si="14"/>
        <v>1439</v>
      </c>
      <c r="AK162" s="907"/>
      <c r="AL162" s="907"/>
      <c r="AM162" s="907"/>
      <c r="AN162" s="907"/>
      <c r="AO162" s="907"/>
      <c r="AP162" s="907"/>
      <c r="AQ162" s="907"/>
      <c r="AR162" s="907"/>
      <c r="AS162" s="907"/>
      <c r="AT162" s="907"/>
      <c r="AU162" s="276" t="s">
        <v>900</v>
      </c>
    </row>
    <row r="163" spans="1:47" s="904" customFormat="1" ht="19.5" customHeight="1">
      <c r="A163" s="794">
        <v>161</v>
      </c>
      <c r="B163" s="923" t="s">
        <v>472</v>
      </c>
      <c r="C163" s="785" t="s">
        <v>1299</v>
      </c>
      <c r="D163" s="909">
        <v>40330</v>
      </c>
      <c r="E163" s="909">
        <v>40575</v>
      </c>
      <c r="F163" s="911">
        <v>2010</v>
      </c>
      <c r="G163" s="874" t="s">
        <v>901</v>
      </c>
      <c r="H163" s="837" t="s">
        <v>1449</v>
      </c>
      <c r="I163" s="906" t="s">
        <v>902</v>
      </c>
      <c r="J163" s="800" t="s">
        <v>2331</v>
      </c>
      <c r="K163" s="907">
        <v>49009</v>
      </c>
      <c r="L163" s="907">
        <v>153013</v>
      </c>
      <c r="M163" s="922">
        <v>153013</v>
      </c>
      <c r="N163" s="907">
        <v>153013</v>
      </c>
      <c r="O163" s="808">
        <f t="shared" si="13"/>
        <v>3.122140831275888</v>
      </c>
      <c r="P163" s="907">
        <v>88</v>
      </c>
      <c r="Q163" s="907"/>
      <c r="R163" s="907"/>
      <c r="S163" s="907"/>
      <c r="T163" s="907"/>
      <c r="U163" s="907"/>
      <c r="V163" s="907">
        <v>30000</v>
      </c>
      <c r="W163" s="907">
        <v>1313</v>
      </c>
      <c r="X163" s="907">
        <v>9199</v>
      </c>
      <c r="Y163" s="907"/>
      <c r="Z163" s="907"/>
      <c r="AA163" s="907">
        <v>30000</v>
      </c>
      <c r="AB163" s="907">
        <v>100</v>
      </c>
      <c r="AC163" s="907"/>
      <c r="AD163" s="907" t="s">
        <v>94</v>
      </c>
      <c r="AE163" s="907">
        <v>12000</v>
      </c>
      <c r="AF163" s="907"/>
      <c r="AG163" s="907"/>
      <c r="AH163" s="907"/>
      <c r="AI163" s="907"/>
      <c r="AJ163" s="787">
        <f t="shared" si="14"/>
        <v>30000</v>
      </c>
      <c r="AK163" s="907">
        <v>64893</v>
      </c>
      <c r="AL163" s="907">
        <v>21971</v>
      </c>
      <c r="AM163" s="907"/>
      <c r="AN163" s="907"/>
      <c r="AO163" s="907"/>
      <c r="AP163" s="907"/>
      <c r="AQ163" s="907"/>
      <c r="AR163" s="907"/>
      <c r="AS163" s="907"/>
      <c r="AT163" s="907"/>
      <c r="AU163" s="276" t="s">
        <v>903</v>
      </c>
    </row>
    <row r="164" spans="1:47" s="904" customFormat="1" ht="14.25" customHeight="1">
      <c r="A164" s="794">
        <v>162</v>
      </c>
      <c r="B164" s="812" t="s">
        <v>465</v>
      </c>
      <c r="C164" s="785" t="s">
        <v>1260</v>
      </c>
      <c r="D164" s="909">
        <v>40269</v>
      </c>
      <c r="E164" s="909">
        <v>40544</v>
      </c>
      <c r="F164" s="911">
        <v>2010</v>
      </c>
      <c r="G164" s="874" t="s">
        <v>904</v>
      </c>
      <c r="H164" s="837" t="s">
        <v>1449</v>
      </c>
      <c r="I164" s="906" t="s">
        <v>905</v>
      </c>
      <c r="J164" s="800" t="s">
        <v>2331</v>
      </c>
      <c r="K164" s="907">
        <v>2692500</v>
      </c>
      <c r="L164" s="907">
        <v>260221</v>
      </c>
      <c r="M164" s="922">
        <v>259214</v>
      </c>
      <c r="N164" s="907">
        <v>259214</v>
      </c>
      <c r="O164" s="808">
        <f t="shared" si="13"/>
        <v>9.6272609099350051E-2</v>
      </c>
      <c r="P164" s="907">
        <v>100</v>
      </c>
      <c r="Q164" s="907"/>
      <c r="R164" s="907"/>
      <c r="S164" s="907"/>
      <c r="T164" s="907"/>
      <c r="U164" s="907"/>
      <c r="V164" s="907"/>
      <c r="W164" s="907">
        <v>2040</v>
      </c>
      <c r="X164" s="907">
        <v>1383</v>
      </c>
      <c r="Y164" s="907"/>
      <c r="Z164" s="907"/>
      <c r="AA164" s="907">
        <v>664256</v>
      </c>
      <c r="AB164" s="907">
        <v>420</v>
      </c>
      <c r="AC164" s="907"/>
      <c r="AD164" s="907"/>
      <c r="AE164" s="907"/>
      <c r="AF164" s="907"/>
      <c r="AG164" s="907"/>
      <c r="AH164" s="907"/>
      <c r="AI164" s="907"/>
      <c r="AJ164" s="787">
        <f t="shared" si="14"/>
        <v>664256</v>
      </c>
      <c r="AK164" s="907">
        <v>3720</v>
      </c>
      <c r="AL164" s="907">
        <v>4119</v>
      </c>
      <c r="AM164" s="907"/>
      <c r="AN164" s="907"/>
      <c r="AO164" s="907"/>
      <c r="AP164" s="907"/>
      <c r="AQ164" s="907"/>
      <c r="AR164" s="907"/>
      <c r="AS164" s="907"/>
      <c r="AT164" s="907"/>
      <c r="AU164" s="276" t="s">
        <v>906</v>
      </c>
    </row>
    <row r="165" spans="1:47" s="904" customFormat="1" ht="14.25" customHeight="1">
      <c r="A165" s="794">
        <v>163</v>
      </c>
      <c r="B165" s="923" t="s">
        <v>15</v>
      </c>
      <c r="C165" s="785" t="s">
        <v>1286</v>
      </c>
      <c r="D165" s="909">
        <v>40360</v>
      </c>
      <c r="E165" s="909">
        <v>40544</v>
      </c>
      <c r="F165" s="911">
        <v>2010</v>
      </c>
      <c r="G165" s="874" t="s">
        <v>5</v>
      </c>
      <c r="H165" s="837" t="s">
        <v>1451</v>
      </c>
      <c r="I165" s="906" t="s">
        <v>907</v>
      </c>
      <c r="J165" s="800" t="s">
        <v>2331</v>
      </c>
      <c r="K165" s="907">
        <v>1100</v>
      </c>
      <c r="L165" s="907">
        <v>38171</v>
      </c>
      <c r="M165" s="922">
        <v>31703</v>
      </c>
      <c r="N165" s="907">
        <v>31703</v>
      </c>
      <c r="O165" s="808">
        <f t="shared" si="13"/>
        <v>28.82090909090909</v>
      </c>
      <c r="P165" s="907">
        <v>83</v>
      </c>
      <c r="Q165" s="907">
        <v>500</v>
      </c>
      <c r="R165" s="907">
        <v>500</v>
      </c>
      <c r="S165" s="907">
        <v>500</v>
      </c>
      <c r="T165" s="907"/>
      <c r="U165" s="907"/>
      <c r="V165" s="907">
        <v>500</v>
      </c>
      <c r="W165" s="907"/>
      <c r="X165" s="907"/>
      <c r="Y165" s="808">
        <f>X165/S165</f>
        <v>0</v>
      </c>
      <c r="Z165" s="907"/>
      <c r="AA165" s="907"/>
      <c r="AB165" s="907">
        <v>100</v>
      </c>
      <c r="AC165" s="907"/>
      <c r="AD165" s="907"/>
      <c r="AE165" s="907">
        <v>660</v>
      </c>
      <c r="AF165" s="907"/>
      <c r="AG165" s="907"/>
      <c r="AH165" s="907"/>
      <c r="AI165" s="907"/>
      <c r="AJ165" s="787">
        <f t="shared" si="14"/>
        <v>0</v>
      </c>
      <c r="AK165" s="907"/>
      <c r="AL165" s="907"/>
      <c r="AM165" s="907"/>
      <c r="AN165" s="907"/>
      <c r="AO165" s="907"/>
      <c r="AP165" s="907"/>
      <c r="AQ165" s="907"/>
      <c r="AR165" s="907"/>
      <c r="AS165" s="907"/>
      <c r="AT165" s="907"/>
      <c r="AU165" s="276" t="s">
        <v>908</v>
      </c>
    </row>
    <row r="166" spans="1:47" s="904" customFormat="1" ht="14.25" customHeight="1">
      <c r="A166" s="794">
        <v>164</v>
      </c>
      <c r="B166" s="923" t="s">
        <v>189</v>
      </c>
      <c r="C166" s="785" t="s">
        <v>1260</v>
      </c>
      <c r="D166" s="909">
        <v>40360</v>
      </c>
      <c r="E166" s="909">
        <v>40575</v>
      </c>
      <c r="F166" s="911">
        <v>2010</v>
      </c>
      <c r="G166" s="874" t="s">
        <v>5</v>
      </c>
      <c r="H166" s="841" t="s">
        <v>1451</v>
      </c>
      <c r="I166" s="906" t="s">
        <v>909</v>
      </c>
      <c r="J166" s="800" t="s">
        <v>2331</v>
      </c>
      <c r="K166" s="907">
        <v>12000</v>
      </c>
      <c r="L166" s="907">
        <v>29348</v>
      </c>
      <c r="M166" s="922">
        <v>27879</v>
      </c>
      <c r="N166" s="907">
        <v>27879</v>
      </c>
      <c r="O166" s="808">
        <f t="shared" si="13"/>
        <v>2.3232499999999998</v>
      </c>
      <c r="P166" s="907">
        <v>94</v>
      </c>
      <c r="Q166" s="907">
        <v>11000</v>
      </c>
      <c r="R166" s="907"/>
      <c r="S166" s="907">
        <v>11000</v>
      </c>
      <c r="T166" s="907"/>
      <c r="U166" s="907"/>
      <c r="V166" s="907">
        <v>11000</v>
      </c>
      <c r="W166" s="907"/>
      <c r="X166" s="907"/>
      <c r="Y166" s="808">
        <f>X166/S166</f>
        <v>0</v>
      </c>
      <c r="Z166" s="907">
        <v>247</v>
      </c>
      <c r="AA166" s="907"/>
      <c r="AB166" s="907">
        <v>10</v>
      </c>
      <c r="AC166" s="907"/>
      <c r="AD166" s="907"/>
      <c r="AE166" s="907"/>
      <c r="AF166" s="907"/>
      <c r="AG166" s="907"/>
      <c r="AH166" s="907">
        <v>43</v>
      </c>
      <c r="AI166" s="907"/>
      <c r="AJ166" s="787">
        <f t="shared" si="14"/>
        <v>290</v>
      </c>
      <c r="AK166" s="907">
        <v>225</v>
      </c>
      <c r="AL166" s="907">
        <v>222</v>
      </c>
      <c r="AM166" s="907"/>
      <c r="AN166" s="907"/>
      <c r="AO166" s="907"/>
      <c r="AP166" s="907"/>
      <c r="AQ166" s="907"/>
      <c r="AR166" s="907"/>
      <c r="AS166" s="907"/>
      <c r="AT166" s="907"/>
      <c r="AU166" s="293" t="s">
        <v>1711</v>
      </c>
    </row>
    <row r="167" spans="1:47" s="904" customFormat="1" ht="14.25" customHeight="1">
      <c r="A167" s="794">
        <v>165</v>
      </c>
      <c r="B167" s="812" t="s">
        <v>462</v>
      </c>
      <c r="C167" s="785" t="s">
        <v>1299</v>
      </c>
      <c r="D167" s="792">
        <v>40422</v>
      </c>
      <c r="E167" s="792">
        <v>40452</v>
      </c>
      <c r="F167" s="911">
        <v>2010</v>
      </c>
      <c r="G167" s="812" t="s">
        <v>916</v>
      </c>
      <c r="H167" s="837" t="s">
        <v>1452</v>
      </c>
      <c r="I167" s="785" t="s">
        <v>931</v>
      </c>
      <c r="J167" s="800" t="s">
        <v>2331</v>
      </c>
      <c r="K167" s="842">
        <v>177</v>
      </c>
      <c r="L167" s="842">
        <v>213905</v>
      </c>
      <c r="M167" s="842">
        <v>213905</v>
      </c>
      <c r="N167" s="842">
        <v>207319</v>
      </c>
      <c r="O167" s="808">
        <f t="shared" si="13"/>
        <v>1171.2937853107344</v>
      </c>
      <c r="P167" s="842">
        <v>100</v>
      </c>
      <c r="Q167" s="842" t="s">
        <v>75</v>
      </c>
      <c r="R167" s="842" t="s">
        <v>75</v>
      </c>
      <c r="S167" s="842" t="s">
        <v>75</v>
      </c>
      <c r="T167" s="842" t="s">
        <v>233</v>
      </c>
      <c r="U167" s="842" t="s">
        <v>134</v>
      </c>
      <c r="V167" s="842" t="s">
        <v>134</v>
      </c>
      <c r="W167" s="842">
        <v>3750</v>
      </c>
      <c r="X167" s="842">
        <v>12929</v>
      </c>
      <c r="Y167" s="842"/>
      <c r="Z167" s="842"/>
      <c r="AA167" s="842"/>
      <c r="AB167" s="842">
        <v>278</v>
      </c>
      <c r="AC167" s="842">
        <v>300</v>
      </c>
      <c r="AD167" s="842" t="s">
        <v>75</v>
      </c>
      <c r="AE167" s="842" t="s">
        <v>75</v>
      </c>
      <c r="AF167" s="842" t="s">
        <v>75</v>
      </c>
      <c r="AG167" s="842" t="s">
        <v>75</v>
      </c>
      <c r="AH167" s="842" t="s">
        <v>75</v>
      </c>
      <c r="AI167" s="842" t="s">
        <v>75</v>
      </c>
      <c r="AJ167" s="787">
        <f t="shared" si="14"/>
        <v>0</v>
      </c>
      <c r="AK167" s="842">
        <v>6000</v>
      </c>
      <c r="AL167" s="842">
        <v>6000</v>
      </c>
      <c r="AM167" s="842"/>
      <c r="AN167" s="842"/>
      <c r="AO167" s="842"/>
      <c r="AP167" s="842"/>
      <c r="AQ167" s="842"/>
      <c r="AR167" s="842"/>
      <c r="AS167" s="842" t="s">
        <v>75</v>
      </c>
      <c r="AT167" s="842" t="s">
        <v>75</v>
      </c>
      <c r="AU167" s="293" t="s">
        <v>929</v>
      </c>
    </row>
    <row r="168" spans="1:47" s="904" customFormat="1" ht="14.25" customHeight="1">
      <c r="A168" s="794">
        <v>166</v>
      </c>
      <c r="B168" s="812" t="s">
        <v>118</v>
      </c>
      <c r="C168" s="785" t="s">
        <v>1299</v>
      </c>
      <c r="D168" s="792">
        <v>40422</v>
      </c>
      <c r="E168" s="792">
        <v>40695</v>
      </c>
      <c r="F168" s="911">
        <v>2010</v>
      </c>
      <c r="G168" s="812" t="s">
        <v>5</v>
      </c>
      <c r="H168" s="837" t="s">
        <v>1451</v>
      </c>
      <c r="I168" s="785" t="s">
        <v>936</v>
      </c>
      <c r="J168" s="800" t="s">
        <v>2331</v>
      </c>
      <c r="K168" s="842">
        <v>5000</v>
      </c>
      <c r="L168" s="842">
        <v>157253</v>
      </c>
      <c r="M168" s="920">
        <v>157253</v>
      </c>
      <c r="N168" s="842">
        <v>157154</v>
      </c>
      <c r="O168" s="808">
        <f t="shared" si="13"/>
        <v>31.430800000000001</v>
      </c>
      <c r="P168" s="842">
        <v>100</v>
      </c>
      <c r="Q168" s="842">
        <v>5000</v>
      </c>
      <c r="R168" s="842">
        <v>500</v>
      </c>
      <c r="S168" s="842">
        <v>5000</v>
      </c>
      <c r="T168" s="842" t="s">
        <v>233</v>
      </c>
      <c r="U168" s="842">
        <v>48</v>
      </c>
      <c r="V168" s="842">
        <v>5000</v>
      </c>
      <c r="W168" s="842">
        <v>39702</v>
      </c>
      <c r="X168" s="842">
        <v>4961</v>
      </c>
      <c r="Y168" s="808">
        <f>X168/S168</f>
        <v>0.99219999999999997</v>
      </c>
      <c r="Z168" s="842" t="s">
        <v>75</v>
      </c>
      <c r="AA168" s="842">
        <v>5000</v>
      </c>
      <c r="AB168" s="842">
        <v>20</v>
      </c>
      <c r="AC168" s="842" t="s">
        <v>75</v>
      </c>
      <c r="AD168" s="842"/>
      <c r="AE168" s="842">
        <v>2000</v>
      </c>
      <c r="AF168" s="842" t="s">
        <v>75</v>
      </c>
      <c r="AG168" s="842" t="s">
        <v>75</v>
      </c>
      <c r="AH168" s="842" t="s">
        <v>75</v>
      </c>
      <c r="AI168" s="842" t="s">
        <v>75</v>
      </c>
      <c r="AJ168" s="787">
        <f t="shared" si="14"/>
        <v>5000</v>
      </c>
      <c r="AK168" s="842">
        <v>0</v>
      </c>
      <c r="AL168" s="842">
        <v>10</v>
      </c>
      <c r="AM168" s="842"/>
      <c r="AN168" s="842"/>
      <c r="AO168" s="842"/>
      <c r="AP168" s="842"/>
      <c r="AQ168" s="842"/>
      <c r="AR168" s="842"/>
      <c r="AS168" s="842">
        <v>1</v>
      </c>
      <c r="AT168" s="842" t="s">
        <v>75</v>
      </c>
      <c r="AU168" s="785" t="s">
        <v>935</v>
      </c>
    </row>
    <row r="169" spans="1:47" s="904" customFormat="1" ht="14.25" customHeight="1">
      <c r="A169" s="794">
        <v>167</v>
      </c>
      <c r="B169" s="812" t="s">
        <v>932</v>
      </c>
      <c r="C169" s="785" t="s">
        <v>1260</v>
      </c>
      <c r="D169" s="792">
        <v>40330</v>
      </c>
      <c r="E169" s="792">
        <v>40452</v>
      </c>
      <c r="F169" s="911">
        <v>2010</v>
      </c>
      <c r="G169" s="812" t="s">
        <v>942</v>
      </c>
      <c r="H169" s="837" t="s">
        <v>1451</v>
      </c>
      <c r="I169" s="785" t="s">
        <v>941</v>
      </c>
      <c r="J169" s="800" t="s">
        <v>2331</v>
      </c>
      <c r="K169" s="842">
        <v>2835</v>
      </c>
      <c r="L169" s="842">
        <v>100044</v>
      </c>
      <c r="M169" s="842">
        <v>100044</v>
      </c>
      <c r="N169" s="842">
        <v>90812</v>
      </c>
      <c r="O169" s="808">
        <f t="shared" si="13"/>
        <v>32.032451499118167</v>
      </c>
      <c r="P169" s="842">
        <v>100</v>
      </c>
      <c r="Q169" s="842" t="s">
        <v>75</v>
      </c>
      <c r="R169" s="842" t="s">
        <v>75</v>
      </c>
      <c r="S169" s="842" t="s">
        <v>75</v>
      </c>
      <c r="T169" s="842" t="s">
        <v>233</v>
      </c>
      <c r="U169" s="842" t="s">
        <v>75</v>
      </c>
      <c r="V169" s="842">
        <v>2835</v>
      </c>
      <c r="W169" s="842" t="s">
        <v>66</v>
      </c>
      <c r="X169" s="842" t="s">
        <v>66</v>
      </c>
      <c r="Y169" s="842"/>
      <c r="Z169" s="842"/>
      <c r="AA169" s="842"/>
      <c r="AB169" s="842">
        <v>40</v>
      </c>
      <c r="AC169" s="842"/>
      <c r="AD169" s="842"/>
      <c r="AE169" s="842"/>
      <c r="AF169" s="842" t="s">
        <v>75</v>
      </c>
      <c r="AG169" s="842" t="s">
        <v>75</v>
      </c>
      <c r="AH169" s="842" t="s">
        <v>75</v>
      </c>
      <c r="AI169" s="842" t="s">
        <v>75</v>
      </c>
      <c r="AJ169" s="787">
        <f t="shared" si="14"/>
        <v>0</v>
      </c>
      <c r="AK169" s="842" t="s">
        <v>66</v>
      </c>
      <c r="AL169" s="842" t="s">
        <v>66</v>
      </c>
      <c r="AM169" s="842"/>
      <c r="AN169" s="842"/>
      <c r="AO169" s="842"/>
      <c r="AP169" s="842"/>
      <c r="AQ169" s="842"/>
      <c r="AR169" s="842"/>
      <c r="AS169" s="842" t="s">
        <v>75</v>
      </c>
      <c r="AT169" s="842" t="s">
        <v>75</v>
      </c>
      <c r="AU169" s="785" t="s">
        <v>940</v>
      </c>
    </row>
    <row r="170" spans="1:47" s="904" customFormat="1" ht="14.25" customHeight="1">
      <c r="A170" s="794">
        <v>168</v>
      </c>
      <c r="B170" s="812" t="s">
        <v>933</v>
      </c>
      <c r="C170" s="785" t="s">
        <v>1286</v>
      </c>
      <c r="D170" s="792">
        <v>40330</v>
      </c>
      <c r="E170" s="792">
        <v>40513</v>
      </c>
      <c r="F170" s="911">
        <v>2010</v>
      </c>
      <c r="G170" s="812" t="s">
        <v>5</v>
      </c>
      <c r="H170" s="837" t="s">
        <v>1451</v>
      </c>
      <c r="I170" s="785" t="s">
        <v>944</v>
      </c>
      <c r="J170" s="800" t="s">
        <v>2331</v>
      </c>
      <c r="K170" s="842">
        <v>750</v>
      </c>
      <c r="L170" s="842">
        <v>36248</v>
      </c>
      <c r="M170" s="842">
        <v>27370</v>
      </c>
      <c r="N170" s="842">
        <v>27370</v>
      </c>
      <c r="O170" s="808">
        <f t="shared" si="13"/>
        <v>36.493333333333332</v>
      </c>
      <c r="P170" s="842">
        <v>76</v>
      </c>
      <c r="Q170" s="842" t="s">
        <v>75</v>
      </c>
      <c r="R170" s="842" t="s">
        <v>75</v>
      </c>
      <c r="S170" s="842">
        <v>750</v>
      </c>
      <c r="T170" s="842" t="s">
        <v>233</v>
      </c>
      <c r="U170" s="842"/>
      <c r="V170" s="842">
        <v>750</v>
      </c>
      <c r="W170" s="842" t="s">
        <v>66</v>
      </c>
      <c r="X170" s="842" t="s">
        <v>66</v>
      </c>
      <c r="Y170" s="808"/>
      <c r="Z170" s="842" t="s">
        <v>75</v>
      </c>
      <c r="AA170" s="842">
        <v>750</v>
      </c>
      <c r="AB170" s="842" t="s">
        <v>134</v>
      </c>
      <c r="AC170" s="842" t="s">
        <v>75</v>
      </c>
      <c r="AD170" s="842" t="s">
        <v>75</v>
      </c>
      <c r="AE170" s="842">
        <v>600</v>
      </c>
      <c r="AF170" s="842" t="s">
        <v>75</v>
      </c>
      <c r="AG170" s="842" t="s">
        <v>75</v>
      </c>
      <c r="AH170" s="842" t="s">
        <v>75</v>
      </c>
      <c r="AI170" s="842" t="s">
        <v>75</v>
      </c>
      <c r="AJ170" s="787">
        <f t="shared" si="14"/>
        <v>750</v>
      </c>
      <c r="AK170" s="842" t="s">
        <v>66</v>
      </c>
      <c r="AL170" s="842" t="s">
        <v>66</v>
      </c>
      <c r="AM170" s="842"/>
      <c r="AN170" s="842"/>
      <c r="AO170" s="842"/>
      <c r="AP170" s="842"/>
      <c r="AQ170" s="842"/>
      <c r="AR170" s="842"/>
      <c r="AS170" s="842" t="s">
        <v>75</v>
      </c>
      <c r="AT170" s="842" t="s">
        <v>75</v>
      </c>
      <c r="AU170" s="785" t="s">
        <v>943</v>
      </c>
    </row>
    <row r="171" spans="1:47" s="904" customFormat="1" ht="14.25" customHeight="1">
      <c r="A171" s="794">
        <v>169</v>
      </c>
      <c r="B171" s="812" t="s">
        <v>291</v>
      </c>
      <c r="C171" s="785" t="s">
        <v>1299</v>
      </c>
      <c r="D171" s="792">
        <v>40360</v>
      </c>
      <c r="E171" s="792">
        <v>40513</v>
      </c>
      <c r="F171" s="911">
        <v>2010</v>
      </c>
      <c r="G171" s="812" t="s">
        <v>5</v>
      </c>
      <c r="H171" s="837" t="s">
        <v>1451</v>
      </c>
      <c r="I171" s="785" t="s">
        <v>946</v>
      </c>
      <c r="J171" s="800" t="s">
        <v>2331</v>
      </c>
      <c r="K171" s="842">
        <v>5000</v>
      </c>
      <c r="L171" s="842">
        <v>134948</v>
      </c>
      <c r="M171" s="842">
        <v>134948</v>
      </c>
      <c r="N171" s="842">
        <v>126117</v>
      </c>
      <c r="O171" s="808">
        <f t="shared" si="13"/>
        <v>25.223400000000002</v>
      </c>
      <c r="P171" s="842">
        <v>100</v>
      </c>
      <c r="Q171" s="842">
        <v>5000</v>
      </c>
      <c r="R171" s="842" t="s">
        <v>75</v>
      </c>
      <c r="S171" s="842">
        <v>5000</v>
      </c>
      <c r="T171" s="842" t="s">
        <v>233</v>
      </c>
      <c r="U171" s="842">
        <v>50</v>
      </c>
      <c r="V171" s="842">
        <v>5000</v>
      </c>
      <c r="W171" s="842">
        <v>38</v>
      </c>
      <c r="X171" s="842">
        <v>38</v>
      </c>
      <c r="Y171" s="808">
        <f>X171/S171</f>
        <v>7.6E-3</v>
      </c>
      <c r="Z171" s="842"/>
      <c r="AA171" s="842"/>
      <c r="AB171" s="842"/>
      <c r="AC171" s="842"/>
      <c r="AD171" s="842" t="s">
        <v>75</v>
      </c>
      <c r="AE171" s="842">
        <v>2000</v>
      </c>
      <c r="AF171" s="842" t="s">
        <v>75</v>
      </c>
      <c r="AG171" s="842" t="s">
        <v>75</v>
      </c>
      <c r="AH171" s="842" t="s">
        <v>75</v>
      </c>
      <c r="AI171" s="842" t="s">
        <v>75</v>
      </c>
      <c r="AJ171" s="787">
        <f t="shared" si="14"/>
        <v>0</v>
      </c>
      <c r="AK171" s="842">
        <v>9009</v>
      </c>
      <c r="AL171" s="842">
        <v>4525</v>
      </c>
      <c r="AM171" s="842"/>
      <c r="AN171" s="842"/>
      <c r="AO171" s="842"/>
      <c r="AP171" s="842"/>
      <c r="AQ171" s="842"/>
      <c r="AR171" s="842"/>
      <c r="AS171" s="842" t="s">
        <v>204</v>
      </c>
      <c r="AT171" s="842" t="s">
        <v>75</v>
      </c>
      <c r="AU171" s="276" t="s">
        <v>945</v>
      </c>
    </row>
    <row r="172" spans="1:47" s="904" customFormat="1" ht="14.25" customHeight="1">
      <c r="A172" s="794">
        <v>170</v>
      </c>
      <c r="B172" s="812" t="s">
        <v>279</v>
      </c>
      <c r="C172" s="785" t="s">
        <v>1299</v>
      </c>
      <c r="D172" s="792">
        <v>40269</v>
      </c>
      <c r="E172" s="792">
        <v>40360</v>
      </c>
      <c r="F172" s="911">
        <v>2010</v>
      </c>
      <c r="G172" s="812" t="s">
        <v>5</v>
      </c>
      <c r="H172" s="837" t="s">
        <v>1451</v>
      </c>
      <c r="I172" s="785" t="s">
        <v>988</v>
      </c>
      <c r="J172" s="800" t="s">
        <v>2331</v>
      </c>
      <c r="K172" s="842">
        <v>23782</v>
      </c>
      <c r="L172" s="842">
        <v>156983</v>
      </c>
      <c r="M172" s="920">
        <v>156697</v>
      </c>
      <c r="N172" s="842">
        <v>156461</v>
      </c>
      <c r="O172" s="808">
        <f t="shared" si="13"/>
        <v>6.5789672861828272</v>
      </c>
      <c r="P172" s="842">
        <v>100</v>
      </c>
      <c r="Q172" s="842">
        <v>15000</v>
      </c>
      <c r="R172" s="842">
        <v>5360</v>
      </c>
      <c r="S172" s="842">
        <v>15000</v>
      </c>
      <c r="T172" s="842" t="s">
        <v>2</v>
      </c>
      <c r="U172" s="842">
        <v>100</v>
      </c>
      <c r="V172" s="842">
        <v>15000</v>
      </c>
      <c r="W172" s="842">
        <v>14000</v>
      </c>
      <c r="X172" s="842">
        <v>10760</v>
      </c>
      <c r="Y172" s="808">
        <f>X172/S172</f>
        <v>0.71733333333333338</v>
      </c>
      <c r="Z172" s="842">
        <v>400</v>
      </c>
      <c r="AA172" s="842">
        <v>15000</v>
      </c>
      <c r="AB172" s="842">
        <v>104</v>
      </c>
      <c r="AC172" s="842">
        <v>95</v>
      </c>
      <c r="AD172" s="842" t="s">
        <v>75</v>
      </c>
      <c r="AE172" s="842">
        <v>7254</v>
      </c>
      <c r="AF172" s="842" t="s">
        <v>75</v>
      </c>
      <c r="AG172" s="842">
        <v>3900</v>
      </c>
      <c r="AH172" s="842" t="s">
        <v>75</v>
      </c>
      <c r="AI172" s="842" t="s">
        <v>75</v>
      </c>
      <c r="AJ172" s="787">
        <f t="shared" si="14"/>
        <v>15400</v>
      </c>
      <c r="AK172" s="842" t="s">
        <v>66</v>
      </c>
      <c r="AL172" s="842" t="s">
        <v>66</v>
      </c>
      <c r="AM172" s="842"/>
      <c r="AN172" s="842"/>
      <c r="AO172" s="842"/>
      <c r="AP172" s="842"/>
      <c r="AQ172" s="842"/>
      <c r="AR172" s="842"/>
      <c r="AS172" s="842" t="s">
        <v>75</v>
      </c>
      <c r="AT172" s="842" t="s">
        <v>75</v>
      </c>
      <c r="AU172" s="785" t="s">
        <v>947</v>
      </c>
    </row>
    <row r="173" spans="1:47" s="904" customFormat="1" ht="14.25" customHeight="1">
      <c r="A173" s="794">
        <v>171</v>
      </c>
      <c r="B173" s="812" t="s">
        <v>934</v>
      </c>
      <c r="C173" s="785" t="s">
        <v>1260</v>
      </c>
      <c r="D173" s="792">
        <v>40360</v>
      </c>
      <c r="E173" s="792">
        <v>40513</v>
      </c>
      <c r="F173" s="911">
        <v>2010</v>
      </c>
      <c r="G173" s="812" t="s">
        <v>5</v>
      </c>
      <c r="H173" s="837" t="s">
        <v>1451</v>
      </c>
      <c r="I173" s="785" t="s">
        <v>949</v>
      </c>
      <c r="J173" s="800" t="s">
        <v>2331</v>
      </c>
      <c r="K173" s="842">
        <v>8000</v>
      </c>
      <c r="L173" s="842">
        <v>188100</v>
      </c>
      <c r="M173" s="842">
        <v>188100</v>
      </c>
      <c r="N173" s="842">
        <v>183492</v>
      </c>
      <c r="O173" s="808">
        <f t="shared" si="13"/>
        <v>22.936499999999999</v>
      </c>
      <c r="P173" s="842">
        <v>100</v>
      </c>
      <c r="Q173" s="842">
        <v>584</v>
      </c>
      <c r="R173" s="842">
        <v>5000</v>
      </c>
      <c r="S173" s="842">
        <v>5000</v>
      </c>
      <c r="T173" s="842" t="s">
        <v>233</v>
      </c>
      <c r="U173" s="842">
        <v>6</v>
      </c>
      <c r="V173" s="842">
        <v>2500</v>
      </c>
      <c r="W173" s="842">
        <v>12000</v>
      </c>
      <c r="X173" s="842">
        <v>12000</v>
      </c>
      <c r="Y173" s="808">
        <f>X173/S173</f>
        <v>2.4</v>
      </c>
      <c r="Z173" s="842" t="s">
        <v>75</v>
      </c>
      <c r="AA173" s="842">
        <v>5000</v>
      </c>
      <c r="AB173" s="842">
        <v>27</v>
      </c>
      <c r="AC173" s="842" t="s">
        <v>75</v>
      </c>
      <c r="AD173" s="842" t="s">
        <v>75</v>
      </c>
      <c r="AE173" s="842" t="s">
        <v>75</v>
      </c>
      <c r="AF173" s="842" t="s">
        <v>75</v>
      </c>
      <c r="AG173" s="842" t="s">
        <v>75</v>
      </c>
      <c r="AH173" s="842" t="s">
        <v>75</v>
      </c>
      <c r="AI173" s="842" t="s">
        <v>75</v>
      </c>
      <c r="AJ173" s="787">
        <f t="shared" si="14"/>
        <v>5000</v>
      </c>
      <c r="AK173" s="842" t="s">
        <v>66</v>
      </c>
      <c r="AL173" s="842" t="s">
        <v>66</v>
      </c>
      <c r="AM173" s="842"/>
      <c r="AN173" s="842"/>
      <c r="AO173" s="842"/>
      <c r="AP173" s="842"/>
      <c r="AQ173" s="842"/>
      <c r="AR173" s="842"/>
      <c r="AS173" s="842" t="s">
        <v>204</v>
      </c>
      <c r="AT173" s="842" t="s">
        <v>75</v>
      </c>
      <c r="AU173" s="785" t="s">
        <v>948</v>
      </c>
    </row>
    <row r="174" spans="1:47" s="904" customFormat="1" ht="14.25" customHeight="1">
      <c r="A174" s="794">
        <v>172</v>
      </c>
      <c r="B174" s="812" t="s">
        <v>481</v>
      </c>
      <c r="C174" s="785" t="s">
        <v>1299</v>
      </c>
      <c r="D174" s="792">
        <v>40238</v>
      </c>
      <c r="E174" s="792">
        <v>40330</v>
      </c>
      <c r="F174" s="911">
        <v>2010</v>
      </c>
      <c r="G174" s="812" t="s">
        <v>5</v>
      </c>
      <c r="H174" s="837" t="s">
        <v>1451</v>
      </c>
      <c r="I174" s="785" t="s">
        <v>951</v>
      </c>
      <c r="J174" s="800" t="s">
        <v>2331</v>
      </c>
      <c r="K174" s="842">
        <v>10000</v>
      </c>
      <c r="L174" s="842">
        <v>282067</v>
      </c>
      <c r="M174" s="920">
        <v>248352</v>
      </c>
      <c r="N174" s="920">
        <v>248352</v>
      </c>
      <c r="O174" s="808">
        <f t="shared" si="13"/>
        <v>24.8352</v>
      </c>
      <c r="P174" s="842">
        <v>88</v>
      </c>
      <c r="Q174" s="842">
        <v>11860</v>
      </c>
      <c r="R174" s="842">
        <v>25340</v>
      </c>
      <c r="S174" s="842">
        <v>25340</v>
      </c>
      <c r="T174" s="842" t="s">
        <v>233</v>
      </c>
      <c r="U174" s="842">
        <v>322</v>
      </c>
      <c r="V174" s="842">
        <v>9000</v>
      </c>
      <c r="W174" s="842">
        <v>32950</v>
      </c>
      <c r="X174" s="842">
        <v>28996</v>
      </c>
      <c r="Y174" s="808">
        <f>X174/S174</f>
        <v>1.144277821625888</v>
      </c>
      <c r="Z174" s="842" t="s">
        <v>75</v>
      </c>
      <c r="AA174" s="842">
        <v>11400</v>
      </c>
      <c r="AB174" s="842">
        <v>340</v>
      </c>
      <c r="AC174" s="842">
        <v>50</v>
      </c>
      <c r="AD174" s="842" t="s">
        <v>75</v>
      </c>
      <c r="AE174" s="842">
        <v>150</v>
      </c>
      <c r="AF174" s="842" t="s">
        <v>75</v>
      </c>
      <c r="AG174" s="842" t="s">
        <v>75</v>
      </c>
      <c r="AH174" s="842">
        <v>763</v>
      </c>
      <c r="AI174" s="842" t="s">
        <v>75</v>
      </c>
      <c r="AJ174" s="787">
        <f t="shared" si="14"/>
        <v>12163</v>
      </c>
      <c r="AK174" s="842">
        <v>1500</v>
      </c>
      <c r="AL174" s="842">
        <v>1320</v>
      </c>
      <c r="AM174" s="842"/>
      <c r="AN174" s="842"/>
      <c r="AO174" s="842"/>
      <c r="AP174" s="842"/>
      <c r="AQ174" s="842"/>
      <c r="AR174" s="842"/>
      <c r="AS174" s="842" t="s">
        <v>75</v>
      </c>
      <c r="AT174" s="842" t="s">
        <v>75</v>
      </c>
      <c r="AU174" s="785" t="s">
        <v>950</v>
      </c>
    </row>
    <row r="175" spans="1:47" s="904" customFormat="1" ht="14.25" customHeight="1">
      <c r="A175" s="794">
        <v>173</v>
      </c>
      <c r="B175" s="812" t="s">
        <v>251</v>
      </c>
      <c r="C175" s="785" t="s">
        <v>1260</v>
      </c>
      <c r="D175" s="792">
        <v>40179</v>
      </c>
      <c r="E175" s="792">
        <v>40452</v>
      </c>
      <c r="F175" s="911">
        <v>2010</v>
      </c>
      <c r="G175" s="812" t="s">
        <v>5</v>
      </c>
      <c r="H175" s="837" t="s">
        <v>1451</v>
      </c>
      <c r="I175" s="785" t="s">
        <v>953</v>
      </c>
      <c r="J175" s="800" t="s">
        <v>2331</v>
      </c>
      <c r="K175" s="842">
        <v>3500</v>
      </c>
      <c r="L175" s="842">
        <v>244126</v>
      </c>
      <c r="M175" s="920">
        <v>237790</v>
      </c>
      <c r="N175" s="842">
        <v>237790</v>
      </c>
      <c r="O175" s="808">
        <f t="shared" si="13"/>
        <v>67.94</v>
      </c>
      <c r="P175" s="842">
        <v>97</v>
      </c>
      <c r="Q175" s="842">
        <v>6000</v>
      </c>
      <c r="R175" s="842"/>
      <c r="S175" s="842">
        <v>6000</v>
      </c>
      <c r="T175" s="842" t="s">
        <v>233</v>
      </c>
      <c r="U175" s="842" t="s">
        <v>134</v>
      </c>
      <c r="V175" s="842">
        <v>6000</v>
      </c>
      <c r="W175" s="842">
        <v>20400</v>
      </c>
      <c r="X175" s="842">
        <v>19157</v>
      </c>
      <c r="Y175" s="808">
        <f>X175/S175</f>
        <v>3.1928333333333332</v>
      </c>
      <c r="Z175" s="842" t="s">
        <v>75</v>
      </c>
      <c r="AA175" s="842" t="s">
        <v>75</v>
      </c>
      <c r="AB175" s="842" t="s">
        <v>75</v>
      </c>
      <c r="AC175" s="842" t="s">
        <v>75</v>
      </c>
      <c r="AD175" s="842" t="s">
        <v>75</v>
      </c>
      <c r="AE175" s="842" t="s">
        <v>75</v>
      </c>
      <c r="AF175" s="842" t="s">
        <v>75</v>
      </c>
      <c r="AG175" s="842" t="s">
        <v>75</v>
      </c>
      <c r="AH175" s="842" t="s">
        <v>75</v>
      </c>
      <c r="AI175" s="842" t="s">
        <v>75</v>
      </c>
      <c r="AJ175" s="787">
        <f t="shared" si="14"/>
        <v>0</v>
      </c>
      <c r="AK175" s="842" t="s">
        <v>66</v>
      </c>
      <c r="AL175" s="842" t="s">
        <v>66</v>
      </c>
      <c r="AM175" s="842"/>
      <c r="AN175" s="842"/>
      <c r="AO175" s="842"/>
      <c r="AP175" s="842"/>
      <c r="AQ175" s="842"/>
      <c r="AR175" s="842"/>
      <c r="AS175" s="842" t="s">
        <v>204</v>
      </c>
      <c r="AT175" s="842" t="s">
        <v>75</v>
      </c>
      <c r="AU175" s="293" t="s">
        <v>952</v>
      </c>
    </row>
    <row r="176" spans="1:47" s="904" customFormat="1" ht="14.25" customHeight="1">
      <c r="A176" s="794">
        <v>174</v>
      </c>
      <c r="B176" s="812" t="s">
        <v>607</v>
      </c>
      <c r="C176" s="785" t="s">
        <v>1299</v>
      </c>
      <c r="D176" s="792">
        <v>40299</v>
      </c>
      <c r="E176" s="792">
        <v>40483</v>
      </c>
      <c r="F176" s="911">
        <v>2010</v>
      </c>
      <c r="G176" s="812" t="s">
        <v>987</v>
      </c>
      <c r="H176" s="837" t="s">
        <v>1452</v>
      </c>
      <c r="I176" s="785" t="s">
        <v>986</v>
      </c>
      <c r="J176" s="800" t="s">
        <v>2331</v>
      </c>
      <c r="K176" s="842">
        <v>3000</v>
      </c>
      <c r="L176" s="842">
        <v>33015</v>
      </c>
      <c r="M176" s="920">
        <v>31950</v>
      </c>
      <c r="N176" s="920">
        <v>31950</v>
      </c>
      <c r="O176" s="808">
        <f t="shared" si="13"/>
        <v>10.65</v>
      </c>
      <c r="P176" s="842">
        <v>97</v>
      </c>
      <c r="Q176" s="842" t="s">
        <v>75</v>
      </c>
      <c r="R176" s="842" t="s">
        <v>75</v>
      </c>
      <c r="S176" s="842" t="s">
        <v>75</v>
      </c>
      <c r="T176" s="842" t="s">
        <v>233</v>
      </c>
      <c r="U176" s="842" t="s">
        <v>75</v>
      </c>
      <c r="V176" s="842" t="s">
        <v>75</v>
      </c>
      <c r="W176" s="842" t="s">
        <v>66</v>
      </c>
      <c r="X176" s="842" t="s">
        <v>66</v>
      </c>
      <c r="Y176" s="842"/>
      <c r="Z176" s="842"/>
      <c r="AA176" s="842"/>
      <c r="AB176" s="842">
        <v>894</v>
      </c>
      <c r="AC176" s="842">
        <v>900</v>
      </c>
      <c r="AD176" s="842"/>
      <c r="AE176" s="842"/>
      <c r="AF176" s="842"/>
      <c r="AG176" s="842"/>
      <c r="AH176" s="842"/>
      <c r="AI176" s="842"/>
      <c r="AJ176" s="787">
        <f t="shared" si="14"/>
        <v>0</v>
      </c>
      <c r="AK176" s="842">
        <v>5000</v>
      </c>
      <c r="AL176" s="842">
        <v>5000</v>
      </c>
      <c r="AM176" s="842"/>
      <c r="AN176" s="842"/>
      <c r="AO176" s="842"/>
      <c r="AP176" s="842"/>
      <c r="AQ176" s="842"/>
      <c r="AR176" s="842"/>
      <c r="AS176" s="842" t="s">
        <v>75</v>
      </c>
      <c r="AT176" s="842" t="s">
        <v>75</v>
      </c>
      <c r="AU176" s="785" t="s">
        <v>985</v>
      </c>
    </row>
    <row r="177" spans="1:47" s="904" customFormat="1" ht="14.25" customHeight="1">
      <c r="A177" s="794">
        <v>175</v>
      </c>
      <c r="B177" s="812" t="s">
        <v>607</v>
      </c>
      <c r="C177" s="785" t="s">
        <v>1299</v>
      </c>
      <c r="D177" s="792">
        <v>40210</v>
      </c>
      <c r="E177" s="792">
        <v>40756</v>
      </c>
      <c r="F177" s="911">
        <v>2010</v>
      </c>
      <c r="G177" s="812" t="s">
        <v>1083</v>
      </c>
      <c r="H177" s="841" t="s">
        <v>1452</v>
      </c>
      <c r="I177" s="785" t="s">
        <v>1281</v>
      </c>
      <c r="J177" s="812" t="s">
        <v>2438</v>
      </c>
      <c r="K177" s="842">
        <v>202651</v>
      </c>
      <c r="L177" s="842">
        <v>30579088</v>
      </c>
      <c r="M177" s="920">
        <v>5277303</v>
      </c>
      <c r="N177" s="842">
        <v>3477285</v>
      </c>
      <c r="O177" s="808">
        <f t="shared" si="13"/>
        <v>17.158982684516729</v>
      </c>
      <c r="P177" s="842">
        <v>17</v>
      </c>
      <c r="Q177" s="842">
        <v>118500</v>
      </c>
      <c r="R177" s="842">
        <v>16000</v>
      </c>
      <c r="S177" s="842">
        <v>118500</v>
      </c>
      <c r="T177" s="842" t="s">
        <v>2</v>
      </c>
      <c r="U177" s="842">
        <v>396</v>
      </c>
      <c r="V177" s="842">
        <v>118500</v>
      </c>
      <c r="W177" s="842">
        <v>927195</v>
      </c>
      <c r="X177" s="842">
        <v>157623.15000000002</v>
      </c>
      <c r="Y177" s="808">
        <f>X177/S177</f>
        <v>1.3301531645569622</v>
      </c>
      <c r="Z177" s="842"/>
      <c r="AA177" s="842"/>
      <c r="AB177" s="842"/>
      <c r="AC177" s="842"/>
      <c r="AD177" s="842"/>
      <c r="AE177" s="842"/>
      <c r="AF177" s="842"/>
      <c r="AG177" s="842"/>
      <c r="AH177" s="842"/>
      <c r="AI177" s="842"/>
      <c r="AJ177" s="787">
        <f t="shared" si="14"/>
        <v>0</v>
      </c>
      <c r="AK177" s="842"/>
      <c r="AL177" s="842"/>
      <c r="AM177" s="842"/>
      <c r="AN177" s="842"/>
      <c r="AO177" s="842"/>
      <c r="AP177" s="842"/>
      <c r="AQ177" s="842"/>
      <c r="AR177" s="842"/>
      <c r="AS177" s="842"/>
      <c r="AT177" s="842"/>
      <c r="AU177" s="842" t="s">
        <v>1082</v>
      </c>
    </row>
    <row r="178" spans="1:47" s="904" customFormat="1" ht="14.25" customHeight="1">
      <c r="A178" s="794">
        <v>176</v>
      </c>
      <c r="B178" s="812" t="s">
        <v>562</v>
      </c>
      <c r="C178" s="842" t="s">
        <v>1261</v>
      </c>
      <c r="D178" s="792">
        <v>40269</v>
      </c>
      <c r="E178" s="792">
        <v>41091</v>
      </c>
      <c r="F178" s="911">
        <v>2010</v>
      </c>
      <c r="G178" s="812" t="s">
        <v>1092</v>
      </c>
      <c r="H178" s="837" t="s">
        <v>1452</v>
      </c>
      <c r="I178" s="785" t="s">
        <v>1091</v>
      </c>
      <c r="J178" s="812" t="s">
        <v>2438</v>
      </c>
      <c r="K178" s="842">
        <v>25000</v>
      </c>
      <c r="L178" s="842">
        <v>3604299</v>
      </c>
      <c r="M178" s="920"/>
      <c r="N178" s="842"/>
      <c r="O178" s="808">
        <f t="shared" ref="O178:O207" si="15">N178/K178</f>
        <v>0</v>
      </c>
      <c r="P178" s="842"/>
      <c r="Q178" s="842"/>
      <c r="R178" s="842"/>
      <c r="S178" s="842">
        <v>40000</v>
      </c>
      <c r="T178" s="842"/>
      <c r="U178" s="842">
        <v>100</v>
      </c>
      <c r="V178" s="842">
        <v>40000</v>
      </c>
      <c r="W178" s="842"/>
      <c r="X178" s="842"/>
      <c r="Y178" s="808">
        <f>X178/S178</f>
        <v>0</v>
      </c>
      <c r="Z178" s="842"/>
      <c r="AA178" s="842"/>
      <c r="AB178" s="842"/>
      <c r="AC178" s="842" t="s">
        <v>2</v>
      </c>
      <c r="AD178" s="842"/>
      <c r="AE178" s="842"/>
      <c r="AF178" s="842"/>
      <c r="AG178" s="842"/>
      <c r="AH178" s="842"/>
      <c r="AI178" s="842"/>
      <c r="AJ178" s="787">
        <f t="shared" si="14"/>
        <v>0</v>
      </c>
      <c r="AK178" s="842"/>
      <c r="AL178" s="842"/>
      <c r="AM178" s="842"/>
      <c r="AN178" s="842"/>
      <c r="AO178" s="842"/>
      <c r="AP178" s="842"/>
      <c r="AQ178" s="842"/>
      <c r="AR178" s="842"/>
      <c r="AS178" s="842"/>
      <c r="AT178" s="842"/>
      <c r="AU178" s="275" t="s">
        <v>1283</v>
      </c>
    </row>
    <row r="179" spans="1:47" s="800" customFormat="1" ht="14.25" customHeight="1">
      <c r="A179" s="794">
        <v>177</v>
      </c>
      <c r="B179" s="790" t="s">
        <v>1994</v>
      </c>
      <c r="C179" s="800" t="s">
        <v>1261</v>
      </c>
      <c r="D179" s="819">
        <v>40452</v>
      </c>
      <c r="E179" s="819">
        <v>40483</v>
      </c>
      <c r="F179" s="911">
        <v>2010</v>
      </c>
      <c r="G179" s="921" t="s">
        <v>5</v>
      </c>
      <c r="H179" s="837" t="s">
        <v>1451</v>
      </c>
      <c r="I179" s="800" t="s">
        <v>1358</v>
      </c>
      <c r="J179" s="800" t="s">
        <v>2331</v>
      </c>
      <c r="K179" s="808">
        <v>49520</v>
      </c>
      <c r="L179" s="808">
        <v>308682</v>
      </c>
      <c r="M179" s="808">
        <v>308682</v>
      </c>
      <c r="N179" s="808">
        <v>308682</v>
      </c>
      <c r="O179" s="808">
        <f t="shared" si="15"/>
        <v>6.2334814216478192</v>
      </c>
      <c r="P179" s="920" t="s">
        <v>66</v>
      </c>
      <c r="Q179" s="808">
        <v>49520</v>
      </c>
      <c r="R179" s="808"/>
      <c r="S179" s="808">
        <v>49520</v>
      </c>
      <c r="T179" s="808" t="s">
        <v>233</v>
      </c>
      <c r="U179" s="808"/>
      <c r="V179" s="808">
        <v>49520</v>
      </c>
      <c r="W179" s="808"/>
      <c r="X179" s="808"/>
      <c r="Y179" s="808">
        <f>X179/S179</f>
        <v>0</v>
      </c>
      <c r="Z179" s="808"/>
      <c r="AA179" s="808"/>
      <c r="AB179" s="808"/>
      <c r="AC179" s="808"/>
      <c r="AD179" s="808"/>
      <c r="AE179" s="808"/>
      <c r="AF179" s="808"/>
      <c r="AG179" s="808"/>
      <c r="AH179" s="808"/>
      <c r="AI179" s="808"/>
      <c r="AJ179" s="787">
        <f t="shared" si="14"/>
        <v>0</v>
      </c>
      <c r="AK179" s="808"/>
      <c r="AL179" s="808"/>
      <c r="AM179" s="808"/>
      <c r="AN179" s="808"/>
      <c r="AO179" s="808"/>
      <c r="AP179" s="808"/>
      <c r="AQ179" s="808"/>
      <c r="AR179" s="808"/>
      <c r="AS179" s="808"/>
      <c r="AT179" s="808"/>
      <c r="AU179" s="800" t="s">
        <v>1357</v>
      </c>
    </row>
    <row r="180" spans="1:47" s="857" customFormat="1" ht="15.75" customHeight="1">
      <c r="A180" s="794">
        <v>178</v>
      </c>
      <c r="B180" s="872" t="s">
        <v>28</v>
      </c>
      <c r="C180" s="872" t="s">
        <v>1261</v>
      </c>
      <c r="D180" s="840">
        <v>40238</v>
      </c>
      <c r="E180" s="840">
        <v>40360</v>
      </c>
      <c r="F180" s="911">
        <v>2010</v>
      </c>
      <c r="G180" s="872" t="s">
        <v>1285</v>
      </c>
      <c r="H180" s="837" t="s">
        <v>1452</v>
      </c>
      <c r="I180" s="857" t="s">
        <v>561</v>
      </c>
      <c r="J180" s="812" t="s">
        <v>2438</v>
      </c>
      <c r="K180" s="817">
        <v>42000</v>
      </c>
      <c r="L180" s="817">
        <v>3635713</v>
      </c>
      <c r="M180" s="817">
        <v>3567518</v>
      </c>
      <c r="N180" s="817">
        <v>3567518</v>
      </c>
      <c r="O180" s="808">
        <f t="shared" si="15"/>
        <v>84.940904761904761</v>
      </c>
      <c r="P180" s="817">
        <v>98.1</v>
      </c>
      <c r="Q180" s="817">
        <v>200</v>
      </c>
      <c r="R180" s="817">
        <v>725</v>
      </c>
      <c r="S180" s="817">
        <v>21000</v>
      </c>
      <c r="T180" s="817" t="s">
        <v>2</v>
      </c>
      <c r="U180" s="817" t="s">
        <v>134</v>
      </c>
      <c r="V180" s="817">
        <v>21000</v>
      </c>
      <c r="W180" s="817">
        <v>33041</v>
      </c>
      <c r="X180" s="817">
        <v>66959</v>
      </c>
      <c r="Y180" s="808">
        <f>X180/S180</f>
        <v>3.1885238095238093</v>
      </c>
      <c r="Z180" s="817">
        <v>4261</v>
      </c>
      <c r="AA180" s="817" t="s">
        <v>134</v>
      </c>
      <c r="AB180" s="817">
        <v>3500</v>
      </c>
      <c r="AC180" s="817">
        <v>75</v>
      </c>
      <c r="AD180" s="817" t="s">
        <v>75</v>
      </c>
      <c r="AE180" s="817">
        <v>6000</v>
      </c>
      <c r="AF180" s="817" t="s">
        <v>75</v>
      </c>
      <c r="AG180" s="817" t="s">
        <v>75</v>
      </c>
      <c r="AH180" s="817">
        <v>20000</v>
      </c>
      <c r="AI180" s="817" t="s">
        <v>2</v>
      </c>
      <c r="AJ180" s="787">
        <f t="shared" si="14"/>
        <v>24261</v>
      </c>
      <c r="AK180" s="817">
        <v>0</v>
      </c>
      <c r="AL180" s="817">
        <v>126739</v>
      </c>
      <c r="AM180" s="817"/>
      <c r="AN180" s="817"/>
      <c r="AO180" s="817"/>
      <c r="AP180" s="817"/>
      <c r="AQ180" s="817"/>
      <c r="AR180" s="817"/>
      <c r="AS180" s="817" t="s">
        <v>75</v>
      </c>
      <c r="AT180" s="817" t="s">
        <v>75</v>
      </c>
      <c r="AU180" s="320" t="s">
        <v>560</v>
      </c>
    </row>
    <row r="181" spans="1:47" s="857" customFormat="1" ht="15" customHeight="1">
      <c r="A181" s="794">
        <v>179</v>
      </c>
      <c r="B181" s="872" t="s">
        <v>472</v>
      </c>
      <c r="C181" s="872" t="s">
        <v>1299</v>
      </c>
      <c r="D181" s="840">
        <v>40269</v>
      </c>
      <c r="E181" s="840">
        <v>40391</v>
      </c>
      <c r="F181" s="911">
        <v>2010</v>
      </c>
      <c r="G181" s="872" t="s">
        <v>565</v>
      </c>
      <c r="H181" s="841" t="s">
        <v>1450</v>
      </c>
      <c r="I181" s="857" t="s">
        <v>566</v>
      </c>
      <c r="J181" s="800" t="s">
        <v>2331</v>
      </c>
      <c r="K181" s="817">
        <v>1150</v>
      </c>
      <c r="L181" s="817">
        <v>78480</v>
      </c>
      <c r="M181" s="817">
        <v>78480</v>
      </c>
      <c r="N181" s="817">
        <v>77799</v>
      </c>
      <c r="O181" s="808">
        <f t="shared" si="15"/>
        <v>67.651304347826084</v>
      </c>
      <c r="P181" s="817">
        <v>99.1</v>
      </c>
      <c r="Q181" s="817" t="s">
        <v>75</v>
      </c>
      <c r="R181" s="817" t="s">
        <v>75</v>
      </c>
      <c r="S181" s="817" t="s">
        <v>75</v>
      </c>
      <c r="T181" s="817" t="s">
        <v>75</v>
      </c>
      <c r="U181" s="817" t="s">
        <v>75</v>
      </c>
      <c r="V181" s="817" t="s">
        <v>75</v>
      </c>
      <c r="W181" s="817">
        <v>250</v>
      </c>
      <c r="X181" s="817">
        <v>42</v>
      </c>
      <c r="Y181" s="817"/>
      <c r="Z181" s="817" t="s">
        <v>75</v>
      </c>
      <c r="AA181" s="817" t="s">
        <v>75</v>
      </c>
      <c r="AB181" s="817" t="s">
        <v>75</v>
      </c>
      <c r="AC181" s="817" t="s">
        <v>75</v>
      </c>
      <c r="AD181" s="817" t="s">
        <v>75</v>
      </c>
      <c r="AE181" s="817">
        <v>460</v>
      </c>
      <c r="AF181" s="817" t="s">
        <v>75</v>
      </c>
      <c r="AG181" s="817" t="s">
        <v>75</v>
      </c>
      <c r="AH181" s="817" t="s">
        <v>75</v>
      </c>
      <c r="AI181" s="817" t="s">
        <v>75</v>
      </c>
      <c r="AJ181" s="787">
        <f t="shared" si="14"/>
        <v>0</v>
      </c>
      <c r="AK181" s="817">
        <v>1563</v>
      </c>
      <c r="AL181" s="817">
        <v>1014</v>
      </c>
      <c r="AM181" s="817"/>
      <c r="AN181" s="817"/>
      <c r="AO181" s="817"/>
      <c r="AP181" s="817"/>
      <c r="AQ181" s="817"/>
      <c r="AR181" s="817"/>
      <c r="AS181" s="817" t="s">
        <v>75</v>
      </c>
      <c r="AT181" s="817" t="s">
        <v>75</v>
      </c>
      <c r="AU181" s="320" t="s">
        <v>564</v>
      </c>
    </row>
    <row r="182" spans="1:47" s="857" customFormat="1" ht="15.75" customHeight="1">
      <c r="A182" s="794">
        <v>180</v>
      </c>
      <c r="B182" s="872" t="s">
        <v>119</v>
      </c>
      <c r="C182" s="872" t="s">
        <v>1299</v>
      </c>
      <c r="D182" s="840">
        <v>40269</v>
      </c>
      <c r="E182" s="840">
        <v>40513</v>
      </c>
      <c r="F182" s="911">
        <v>2010</v>
      </c>
      <c r="G182" s="872" t="s">
        <v>569</v>
      </c>
      <c r="H182" s="837" t="s">
        <v>1449</v>
      </c>
      <c r="I182" s="857" t="s">
        <v>568</v>
      </c>
      <c r="J182" s="800" t="s">
        <v>2331</v>
      </c>
      <c r="K182" s="817">
        <v>500000</v>
      </c>
      <c r="L182" s="817">
        <v>172928</v>
      </c>
      <c r="M182" s="817">
        <v>172757</v>
      </c>
      <c r="N182" s="817">
        <v>172757</v>
      </c>
      <c r="O182" s="808">
        <f t="shared" si="15"/>
        <v>0.34551399999999999</v>
      </c>
      <c r="P182" s="817">
        <v>100</v>
      </c>
      <c r="Q182" s="817" t="s">
        <v>75</v>
      </c>
      <c r="R182" s="817" t="s">
        <v>75</v>
      </c>
      <c r="S182" s="817" t="s">
        <v>75</v>
      </c>
      <c r="T182" s="817" t="s">
        <v>233</v>
      </c>
      <c r="U182" s="817" t="s">
        <v>75</v>
      </c>
      <c r="V182" s="817" t="s">
        <v>75</v>
      </c>
      <c r="W182" s="817" t="s">
        <v>66</v>
      </c>
      <c r="X182" s="817" t="s">
        <v>66</v>
      </c>
      <c r="Y182" s="817"/>
      <c r="Z182" s="817" t="s">
        <v>75</v>
      </c>
      <c r="AA182" s="817">
        <v>840</v>
      </c>
      <c r="AB182" s="817" t="s">
        <v>134</v>
      </c>
      <c r="AC182" s="817" t="s">
        <v>75</v>
      </c>
      <c r="AD182" s="817" t="s">
        <v>75</v>
      </c>
      <c r="AE182" s="817" t="s">
        <v>75</v>
      </c>
      <c r="AF182" s="817" t="s">
        <v>75</v>
      </c>
      <c r="AG182" s="817" t="s">
        <v>75</v>
      </c>
      <c r="AH182" s="817" t="s">
        <v>75</v>
      </c>
      <c r="AI182" s="817" t="s">
        <v>75</v>
      </c>
      <c r="AJ182" s="787">
        <f t="shared" si="14"/>
        <v>840</v>
      </c>
      <c r="AK182" s="817">
        <v>11066</v>
      </c>
      <c r="AL182" s="817">
        <v>8117</v>
      </c>
      <c r="AM182" s="817"/>
      <c r="AN182" s="817"/>
      <c r="AO182" s="817"/>
      <c r="AP182" s="817"/>
      <c r="AQ182" s="817"/>
      <c r="AR182" s="817"/>
      <c r="AS182" s="817" t="s">
        <v>75</v>
      </c>
      <c r="AT182" s="817" t="s">
        <v>75</v>
      </c>
      <c r="AU182" s="320" t="s">
        <v>567</v>
      </c>
    </row>
    <row r="183" spans="1:47" s="857" customFormat="1" ht="18.75" customHeight="1">
      <c r="A183" s="794">
        <v>181</v>
      </c>
      <c r="B183" s="872" t="s">
        <v>85</v>
      </c>
      <c r="C183" s="872" t="s">
        <v>1261</v>
      </c>
      <c r="D183" s="840">
        <v>40299</v>
      </c>
      <c r="E183" s="840">
        <v>40817</v>
      </c>
      <c r="F183" s="911">
        <v>2010</v>
      </c>
      <c r="G183" s="872" t="s">
        <v>570</v>
      </c>
      <c r="H183" s="837" t="s">
        <v>1454</v>
      </c>
      <c r="I183" s="857" t="s">
        <v>954</v>
      </c>
      <c r="J183" s="812" t="s">
        <v>2438</v>
      </c>
      <c r="K183" s="817">
        <v>325000</v>
      </c>
      <c r="L183" s="817">
        <v>32667430</v>
      </c>
      <c r="M183" s="817">
        <v>30526980</v>
      </c>
      <c r="N183" s="817">
        <v>30526980</v>
      </c>
      <c r="O183" s="808">
        <f t="shared" si="15"/>
        <v>93.929169230769233</v>
      </c>
      <c r="P183" s="817">
        <v>105</v>
      </c>
      <c r="Q183" s="817">
        <v>600000</v>
      </c>
      <c r="R183" s="817">
        <v>601000</v>
      </c>
      <c r="S183" s="817">
        <v>601000</v>
      </c>
      <c r="T183" s="817" t="s">
        <v>233</v>
      </c>
      <c r="U183" s="817" t="s">
        <v>75</v>
      </c>
      <c r="V183" s="817">
        <v>511580</v>
      </c>
      <c r="W183" s="817">
        <v>117050</v>
      </c>
      <c r="X183" s="817">
        <v>117050</v>
      </c>
      <c r="Y183" s="808">
        <f>X183/S183</f>
        <v>0.19475873544093178</v>
      </c>
      <c r="Z183" s="817" t="s">
        <v>134</v>
      </c>
      <c r="AA183" s="817" t="s">
        <v>134</v>
      </c>
      <c r="AB183" s="817" t="s">
        <v>134</v>
      </c>
      <c r="AC183" s="817" t="s">
        <v>2</v>
      </c>
      <c r="AD183" s="817" t="s">
        <v>75</v>
      </c>
      <c r="AE183" s="817" t="s">
        <v>75</v>
      </c>
      <c r="AF183" s="817" t="s">
        <v>75</v>
      </c>
      <c r="AG183" s="817" t="s">
        <v>75</v>
      </c>
      <c r="AH183" s="817">
        <v>343</v>
      </c>
      <c r="AI183" s="817" t="s">
        <v>75</v>
      </c>
      <c r="AJ183" s="787">
        <f t="shared" si="14"/>
        <v>343</v>
      </c>
      <c r="AK183" s="817">
        <v>732467</v>
      </c>
      <c r="AL183" s="817">
        <v>731561</v>
      </c>
      <c r="AM183" s="817"/>
      <c r="AN183" s="817"/>
      <c r="AO183" s="817"/>
      <c r="AP183" s="817"/>
      <c r="AQ183" s="848"/>
      <c r="AR183" s="817"/>
      <c r="AS183" s="817" t="s">
        <v>75</v>
      </c>
      <c r="AT183" s="817" t="s">
        <v>75</v>
      </c>
      <c r="AU183" s="322" t="s">
        <v>571</v>
      </c>
    </row>
    <row r="184" spans="1:47" s="857" customFormat="1" ht="15.75" customHeight="1">
      <c r="A184" s="794">
        <v>182</v>
      </c>
      <c r="B184" s="872" t="s">
        <v>244</v>
      </c>
      <c r="C184" s="872" t="s">
        <v>1299</v>
      </c>
      <c r="D184" s="840">
        <v>40210</v>
      </c>
      <c r="E184" s="840">
        <v>40330</v>
      </c>
      <c r="F184" s="911">
        <v>2010</v>
      </c>
      <c r="G184" s="872" t="s">
        <v>967</v>
      </c>
      <c r="H184" s="837" t="s">
        <v>1449</v>
      </c>
      <c r="I184" s="857" t="s">
        <v>968</v>
      </c>
      <c r="J184" s="800" t="s">
        <v>2331</v>
      </c>
      <c r="K184" s="817">
        <v>16561</v>
      </c>
      <c r="L184" s="817">
        <v>51028</v>
      </c>
      <c r="M184" s="817">
        <v>50432</v>
      </c>
      <c r="N184" s="817">
        <v>50432</v>
      </c>
      <c r="O184" s="808">
        <f t="shared" si="15"/>
        <v>3.0452267375158506</v>
      </c>
      <c r="P184" s="817">
        <v>99</v>
      </c>
      <c r="Q184" s="817"/>
      <c r="R184" s="817"/>
      <c r="S184" s="817"/>
      <c r="T184" s="817"/>
      <c r="U184" s="817"/>
      <c r="V184" s="817"/>
      <c r="W184" s="817">
        <v>233</v>
      </c>
      <c r="X184" s="817">
        <v>475</v>
      </c>
      <c r="Y184" s="817"/>
      <c r="Z184" s="817"/>
      <c r="AA184" s="817">
        <v>12576</v>
      </c>
      <c r="AB184" s="817">
        <v>127</v>
      </c>
      <c r="AC184" s="817"/>
      <c r="AD184" s="817"/>
      <c r="AE184" s="817"/>
      <c r="AF184" s="817"/>
      <c r="AG184" s="817"/>
      <c r="AH184" s="817"/>
      <c r="AI184" s="817"/>
      <c r="AJ184" s="787">
        <f t="shared" si="14"/>
        <v>12576</v>
      </c>
      <c r="AK184" s="817">
        <v>233</v>
      </c>
      <c r="AL184" s="817">
        <v>230.67</v>
      </c>
      <c r="AM184" s="817"/>
      <c r="AN184" s="817"/>
      <c r="AO184" s="817"/>
      <c r="AP184" s="817"/>
      <c r="AQ184" s="817"/>
      <c r="AR184" s="817"/>
      <c r="AS184" s="817"/>
      <c r="AT184" s="817"/>
      <c r="AU184" s="320" t="s">
        <v>969</v>
      </c>
    </row>
    <row r="185" spans="1:47" s="857" customFormat="1" ht="15" customHeight="1">
      <c r="A185" s="794">
        <v>183</v>
      </c>
      <c r="B185" s="872" t="s">
        <v>1040</v>
      </c>
      <c r="C185" s="872" t="s">
        <v>1286</v>
      </c>
      <c r="D185" s="840">
        <v>40179</v>
      </c>
      <c r="E185" s="840">
        <v>40483</v>
      </c>
      <c r="F185" s="911">
        <v>2010</v>
      </c>
      <c r="G185" s="872" t="s">
        <v>914</v>
      </c>
      <c r="H185" s="837" t="s">
        <v>1449</v>
      </c>
      <c r="I185" s="857" t="s">
        <v>1041</v>
      </c>
      <c r="J185" s="800" t="s">
        <v>2331</v>
      </c>
      <c r="K185" s="817">
        <v>35065</v>
      </c>
      <c r="L185" s="817">
        <v>34505</v>
      </c>
      <c r="M185" s="817">
        <v>32841</v>
      </c>
      <c r="N185" s="817">
        <v>32841</v>
      </c>
      <c r="O185" s="808">
        <f t="shared" si="15"/>
        <v>0.93657493226864397</v>
      </c>
      <c r="P185" s="817">
        <v>95</v>
      </c>
      <c r="Q185" s="817"/>
      <c r="R185" s="817"/>
      <c r="S185" s="817"/>
      <c r="T185" s="817"/>
      <c r="U185" s="817"/>
      <c r="V185" s="817">
        <v>35065</v>
      </c>
      <c r="W185" s="817"/>
      <c r="X185" s="817"/>
      <c r="Y185" s="817"/>
      <c r="Z185" s="817"/>
      <c r="AA185" s="817"/>
      <c r="AB185" s="817"/>
      <c r="AC185" s="817"/>
      <c r="AD185" s="817"/>
      <c r="AE185" s="817"/>
      <c r="AF185" s="817"/>
      <c r="AG185" s="817"/>
      <c r="AH185" s="817"/>
      <c r="AI185" s="817"/>
      <c r="AJ185" s="787">
        <f t="shared" si="14"/>
        <v>0</v>
      </c>
      <c r="AK185" s="817"/>
      <c r="AL185" s="817"/>
      <c r="AM185" s="817"/>
      <c r="AN185" s="817"/>
      <c r="AO185" s="817"/>
      <c r="AP185" s="817"/>
      <c r="AQ185" s="817"/>
      <c r="AR185" s="817"/>
      <c r="AS185" s="817"/>
      <c r="AT185" s="817"/>
      <c r="AU185" s="817" t="s">
        <v>1042</v>
      </c>
    </row>
    <row r="186" spans="1:47" s="857" customFormat="1" ht="12.75" customHeight="1">
      <c r="A186" s="794">
        <v>184</v>
      </c>
      <c r="B186" s="872" t="s">
        <v>1043</v>
      </c>
      <c r="C186" s="872" t="s">
        <v>1299</v>
      </c>
      <c r="D186" s="840">
        <v>40269</v>
      </c>
      <c r="E186" s="840">
        <v>40483</v>
      </c>
      <c r="F186" s="911">
        <v>2010</v>
      </c>
      <c r="G186" s="872" t="s">
        <v>1044</v>
      </c>
      <c r="H186" s="837" t="s">
        <v>1453</v>
      </c>
      <c r="I186" s="857" t="s">
        <v>1045</v>
      </c>
      <c r="J186" s="800" t="s">
        <v>2331</v>
      </c>
      <c r="K186" s="817">
        <v>250</v>
      </c>
      <c r="L186" s="817">
        <v>36139</v>
      </c>
      <c r="M186" s="817">
        <v>34805</v>
      </c>
      <c r="N186" s="817">
        <v>34805</v>
      </c>
      <c r="O186" s="808">
        <f t="shared" si="15"/>
        <v>139.22</v>
      </c>
      <c r="P186" s="817">
        <v>96</v>
      </c>
      <c r="Q186" s="817"/>
      <c r="R186" s="817"/>
      <c r="S186" s="817"/>
      <c r="T186" s="817"/>
      <c r="U186" s="817"/>
      <c r="V186" s="817"/>
      <c r="W186" s="817">
        <v>1500</v>
      </c>
      <c r="X186" s="817">
        <v>1440</v>
      </c>
      <c r="Y186" s="817"/>
      <c r="Z186" s="817"/>
      <c r="AA186" s="817"/>
      <c r="AB186" s="817"/>
      <c r="AC186" s="817"/>
      <c r="AD186" s="817"/>
      <c r="AE186" s="817">
        <v>100</v>
      </c>
      <c r="AF186" s="817"/>
      <c r="AG186" s="817"/>
      <c r="AH186" s="817"/>
      <c r="AI186" s="817"/>
      <c r="AJ186" s="787">
        <f t="shared" si="14"/>
        <v>0</v>
      </c>
      <c r="AK186" s="817">
        <v>1250</v>
      </c>
      <c r="AL186" s="817">
        <v>1200</v>
      </c>
      <c r="AM186" s="817"/>
      <c r="AN186" s="817"/>
      <c r="AO186" s="817"/>
      <c r="AP186" s="817"/>
      <c r="AQ186" s="817"/>
      <c r="AR186" s="817"/>
      <c r="AS186" s="817"/>
      <c r="AT186" s="817"/>
      <c r="AU186" s="817" t="s">
        <v>1046</v>
      </c>
    </row>
    <row r="187" spans="1:47" s="857" customFormat="1" ht="12.75" customHeight="1">
      <c r="A187" s="794">
        <v>185</v>
      </c>
      <c r="B187" s="872" t="s">
        <v>932</v>
      </c>
      <c r="C187" s="872" t="s">
        <v>1260</v>
      </c>
      <c r="D187" s="840">
        <v>40330</v>
      </c>
      <c r="E187" s="840">
        <v>40483</v>
      </c>
      <c r="F187" s="911">
        <v>2010</v>
      </c>
      <c r="G187" s="872" t="s">
        <v>1047</v>
      </c>
      <c r="H187" s="837" t="s">
        <v>1449</v>
      </c>
      <c r="I187" s="857" t="s">
        <v>1048</v>
      </c>
      <c r="J187" s="800" t="s">
        <v>2331</v>
      </c>
      <c r="K187" s="817">
        <v>227000</v>
      </c>
      <c r="L187" s="817">
        <v>81579</v>
      </c>
      <c r="M187" s="817">
        <v>81579</v>
      </c>
      <c r="N187" s="817">
        <v>78023</v>
      </c>
      <c r="O187" s="808">
        <f t="shared" si="15"/>
        <v>0.34371365638766521</v>
      </c>
      <c r="P187" s="817">
        <v>100</v>
      </c>
      <c r="Q187" s="817"/>
      <c r="R187" s="817"/>
      <c r="S187" s="817"/>
      <c r="T187" s="817"/>
      <c r="U187" s="817"/>
      <c r="V187" s="817"/>
      <c r="W187" s="817"/>
      <c r="X187" s="817"/>
      <c r="Y187" s="817"/>
      <c r="Z187" s="817"/>
      <c r="AA187" s="817">
        <v>226041</v>
      </c>
      <c r="AB187" s="817">
        <v>600</v>
      </c>
      <c r="AC187" s="817"/>
      <c r="AD187" s="817"/>
      <c r="AE187" s="817"/>
      <c r="AF187" s="817"/>
      <c r="AG187" s="817"/>
      <c r="AH187" s="817"/>
      <c r="AI187" s="817"/>
      <c r="AJ187" s="787">
        <f t="shared" si="14"/>
        <v>226041</v>
      </c>
      <c r="AK187" s="817"/>
      <c r="AL187" s="817"/>
      <c r="AM187" s="817"/>
      <c r="AN187" s="817"/>
      <c r="AO187" s="817"/>
      <c r="AP187" s="817"/>
      <c r="AQ187" s="817"/>
      <c r="AR187" s="817"/>
      <c r="AS187" s="817"/>
      <c r="AT187" s="817"/>
      <c r="AU187" s="817" t="s">
        <v>1049</v>
      </c>
    </row>
    <row r="188" spans="1:47" s="857" customFormat="1" ht="14.25" customHeight="1">
      <c r="A188" s="794">
        <v>186</v>
      </c>
      <c r="B188" s="872" t="s">
        <v>28</v>
      </c>
      <c r="C188" s="872" t="s">
        <v>1261</v>
      </c>
      <c r="D188" s="840">
        <v>40330</v>
      </c>
      <c r="E188" s="840">
        <v>40452</v>
      </c>
      <c r="F188" s="911">
        <v>2010</v>
      </c>
      <c r="G188" s="872" t="s">
        <v>1053</v>
      </c>
      <c r="H188" s="837" t="s">
        <v>1451</v>
      </c>
      <c r="I188" s="857" t="s">
        <v>1054</v>
      </c>
      <c r="J188" s="800" t="s">
        <v>2331</v>
      </c>
      <c r="K188" s="817">
        <v>14700</v>
      </c>
      <c r="L188" s="817">
        <v>187128</v>
      </c>
      <c r="M188" s="817">
        <v>187128</v>
      </c>
      <c r="N188" s="817">
        <v>76385</v>
      </c>
      <c r="O188" s="808">
        <f t="shared" si="15"/>
        <v>5.1962585034013609</v>
      </c>
      <c r="P188" s="817">
        <v>100</v>
      </c>
      <c r="Q188" s="817">
        <v>1260</v>
      </c>
      <c r="R188" s="817">
        <v>1260</v>
      </c>
      <c r="S188" s="817">
        <v>1260</v>
      </c>
      <c r="T188" s="817"/>
      <c r="U188" s="817"/>
      <c r="V188" s="817">
        <v>6707</v>
      </c>
      <c r="W188" s="817">
        <v>14619</v>
      </c>
      <c r="X188" s="817">
        <v>14619</v>
      </c>
      <c r="Y188" s="808">
        <f>X188/S188</f>
        <v>11.602380952380953</v>
      </c>
      <c r="Z188" s="817">
        <v>3689</v>
      </c>
      <c r="AA188" s="817">
        <v>6707</v>
      </c>
      <c r="AB188" s="817"/>
      <c r="AC188" s="817"/>
      <c r="AD188" s="817"/>
      <c r="AE188" s="817"/>
      <c r="AF188" s="817"/>
      <c r="AG188" s="817"/>
      <c r="AH188" s="817">
        <v>7355</v>
      </c>
      <c r="AI188" s="817"/>
      <c r="AJ188" s="787">
        <f t="shared" si="14"/>
        <v>17751</v>
      </c>
      <c r="AK188" s="817">
        <v>25000</v>
      </c>
      <c r="AL188" s="817">
        <v>25000</v>
      </c>
      <c r="AM188" s="817"/>
      <c r="AN188" s="817"/>
      <c r="AO188" s="817"/>
      <c r="AP188" s="817"/>
      <c r="AQ188" s="817"/>
      <c r="AR188" s="817"/>
      <c r="AS188" s="817"/>
      <c r="AT188" s="817"/>
      <c r="AU188" s="817" t="s">
        <v>1055</v>
      </c>
    </row>
    <row r="189" spans="1:47" s="857" customFormat="1" ht="15" customHeight="1">
      <c r="A189" s="794">
        <v>187</v>
      </c>
      <c r="B189" s="872" t="s">
        <v>196</v>
      </c>
      <c r="C189" s="872" t="s">
        <v>1260</v>
      </c>
      <c r="D189" s="840">
        <v>40299</v>
      </c>
      <c r="E189" s="840">
        <v>40452</v>
      </c>
      <c r="F189" s="911">
        <v>2010</v>
      </c>
      <c r="G189" s="872" t="s">
        <v>1056</v>
      </c>
      <c r="H189" s="837" t="s">
        <v>1451</v>
      </c>
      <c r="I189" s="857" t="s">
        <v>1057</v>
      </c>
      <c r="J189" s="800" t="s">
        <v>2331</v>
      </c>
      <c r="K189" s="817">
        <v>1200</v>
      </c>
      <c r="L189" s="817">
        <v>184879</v>
      </c>
      <c r="M189" s="817">
        <v>184879</v>
      </c>
      <c r="N189" s="817">
        <v>184879</v>
      </c>
      <c r="O189" s="808">
        <f t="shared" si="15"/>
        <v>154.06583333333333</v>
      </c>
      <c r="P189" s="817">
        <v>100</v>
      </c>
      <c r="Q189" s="817">
        <v>1200</v>
      </c>
      <c r="R189" s="817">
        <v>1200</v>
      </c>
      <c r="S189" s="817">
        <v>1200</v>
      </c>
      <c r="T189" s="817"/>
      <c r="U189" s="817"/>
      <c r="V189" s="817">
        <v>1200</v>
      </c>
      <c r="W189" s="817">
        <v>6120</v>
      </c>
      <c r="X189" s="817">
        <v>29</v>
      </c>
      <c r="Y189" s="808">
        <f>X189/S189</f>
        <v>2.4166666666666666E-2</v>
      </c>
      <c r="Z189" s="817"/>
      <c r="AA189" s="817">
        <v>1200</v>
      </c>
      <c r="AB189" s="817"/>
      <c r="AC189" s="817"/>
      <c r="AD189" s="817"/>
      <c r="AE189" s="817"/>
      <c r="AF189" s="817"/>
      <c r="AG189" s="817"/>
      <c r="AH189" s="817"/>
      <c r="AI189" s="817"/>
      <c r="AJ189" s="787">
        <f t="shared" si="14"/>
        <v>1200</v>
      </c>
      <c r="AK189" s="817"/>
      <c r="AL189" s="817"/>
      <c r="AM189" s="817"/>
      <c r="AN189" s="817"/>
      <c r="AO189" s="817"/>
      <c r="AP189" s="817"/>
      <c r="AQ189" s="817"/>
      <c r="AR189" s="817"/>
      <c r="AS189" s="817"/>
      <c r="AT189" s="817"/>
      <c r="AU189" s="817" t="s">
        <v>1058</v>
      </c>
    </row>
    <row r="190" spans="1:47" s="857" customFormat="1" ht="11.25" customHeight="1">
      <c r="A190" s="794">
        <v>188</v>
      </c>
      <c r="B190" s="872" t="s">
        <v>25</v>
      </c>
      <c r="C190" s="872" t="s">
        <v>1260</v>
      </c>
      <c r="D190" s="840">
        <v>40238</v>
      </c>
      <c r="E190" s="840">
        <v>40422</v>
      </c>
      <c r="F190" s="911">
        <v>2010</v>
      </c>
      <c r="G190" s="872" t="s">
        <v>5</v>
      </c>
      <c r="H190" s="837" t="s">
        <v>1451</v>
      </c>
      <c r="I190" s="857" t="s">
        <v>1061</v>
      </c>
      <c r="J190" s="800" t="s">
        <v>2331</v>
      </c>
      <c r="K190" s="817">
        <v>3150</v>
      </c>
      <c r="L190" s="817">
        <v>286219</v>
      </c>
      <c r="M190" s="817">
        <v>286219</v>
      </c>
      <c r="N190" s="817">
        <v>188419</v>
      </c>
      <c r="O190" s="808">
        <f t="shared" si="15"/>
        <v>59.815555555555555</v>
      </c>
      <c r="P190" s="817">
        <v>100</v>
      </c>
      <c r="Q190" s="817"/>
      <c r="R190" s="817"/>
      <c r="S190" s="817"/>
      <c r="T190" s="817"/>
      <c r="U190" s="817"/>
      <c r="V190" s="817">
        <v>3150</v>
      </c>
      <c r="W190" s="817">
        <v>69900</v>
      </c>
      <c r="X190" s="817">
        <v>499</v>
      </c>
      <c r="Y190" s="817"/>
      <c r="Z190" s="817"/>
      <c r="AA190" s="817"/>
      <c r="AB190" s="817">
        <v>360</v>
      </c>
      <c r="AC190" s="817"/>
      <c r="AD190" s="817"/>
      <c r="AE190" s="817"/>
      <c r="AF190" s="817"/>
      <c r="AG190" s="817"/>
      <c r="AH190" s="817"/>
      <c r="AI190" s="817"/>
      <c r="AJ190" s="787">
        <f t="shared" si="14"/>
        <v>0</v>
      </c>
      <c r="AK190" s="817"/>
      <c r="AL190" s="817"/>
      <c r="AM190" s="817"/>
      <c r="AN190" s="817"/>
      <c r="AO190" s="817"/>
      <c r="AP190" s="817"/>
      <c r="AQ190" s="817"/>
      <c r="AR190" s="817"/>
      <c r="AS190" s="817"/>
      <c r="AT190" s="817"/>
      <c r="AU190" s="322" t="s">
        <v>1062</v>
      </c>
    </row>
    <row r="191" spans="1:47" s="857" customFormat="1" ht="12" customHeight="1">
      <c r="A191" s="794">
        <v>189</v>
      </c>
      <c r="B191" s="872" t="s">
        <v>148</v>
      </c>
      <c r="C191" s="872" t="s">
        <v>1299</v>
      </c>
      <c r="D191" s="840">
        <v>40299</v>
      </c>
      <c r="E191" s="840">
        <v>40360</v>
      </c>
      <c r="F191" s="911">
        <v>2010</v>
      </c>
      <c r="G191" s="872" t="s">
        <v>168</v>
      </c>
      <c r="H191" s="841" t="s">
        <v>1449</v>
      </c>
      <c r="I191" s="857" t="s">
        <v>1065</v>
      </c>
      <c r="J191" s="800" t="s">
        <v>2331</v>
      </c>
      <c r="K191" s="817">
        <v>145000</v>
      </c>
      <c r="L191" s="817">
        <v>178676</v>
      </c>
      <c r="M191" s="817">
        <v>171839</v>
      </c>
      <c r="N191" s="817">
        <v>171839</v>
      </c>
      <c r="O191" s="808">
        <f t="shared" si="15"/>
        <v>1.1850965517241379</v>
      </c>
      <c r="P191" s="817">
        <v>96</v>
      </c>
      <c r="Q191" s="817">
        <v>145000</v>
      </c>
      <c r="R191" s="817">
        <v>2715</v>
      </c>
      <c r="S191" s="817">
        <v>145000</v>
      </c>
      <c r="T191" s="817" t="s">
        <v>2</v>
      </c>
      <c r="U191" s="817">
        <v>40</v>
      </c>
      <c r="V191" s="817">
        <v>145000</v>
      </c>
      <c r="W191" s="817">
        <v>45819</v>
      </c>
      <c r="X191" s="817">
        <v>43986.239999999998</v>
      </c>
      <c r="Y191" s="808">
        <f>X191/S191</f>
        <v>0.30335337931034484</v>
      </c>
      <c r="Z191" s="817"/>
      <c r="AA191" s="817"/>
      <c r="AB191" s="817">
        <v>143</v>
      </c>
      <c r="AC191" s="817"/>
      <c r="AD191" s="817" t="s">
        <v>2</v>
      </c>
      <c r="AE191" s="817"/>
      <c r="AF191" s="817"/>
      <c r="AG191" s="817"/>
      <c r="AH191" s="817">
        <v>427</v>
      </c>
      <c r="AI191" s="817" t="s">
        <v>75</v>
      </c>
      <c r="AJ191" s="787">
        <f t="shared" si="14"/>
        <v>427</v>
      </c>
      <c r="AK191" s="817">
        <v>16043</v>
      </c>
      <c r="AL191" s="817">
        <v>13417</v>
      </c>
      <c r="AM191" s="817"/>
      <c r="AN191" s="817"/>
      <c r="AO191" s="817"/>
      <c r="AP191" s="817"/>
      <c r="AQ191" s="817"/>
      <c r="AR191" s="817"/>
      <c r="AS191" s="817"/>
      <c r="AT191" s="817"/>
      <c r="AU191" s="323" t="s">
        <v>1064</v>
      </c>
    </row>
    <row r="192" spans="1:47" s="857" customFormat="1" ht="12.75" customHeight="1">
      <c r="A192" s="794">
        <v>190</v>
      </c>
      <c r="B192" s="872" t="s">
        <v>333</v>
      </c>
      <c r="C192" s="872" t="s">
        <v>1278</v>
      </c>
      <c r="D192" s="840">
        <v>40238</v>
      </c>
      <c r="E192" s="840">
        <v>40330</v>
      </c>
      <c r="F192" s="911">
        <v>2010</v>
      </c>
      <c r="G192" s="872" t="s">
        <v>1120</v>
      </c>
      <c r="H192" s="837" t="s">
        <v>1451</v>
      </c>
      <c r="I192" s="857" t="s">
        <v>1070</v>
      </c>
      <c r="J192" s="800" t="s">
        <v>2331</v>
      </c>
      <c r="K192" s="817">
        <v>10000</v>
      </c>
      <c r="L192" s="817">
        <v>200000</v>
      </c>
      <c r="M192" s="817">
        <v>200000</v>
      </c>
      <c r="N192" s="817">
        <v>178459</v>
      </c>
      <c r="O192" s="808">
        <f t="shared" si="15"/>
        <v>17.8459</v>
      </c>
      <c r="P192" s="817">
        <v>100</v>
      </c>
      <c r="Q192" s="817" t="s">
        <v>75</v>
      </c>
      <c r="R192" s="817">
        <v>800</v>
      </c>
      <c r="S192" s="817">
        <v>800</v>
      </c>
      <c r="T192" s="817" t="s">
        <v>233</v>
      </c>
      <c r="U192" s="817" t="s">
        <v>134</v>
      </c>
      <c r="V192" s="817">
        <v>7500</v>
      </c>
      <c r="W192" s="817" t="s">
        <v>66</v>
      </c>
      <c r="X192" s="817" t="s">
        <v>66</v>
      </c>
      <c r="Y192" s="808"/>
      <c r="Z192" s="817">
        <v>300</v>
      </c>
      <c r="AA192" s="817">
        <v>7500</v>
      </c>
      <c r="AB192" s="817" t="s">
        <v>134</v>
      </c>
      <c r="AC192" s="817"/>
      <c r="AD192" s="817"/>
      <c r="AE192" s="817"/>
      <c r="AF192" s="817"/>
      <c r="AG192" s="817"/>
      <c r="AH192" s="817"/>
      <c r="AI192" s="817"/>
      <c r="AJ192" s="787">
        <f t="shared" si="14"/>
        <v>7800</v>
      </c>
      <c r="AK192" s="817">
        <v>5000</v>
      </c>
      <c r="AL192" s="817">
        <v>4154</v>
      </c>
      <c r="AM192" s="817"/>
      <c r="AN192" s="817"/>
      <c r="AO192" s="817"/>
      <c r="AP192" s="817"/>
      <c r="AQ192" s="817"/>
      <c r="AR192" s="817"/>
      <c r="AS192" s="817"/>
      <c r="AT192" s="817"/>
      <c r="AU192" s="323" t="s">
        <v>1069</v>
      </c>
    </row>
    <row r="193" spans="1:47" s="857" customFormat="1" ht="19.5" customHeight="1">
      <c r="A193" s="794">
        <v>191</v>
      </c>
      <c r="B193" s="872" t="s">
        <v>452</v>
      </c>
      <c r="C193" s="872" t="s">
        <v>1278</v>
      </c>
      <c r="D193" s="840">
        <v>40179</v>
      </c>
      <c r="E193" s="840">
        <v>40360</v>
      </c>
      <c r="F193" s="911">
        <v>2010</v>
      </c>
      <c r="G193" s="872" t="s">
        <v>1120</v>
      </c>
      <c r="H193" s="837" t="s">
        <v>1451</v>
      </c>
      <c r="I193" s="857" t="s">
        <v>1121</v>
      </c>
      <c r="J193" s="800" t="s">
        <v>2331</v>
      </c>
      <c r="K193" s="817">
        <v>3500</v>
      </c>
      <c r="L193" s="817">
        <v>257914</v>
      </c>
      <c r="M193" s="817">
        <v>257914</v>
      </c>
      <c r="N193" s="817">
        <v>245024</v>
      </c>
      <c r="O193" s="808">
        <f t="shared" si="15"/>
        <v>70.006857142857143</v>
      </c>
      <c r="P193" s="817">
        <v>100</v>
      </c>
      <c r="Q193" s="817" t="s">
        <v>75</v>
      </c>
      <c r="R193" s="817" t="s">
        <v>75</v>
      </c>
      <c r="S193" s="817" t="s">
        <v>75</v>
      </c>
      <c r="T193" s="817" t="s">
        <v>233</v>
      </c>
      <c r="U193" s="817">
        <v>100</v>
      </c>
      <c r="V193" s="817">
        <v>3500</v>
      </c>
      <c r="W193" s="817" t="s">
        <v>66</v>
      </c>
      <c r="X193" s="817" t="s">
        <v>66</v>
      </c>
      <c r="Y193" s="817"/>
      <c r="Z193" s="817">
        <v>3500</v>
      </c>
      <c r="AA193" s="817"/>
      <c r="AB193" s="817">
        <v>100</v>
      </c>
      <c r="AC193" s="817"/>
      <c r="AD193" s="817"/>
      <c r="AE193" s="817"/>
      <c r="AF193" s="817"/>
      <c r="AG193" s="817"/>
      <c r="AH193" s="817"/>
      <c r="AI193" s="817"/>
      <c r="AJ193" s="787">
        <f t="shared" si="14"/>
        <v>3500</v>
      </c>
      <c r="AK193" s="817" t="s">
        <v>66</v>
      </c>
      <c r="AL193" s="817" t="s">
        <v>66</v>
      </c>
      <c r="AM193" s="817"/>
      <c r="AN193" s="817"/>
      <c r="AO193" s="817"/>
      <c r="AP193" s="817"/>
      <c r="AQ193" s="817"/>
      <c r="AR193" s="817"/>
      <c r="AS193" s="817"/>
      <c r="AT193" s="817"/>
      <c r="AU193" s="857" t="s">
        <v>1122</v>
      </c>
    </row>
    <row r="194" spans="1:47" s="857" customFormat="1" ht="16.5" customHeight="1">
      <c r="A194" s="794">
        <v>192</v>
      </c>
      <c r="B194" s="872" t="s">
        <v>1000</v>
      </c>
      <c r="C194" s="872" t="s">
        <v>1261</v>
      </c>
      <c r="D194" s="840">
        <v>40210</v>
      </c>
      <c r="E194" s="840">
        <v>40299</v>
      </c>
      <c r="F194" s="911">
        <v>2010</v>
      </c>
      <c r="G194" s="872" t="s">
        <v>1129</v>
      </c>
      <c r="H194" s="837" t="s">
        <v>1450</v>
      </c>
      <c r="I194" s="857" t="s">
        <v>1128</v>
      </c>
      <c r="J194" s="800" t="s">
        <v>2331</v>
      </c>
      <c r="K194" s="817">
        <v>1671</v>
      </c>
      <c r="L194" s="817">
        <v>150000</v>
      </c>
      <c r="M194" s="817">
        <v>150000</v>
      </c>
      <c r="N194" s="817">
        <v>149974</v>
      </c>
      <c r="O194" s="808">
        <f t="shared" si="15"/>
        <v>89.751047277079593</v>
      </c>
      <c r="P194" s="817">
        <v>100</v>
      </c>
      <c r="Q194" s="817">
        <v>1671</v>
      </c>
      <c r="R194" s="817" t="s">
        <v>75</v>
      </c>
      <c r="S194" s="817">
        <v>1671</v>
      </c>
      <c r="T194" s="817" t="s">
        <v>233</v>
      </c>
      <c r="U194" s="817">
        <v>18</v>
      </c>
      <c r="V194" s="817">
        <v>1671</v>
      </c>
      <c r="W194" s="817">
        <v>10000</v>
      </c>
      <c r="X194" s="817">
        <v>6599</v>
      </c>
      <c r="Y194" s="808">
        <f>X194/S194</f>
        <v>3.9491322561340514</v>
      </c>
      <c r="Z194" s="817">
        <v>265</v>
      </c>
      <c r="AA194" s="817"/>
      <c r="AB194" s="817">
        <v>18</v>
      </c>
      <c r="AC194" s="817"/>
      <c r="AD194" s="817"/>
      <c r="AE194" s="817">
        <v>500</v>
      </c>
      <c r="AF194" s="817"/>
      <c r="AG194" s="817"/>
      <c r="AH194" s="817"/>
      <c r="AI194" s="817"/>
      <c r="AJ194" s="787">
        <f t="shared" si="14"/>
        <v>265</v>
      </c>
      <c r="AK194" s="817" t="s">
        <v>66</v>
      </c>
      <c r="AL194" s="817" t="s">
        <v>66</v>
      </c>
      <c r="AM194" s="817"/>
      <c r="AN194" s="817"/>
      <c r="AO194" s="817"/>
      <c r="AP194" s="817"/>
      <c r="AQ194" s="817"/>
      <c r="AR194" s="817"/>
      <c r="AS194" s="817"/>
      <c r="AT194" s="817"/>
      <c r="AU194" s="857" t="s">
        <v>1127</v>
      </c>
    </row>
    <row r="195" spans="1:47" s="857" customFormat="1" ht="12.75" customHeight="1">
      <c r="A195" s="794">
        <v>193</v>
      </c>
      <c r="B195" s="872" t="s">
        <v>28</v>
      </c>
      <c r="C195" s="872" t="s">
        <v>1261</v>
      </c>
      <c r="D195" s="840">
        <v>40330</v>
      </c>
      <c r="E195" s="840">
        <v>40330</v>
      </c>
      <c r="F195" s="911">
        <v>2010</v>
      </c>
      <c r="G195" s="872" t="s">
        <v>1134</v>
      </c>
      <c r="H195" s="837" t="s">
        <v>1451</v>
      </c>
      <c r="I195" s="857" t="s">
        <v>1133</v>
      </c>
      <c r="J195" s="800" t="s">
        <v>2331</v>
      </c>
      <c r="K195" s="817">
        <v>7000</v>
      </c>
      <c r="L195" s="817">
        <v>50001</v>
      </c>
      <c r="M195" s="817">
        <v>50000</v>
      </c>
      <c r="N195" s="817">
        <v>47525</v>
      </c>
      <c r="O195" s="808">
        <f t="shared" si="15"/>
        <v>6.7892857142857146</v>
      </c>
      <c r="P195" s="817">
        <v>100</v>
      </c>
      <c r="Q195" s="817" t="s">
        <v>75</v>
      </c>
      <c r="R195" s="817" t="s">
        <v>75</v>
      </c>
      <c r="S195" s="817" t="s">
        <v>75</v>
      </c>
      <c r="T195" s="817" t="s">
        <v>233</v>
      </c>
      <c r="U195" s="817" t="s">
        <v>134</v>
      </c>
      <c r="V195" s="817">
        <v>1489</v>
      </c>
      <c r="W195" s="817" t="s">
        <v>66</v>
      </c>
      <c r="X195" s="817" t="s">
        <v>66</v>
      </c>
      <c r="Y195" s="817"/>
      <c r="Z195" s="817"/>
      <c r="AA195" s="817">
        <v>1489</v>
      </c>
      <c r="AB195" s="817">
        <v>93</v>
      </c>
      <c r="AC195" s="817"/>
      <c r="AD195" s="817"/>
      <c r="AE195" s="817"/>
      <c r="AF195" s="817"/>
      <c r="AG195" s="817">
        <v>45</v>
      </c>
      <c r="AH195" s="817"/>
      <c r="AI195" s="817">
        <v>384</v>
      </c>
      <c r="AJ195" s="787">
        <f t="shared" si="14"/>
        <v>1489</v>
      </c>
      <c r="AK195" s="817" t="s">
        <v>66</v>
      </c>
      <c r="AL195" s="817" t="s">
        <v>66</v>
      </c>
      <c r="AM195" s="817"/>
      <c r="AN195" s="817"/>
      <c r="AO195" s="817"/>
      <c r="AP195" s="817"/>
      <c r="AQ195" s="817"/>
      <c r="AR195" s="817"/>
      <c r="AS195" s="817"/>
      <c r="AT195" s="817"/>
      <c r="AU195" s="857" t="s">
        <v>1132</v>
      </c>
    </row>
    <row r="196" spans="1:47" s="857" customFormat="1" ht="16.5" customHeight="1">
      <c r="A196" s="794">
        <v>194</v>
      </c>
      <c r="B196" s="872" t="s">
        <v>1135</v>
      </c>
      <c r="C196" s="872" t="s">
        <v>1261</v>
      </c>
      <c r="D196" s="840">
        <v>40179</v>
      </c>
      <c r="E196" s="840">
        <v>40422</v>
      </c>
      <c r="F196" s="911">
        <v>2010</v>
      </c>
      <c r="G196" s="872" t="s">
        <v>1195</v>
      </c>
      <c r="H196" s="837" t="s">
        <v>1453</v>
      </c>
      <c r="I196" s="857" t="s">
        <v>1194</v>
      </c>
      <c r="J196" s="800" t="s">
        <v>2331</v>
      </c>
      <c r="K196" s="817">
        <v>6000</v>
      </c>
      <c r="L196" s="817">
        <v>400000</v>
      </c>
      <c r="M196" s="817">
        <v>400003</v>
      </c>
      <c r="N196" s="817">
        <v>362592</v>
      </c>
      <c r="O196" s="808">
        <f t="shared" si="15"/>
        <v>60.432000000000002</v>
      </c>
      <c r="P196" s="817">
        <v>100</v>
      </c>
      <c r="Q196" s="817" t="s">
        <v>75</v>
      </c>
      <c r="R196" s="817" t="s">
        <v>75</v>
      </c>
      <c r="S196" s="817" t="s">
        <v>75</v>
      </c>
      <c r="T196" s="817" t="s">
        <v>233</v>
      </c>
      <c r="U196" s="817" t="s">
        <v>75</v>
      </c>
      <c r="V196" s="817" t="s">
        <v>75</v>
      </c>
      <c r="W196" s="817" t="s">
        <v>66</v>
      </c>
      <c r="X196" s="817" t="s">
        <v>66</v>
      </c>
      <c r="Y196" s="817"/>
      <c r="Z196" s="817" t="s">
        <v>2</v>
      </c>
      <c r="AA196" s="817" t="s">
        <v>134</v>
      </c>
      <c r="AB196" s="817" t="s">
        <v>134</v>
      </c>
      <c r="AC196" s="817"/>
      <c r="AD196" s="817"/>
      <c r="AE196" s="817"/>
      <c r="AF196" s="817"/>
      <c r="AG196" s="817"/>
      <c r="AH196" s="817"/>
      <c r="AI196" s="817"/>
      <c r="AJ196" s="787">
        <f t="shared" si="14"/>
        <v>0</v>
      </c>
      <c r="AK196" s="817">
        <v>17250</v>
      </c>
      <c r="AL196" s="817">
        <v>18883</v>
      </c>
      <c r="AM196" s="817"/>
      <c r="AN196" s="817"/>
      <c r="AO196" s="817"/>
      <c r="AP196" s="817"/>
      <c r="AQ196" s="817"/>
      <c r="AR196" s="817"/>
      <c r="AS196" s="817"/>
      <c r="AT196" s="817"/>
      <c r="AU196" s="857" t="s">
        <v>1193</v>
      </c>
    </row>
    <row r="197" spans="1:47" s="857" customFormat="1" ht="16.5" customHeight="1">
      <c r="A197" s="794">
        <v>195</v>
      </c>
      <c r="B197" s="872" t="s">
        <v>1136</v>
      </c>
      <c r="C197" s="872" t="s">
        <v>1260</v>
      </c>
      <c r="D197" s="840">
        <v>40238</v>
      </c>
      <c r="E197" s="840">
        <v>40391</v>
      </c>
      <c r="F197" s="911">
        <v>2010</v>
      </c>
      <c r="G197" s="872" t="s">
        <v>5</v>
      </c>
      <c r="H197" s="837" t="s">
        <v>1451</v>
      </c>
      <c r="I197" s="857" t="s">
        <v>1197</v>
      </c>
      <c r="J197" s="800" t="s">
        <v>2331</v>
      </c>
      <c r="K197" s="817">
        <v>8640</v>
      </c>
      <c r="L197" s="817">
        <v>134552</v>
      </c>
      <c r="M197" s="817">
        <v>134552</v>
      </c>
      <c r="N197" s="817">
        <v>134552</v>
      </c>
      <c r="O197" s="808">
        <f t="shared" si="15"/>
        <v>15.573148148148148</v>
      </c>
      <c r="P197" s="817">
        <v>100</v>
      </c>
      <c r="Q197" s="817" t="s">
        <v>75</v>
      </c>
      <c r="R197" s="817" t="s">
        <v>75</v>
      </c>
      <c r="S197" s="817" t="s">
        <v>75</v>
      </c>
      <c r="T197" s="817" t="s">
        <v>233</v>
      </c>
      <c r="U197" s="817" t="s">
        <v>75</v>
      </c>
      <c r="V197" s="817">
        <v>4720</v>
      </c>
      <c r="W197" s="817" t="s">
        <v>66</v>
      </c>
      <c r="X197" s="817" t="s">
        <v>66</v>
      </c>
      <c r="Y197" s="817"/>
      <c r="Z197" s="817"/>
      <c r="AA197" s="817"/>
      <c r="AB197" s="817">
        <v>40</v>
      </c>
      <c r="AC197" s="817"/>
      <c r="AD197" s="817"/>
      <c r="AE197" s="817"/>
      <c r="AF197" s="817"/>
      <c r="AG197" s="817"/>
      <c r="AH197" s="817"/>
      <c r="AI197" s="817"/>
      <c r="AJ197" s="787">
        <f t="shared" si="14"/>
        <v>0</v>
      </c>
      <c r="AK197" s="817">
        <v>3300</v>
      </c>
      <c r="AL197" s="817">
        <v>2891</v>
      </c>
      <c r="AM197" s="817"/>
      <c r="AN197" s="817"/>
      <c r="AO197" s="817"/>
      <c r="AP197" s="817"/>
      <c r="AQ197" s="817"/>
      <c r="AR197" s="817"/>
      <c r="AS197" s="817"/>
      <c r="AT197" s="817"/>
      <c r="AU197" s="857" t="s">
        <v>1196</v>
      </c>
    </row>
    <row r="198" spans="1:47" s="857" customFormat="1" ht="15" customHeight="1">
      <c r="A198" s="794">
        <v>196</v>
      </c>
      <c r="B198" s="872" t="s">
        <v>1137</v>
      </c>
      <c r="C198" s="872" t="s">
        <v>1299</v>
      </c>
      <c r="D198" s="840">
        <v>40238</v>
      </c>
      <c r="E198" s="840">
        <v>40360</v>
      </c>
      <c r="F198" s="911">
        <v>2010</v>
      </c>
      <c r="G198" s="872" t="s">
        <v>1202</v>
      </c>
      <c r="H198" s="837" t="s">
        <v>1452</v>
      </c>
      <c r="I198" s="857" t="s">
        <v>1201</v>
      </c>
      <c r="J198" s="800" t="s">
        <v>2331</v>
      </c>
      <c r="K198" s="817">
        <v>50000</v>
      </c>
      <c r="L198" s="817">
        <v>500000</v>
      </c>
      <c r="M198" s="817">
        <v>500000</v>
      </c>
      <c r="N198" s="817">
        <v>499752</v>
      </c>
      <c r="O198" s="808">
        <f t="shared" si="15"/>
        <v>9.9950399999999995</v>
      </c>
      <c r="P198" s="817">
        <v>100</v>
      </c>
      <c r="Q198" s="817" t="s">
        <v>75</v>
      </c>
      <c r="R198" s="817" t="s">
        <v>75</v>
      </c>
      <c r="S198" s="817" t="s">
        <v>75</v>
      </c>
      <c r="T198" s="817" t="s">
        <v>233</v>
      </c>
      <c r="U198" s="817" t="s">
        <v>75</v>
      </c>
      <c r="V198" s="817" t="s">
        <v>75</v>
      </c>
      <c r="W198" s="817" t="s">
        <v>66</v>
      </c>
      <c r="X198" s="817" t="s">
        <v>66</v>
      </c>
      <c r="Y198" s="817"/>
      <c r="Z198" s="817"/>
      <c r="AA198" s="817"/>
      <c r="AB198" s="817">
        <v>46917</v>
      </c>
      <c r="AC198" s="817"/>
      <c r="AD198" s="817"/>
      <c r="AE198" s="817"/>
      <c r="AF198" s="817"/>
      <c r="AG198" s="817"/>
      <c r="AH198" s="817">
        <v>900</v>
      </c>
      <c r="AI198" s="817"/>
      <c r="AJ198" s="787">
        <f t="shared" si="14"/>
        <v>900</v>
      </c>
      <c r="AK198" s="817">
        <v>252996</v>
      </c>
      <c r="AL198" s="817">
        <v>174502</v>
      </c>
      <c r="AM198" s="817"/>
      <c r="AN198" s="817"/>
      <c r="AO198" s="817"/>
      <c r="AP198" s="817"/>
      <c r="AQ198" s="817"/>
      <c r="AR198" s="817"/>
      <c r="AS198" s="817"/>
      <c r="AT198" s="817"/>
      <c r="AU198" s="857" t="s">
        <v>1200</v>
      </c>
    </row>
    <row r="199" spans="1:47" s="798" customFormat="1" ht="15.75" customHeight="1">
      <c r="A199" s="794">
        <v>197</v>
      </c>
      <c r="B199" s="919" t="s">
        <v>196</v>
      </c>
      <c r="C199" s="919" t="s">
        <v>1260</v>
      </c>
      <c r="D199" s="805">
        <v>40179</v>
      </c>
      <c r="E199" s="805">
        <v>40299</v>
      </c>
      <c r="F199" s="911">
        <v>2010</v>
      </c>
      <c r="G199" s="919" t="s">
        <v>24</v>
      </c>
      <c r="H199" s="837" t="s">
        <v>1454</v>
      </c>
      <c r="I199" s="798" t="s">
        <v>1206</v>
      </c>
      <c r="J199" s="800" t="s">
        <v>2331</v>
      </c>
      <c r="K199" s="839">
        <v>980</v>
      </c>
      <c r="L199" s="839">
        <v>132022</v>
      </c>
      <c r="M199" s="839">
        <v>132022</v>
      </c>
      <c r="N199" s="839">
        <v>131986</v>
      </c>
      <c r="O199" s="808">
        <f t="shared" si="15"/>
        <v>134.67959183673469</v>
      </c>
      <c r="P199" s="839">
        <v>100</v>
      </c>
      <c r="Q199" s="839" t="s">
        <v>75</v>
      </c>
      <c r="R199" s="839" t="s">
        <v>75</v>
      </c>
      <c r="S199" s="839" t="s">
        <v>75</v>
      </c>
      <c r="T199" s="839" t="s">
        <v>233</v>
      </c>
      <c r="U199" s="839" t="s">
        <v>75</v>
      </c>
      <c r="V199" s="839" t="s">
        <v>75</v>
      </c>
      <c r="W199" s="839" t="s">
        <v>66</v>
      </c>
      <c r="X199" s="839" t="s">
        <v>66</v>
      </c>
      <c r="Y199" s="817"/>
      <c r="Z199" s="839">
        <v>980</v>
      </c>
      <c r="AA199" s="839"/>
      <c r="AB199" s="839"/>
      <c r="AC199" s="839"/>
      <c r="AD199" s="817"/>
      <c r="AE199" s="839"/>
      <c r="AF199" s="839"/>
      <c r="AG199" s="839"/>
      <c r="AH199" s="817"/>
      <c r="AI199" s="839"/>
      <c r="AJ199" s="787">
        <f t="shared" si="14"/>
        <v>980</v>
      </c>
      <c r="AK199" s="839" t="s">
        <v>66</v>
      </c>
      <c r="AL199" s="839" t="s">
        <v>66</v>
      </c>
      <c r="AM199" s="839"/>
      <c r="AN199" s="839"/>
      <c r="AO199" s="839"/>
      <c r="AP199" s="839"/>
      <c r="AQ199" s="839"/>
      <c r="AR199" s="839"/>
      <c r="AS199" s="839"/>
      <c r="AT199" s="839"/>
      <c r="AU199" s="329" t="s">
        <v>1205</v>
      </c>
    </row>
    <row r="200" spans="1:47" s="798" customFormat="1" ht="16.5" customHeight="1">
      <c r="A200" s="794">
        <v>198</v>
      </c>
      <c r="B200" s="919" t="s">
        <v>1207</v>
      </c>
      <c r="C200" s="919" t="s">
        <v>1260</v>
      </c>
      <c r="D200" s="805">
        <v>40179</v>
      </c>
      <c r="E200" s="805">
        <v>40299</v>
      </c>
      <c r="F200" s="911">
        <v>2010</v>
      </c>
      <c r="G200" s="919" t="s">
        <v>5</v>
      </c>
      <c r="H200" s="837" t="s">
        <v>1451</v>
      </c>
      <c r="I200" s="798" t="s">
        <v>1209</v>
      </c>
      <c r="J200" s="800" t="s">
        <v>2331</v>
      </c>
      <c r="K200" s="839">
        <v>11000</v>
      </c>
      <c r="L200" s="839">
        <v>302500</v>
      </c>
      <c r="M200" s="839">
        <v>302500</v>
      </c>
      <c r="N200" s="839">
        <v>295431</v>
      </c>
      <c r="O200" s="808">
        <f t="shared" si="15"/>
        <v>26.857363636363637</v>
      </c>
      <c r="P200" s="839">
        <v>100</v>
      </c>
      <c r="Q200" s="839" t="s">
        <v>75</v>
      </c>
      <c r="R200" s="839" t="s">
        <v>75</v>
      </c>
      <c r="S200" s="839" t="s">
        <v>75</v>
      </c>
      <c r="T200" s="839" t="s">
        <v>233</v>
      </c>
      <c r="U200" s="839">
        <v>30</v>
      </c>
      <c r="V200" s="839">
        <v>11000</v>
      </c>
      <c r="W200" s="839" t="s">
        <v>66</v>
      </c>
      <c r="X200" s="839" t="s">
        <v>66</v>
      </c>
      <c r="Y200" s="817"/>
      <c r="Z200" s="839"/>
      <c r="AA200" s="839">
        <v>11000</v>
      </c>
      <c r="AB200" s="839">
        <v>30</v>
      </c>
      <c r="AC200" s="839"/>
      <c r="AD200" s="817"/>
      <c r="AE200" s="839"/>
      <c r="AF200" s="839"/>
      <c r="AG200" s="839"/>
      <c r="AH200" s="817"/>
      <c r="AI200" s="839"/>
      <c r="AJ200" s="787">
        <f t="shared" si="14"/>
        <v>11000</v>
      </c>
      <c r="AK200" s="839" t="s">
        <v>66</v>
      </c>
      <c r="AL200" s="839" t="s">
        <v>66</v>
      </c>
      <c r="AM200" s="839"/>
      <c r="AN200" s="839"/>
      <c r="AO200" s="839"/>
      <c r="AP200" s="839"/>
      <c r="AQ200" s="839"/>
      <c r="AR200" s="839"/>
      <c r="AS200" s="839"/>
      <c r="AT200" s="839"/>
      <c r="AU200" s="798" t="s">
        <v>1208</v>
      </c>
    </row>
    <row r="201" spans="1:47" s="857" customFormat="1" ht="15" customHeight="1">
      <c r="A201" s="794">
        <v>199</v>
      </c>
      <c r="B201" s="872" t="s">
        <v>485</v>
      </c>
      <c r="C201" s="872" t="s">
        <v>1299</v>
      </c>
      <c r="D201" s="840">
        <v>40210</v>
      </c>
      <c r="E201" s="840">
        <v>40483</v>
      </c>
      <c r="F201" s="911">
        <v>2010</v>
      </c>
      <c r="G201" s="872" t="s">
        <v>220</v>
      </c>
      <c r="H201" s="837" t="s">
        <v>1449</v>
      </c>
      <c r="I201" s="857" t="s">
        <v>1217</v>
      </c>
      <c r="J201" s="800" t="s">
        <v>2331</v>
      </c>
      <c r="K201" s="817">
        <v>44000</v>
      </c>
      <c r="L201" s="817">
        <v>34879</v>
      </c>
      <c r="M201" s="817">
        <v>33245</v>
      </c>
      <c r="N201" s="817">
        <v>33245</v>
      </c>
      <c r="O201" s="808">
        <f t="shared" si="15"/>
        <v>0.75556818181818186</v>
      </c>
      <c r="P201" s="817">
        <v>95</v>
      </c>
      <c r="Q201" s="817"/>
      <c r="R201" s="817"/>
      <c r="S201" s="817"/>
      <c r="T201" s="817"/>
      <c r="U201" s="817"/>
      <c r="V201" s="817"/>
      <c r="W201" s="817"/>
      <c r="X201" s="817">
        <v>1441</v>
      </c>
      <c r="Y201" s="817"/>
      <c r="Z201" s="817"/>
      <c r="AA201" s="817">
        <v>60183</v>
      </c>
      <c r="AB201" s="817">
        <v>80</v>
      </c>
      <c r="AC201" s="817"/>
      <c r="AD201" s="817"/>
      <c r="AE201" s="817"/>
      <c r="AF201" s="817"/>
      <c r="AG201" s="817"/>
      <c r="AH201" s="817"/>
      <c r="AI201" s="817"/>
      <c r="AJ201" s="787">
        <f t="shared" si="14"/>
        <v>60183</v>
      </c>
      <c r="AK201" s="817"/>
      <c r="AL201" s="817"/>
      <c r="AM201" s="817"/>
      <c r="AN201" s="817"/>
      <c r="AO201" s="817"/>
      <c r="AP201" s="817"/>
      <c r="AQ201" s="817"/>
      <c r="AR201" s="817"/>
      <c r="AS201" s="817"/>
      <c r="AT201" s="817"/>
      <c r="AU201" s="817" t="s">
        <v>1218</v>
      </c>
    </row>
    <row r="202" spans="1:47" s="857" customFormat="1" ht="13.5" customHeight="1">
      <c r="A202" s="794">
        <v>200</v>
      </c>
      <c r="B202" s="872" t="s">
        <v>485</v>
      </c>
      <c r="C202" s="872" t="s">
        <v>1299</v>
      </c>
      <c r="D202" s="840">
        <v>40238</v>
      </c>
      <c r="E202" s="840">
        <v>40483</v>
      </c>
      <c r="F202" s="911">
        <v>2010</v>
      </c>
      <c r="G202" s="872" t="s">
        <v>1219</v>
      </c>
      <c r="H202" s="837" t="s">
        <v>1450</v>
      </c>
      <c r="I202" s="857" t="s">
        <v>1220</v>
      </c>
      <c r="J202" s="800" t="s">
        <v>2331</v>
      </c>
      <c r="K202" s="817">
        <v>25000</v>
      </c>
      <c r="L202" s="817">
        <v>280171</v>
      </c>
      <c r="M202" s="817">
        <v>265832</v>
      </c>
      <c r="N202" s="817">
        <v>265832</v>
      </c>
      <c r="O202" s="808">
        <f t="shared" si="15"/>
        <v>10.633279999999999</v>
      </c>
      <c r="P202" s="817">
        <v>95</v>
      </c>
      <c r="Q202" s="817">
        <v>18400</v>
      </c>
      <c r="R202" s="817"/>
      <c r="S202" s="817">
        <v>18400</v>
      </c>
      <c r="T202" s="817"/>
      <c r="U202" s="817">
        <v>197</v>
      </c>
      <c r="V202" s="817">
        <v>22977</v>
      </c>
      <c r="W202" s="817">
        <v>155873</v>
      </c>
      <c r="X202" s="817">
        <v>132702</v>
      </c>
      <c r="Y202" s="808">
        <f>X202/S202</f>
        <v>7.212065217391304</v>
      </c>
      <c r="Z202" s="817"/>
      <c r="AA202" s="817"/>
      <c r="AB202" s="817"/>
      <c r="AC202" s="817"/>
      <c r="AD202" s="817"/>
      <c r="AE202" s="817"/>
      <c r="AF202" s="817"/>
      <c r="AG202" s="817"/>
      <c r="AH202" s="817"/>
      <c r="AI202" s="817"/>
      <c r="AJ202" s="787">
        <f t="shared" si="14"/>
        <v>0</v>
      </c>
      <c r="AK202" s="817"/>
      <c r="AL202" s="817"/>
      <c r="AM202" s="817"/>
      <c r="AN202" s="817"/>
      <c r="AO202" s="817"/>
      <c r="AP202" s="817"/>
      <c r="AQ202" s="817"/>
      <c r="AR202" s="817"/>
      <c r="AS202" s="817"/>
      <c r="AT202" s="817"/>
      <c r="AU202" s="817" t="s">
        <v>1221</v>
      </c>
    </row>
    <row r="203" spans="1:47" s="857" customFormat="1" ht="15" customHeight="1">
      <c r="A203" s="794">
        <v>201</v>
      </c>
      <c r="B203" s="872" t="s">
        <v>481</v>
      </c>
      <c r="C203" s="872" t="s">
        <v>1299</v>
      </c>
      <c r="D203" s="840">
        <v>40269</v>
      </c>
      <c r="E203" s="840">
        <v>40360</v>
      </c>
      <c r="F203" s="911">
        <v>2010</v>
      </c>
      <c r="G203" s="872" t="s">
        <v>243</v>
      </c>
      <c r="H203" s="841" t="s">
        <v>1449</v>
      </c>
      <c r="I203" s="857" t="s">
        <v>1222</v>
      </c>
      <c r="J203" s="800" t="s">
        <v>2331</v>
      </c>
      <c r="K203" s="817">
        <v>15000</v>
      </c>
      <c r="L203" s="817">
        <v>124385</v>
      </c>
      <c r="M203" s="817">
        <v>121525</v>
      </c>
      <c r="N203" s="817">
        <v>117744</v>
      </c>
      <c r="O203" s="808">
        <f t="shared" si="15"/>
        <v>7.8495999999999997</v>
      </c>
      <c r="P203" s="817">
        <v>98</v>
      </c>
      <c r="Q203" s="817">
        <v>225722</v>
      </c>
      <c r="R203" s="817">
        <v>5057</v>
      </c>
      <c r="S203" s="817">
        <v>225722</v>
      </c>
      <c r="T203" s="817"/>
      <c r="U203" s="817"/>
      <c r="V203" s="817">
        <v>134725</v>
      </c>
      <c r="W203" s="817">
        <v>28000</v>
      </c>
      <c r="X203" s="817">
        <v>27440</v>
      </c>
      <c r="Y203" s="808">
        <f>X203/S203</f>
        <v>0.12156546548409106</v>
      </c>
      <c r="Z203" s="817"/>
      <c r="AA203" s="817">
        <v>134725</v>
      </c>
      <c r="AB203" s="817">
        <v>2164</v>
      </c>
      <c r="AC203" s="817" t="s">
        <v>94</v>
      </c>
      <c r="AD203" s="817"/>
      <c r="AE203" s="817"/>
      <c r="AF203" s="817"/>
      <c r="AG203" s="817"/>
      <c r="AH203" s="817">
        <v>2059</v>
      </c>
      <c r="AI203" s="817"/>
      <c r="AJ203" s="787">
        <f t="shared" si="14"/>
        <v>136784</v>
      </c>
      <c r="AK203" s="817">
        <v>16000</v>
      </c>
      <c r="AL203" s="817">
        <v>15680</v>
      </c>
      <c r="AM203" s="817"/>
      <c r="AN203" s="817"/>
      <c r="AO203" s="817"/>
      <c r="AP203" s="817"/>
      <c r="AQ203" s="817"/>
      <c r="AR203" s="817"/>
      <c r="AS203" s="817"/>
      <c r="AT203" s="817"/>
      <c r="AU203" s="322" t="s">
        <v>1223</v>
      </c>
    </row>
    <row r="204" spans="1:47" s="857" customFormat="1" ht="12.75" customHeight="1">
      <c r="A204" s="794">
        <v>202</v>
      </c>
      <c r="B204" s="872" t="s">
        <v>764</v>
      </c>
      <c r="C204" s="872" t="s">
        <v>1299</v>
      </c>
      <c r="D204" s="840">
        <v>40210</v>
      </c>
      <c r="E204" s="840">
        <v>40452</v>
      </c>
      <c r="F204" s="911">
        <v>2010</v>
      </c>
      <c r="G204" s="872" t="s">
        <v>5</v>
      </c>
      <c r="H204" s="837" t="s">
        <v>1451</v>
      </c>
      <c r="I204" s="857" t="s">
        <v>1222</v>
      </c>
      <c r="J204" s="800" t="s">
        <v>2331</v>
      </c>
      <c r="K204" s="817">
        <v>15000</v>
      </c>
      <c r="L204" s="817">
        <v>155620</v>
      </c>
      <c r="M204" s="817">
        <v>155311</v>
      </c>
      <c r="N204" s="817">
        <v>128014</v>
      </c>
      <c r="O204" s="808">
        <f t="shared" si="15"/>
        <v>8.5342666666666673</v>
      </c>
      <c r="P204" s="817">
        <v>100</v>
      </c>
      <c r="Q204" s="817">
        <v>1200</v>
      </c>
      <c r="R204" s="817">
        <v>1200</v>
      </c>
      <c r="S204" s="817">
        <v>1200</v>
      </c>
      <c r="T204" s="817"/>
      <c r="U204" s="817"/>
      <c r="V204" s="817">
        <v>1200</v>
      </c>
      <c r="W204" s="817">
        <v>27400</v>
      </c>
      <c r="X204" s="817">
        <v>27400</v>
      </c>
      <c r="Y204" s="808">
        <f>X204/S204</f>
        <v>22.833333333333332</v>
      </c>
      <c r="Z204" s="817"/>
      <c r="AA204" s="817">
        <v>22500</v>
      </c>
      <c r="AB204" s="817">
        <v>50</v>
      </c>
      <c r="AC204" s="817">
        <v>40</v>
      </c>
      <c r="AD204" s="817"/>
      <c r="AE204" s="817">
        <v>400</v>
      </c>
      <c r="AF204" s="817"/>
      <c r="AG204" s="817"/>
      <c r="AH204" s="817"/>
      <c r="AI204" s="817"/>
      <c r="AJ204" s="787">
        <f t="shared" si="14"/>
        <v>22500</v>
      </c>
      <c r="AK204" s="817">
        <v>22500</v>
      </c>
      <c r="AL204" s="817">
        <v>20619</v>
      </c>
      <c r="AM204" s="817"/>
      <c r="AN204" s="817"/>
      <c r="AO204" s="817"/>
      <c r="AP204" s="817"/>
      <c r="AQ204" s="817"/>
      <c r="AR204" s="817"/>
      <c r="AS204" s="817"/>
      <c r="AT204" s="817"/>
      <c r="AU204" s="322" t="s">
        <v>1224</v>
      </c>
    </row>
    <row r="205" spans="1:47" s="857" customFormat="1" ht="13.5" customHeight="1">
      <c r="A205" s="794">
        <v>203</v>
      </c>
      <c r="B205" s="872" t="s">
        <v>153</v>
      </c>
      <c r="C205" s="872" t="s">
        <v>1299</v>
      </c>
      <c r="D205" s="840">
        <v>40269</v>
      </c>
      <c r="E205" s="840">
        <v>40483</v>
      </c>
      <c r="F205" s="911">
        <v>2010</v>
      </c>
      <c r="G205" s="872" t="s">
        <v>1225</v>
      </c>
      <c r="H205" s="837" t="s">
        <v>1451</v>
      </c>
      <c r="I205" s="857" t="s">
        <v>1226</v>
      </c>
      <c r="J205" s="800" t="s">
        <v>2331</v>
      </c>
      <c r="K205" s="817">
        <v>5920</v>
      </c>
      <c r="L205" s="817">
        <v>177163</v>
      </c>
      <c r="M205" s="817">
        <v>174150</v>
      </c>
      <c r="N205" s="817">
        <v>174150</v>
      </c>
      <c r="O205" s="808">
        <f t="shared" si="15"/>
        <v>29.41722972972973</v>
      </c>
      <c r="P205" s="817">
        <v>98</v>
      </c>
      <c r="Q205" s="817">
        <v>1010</v>
      </c>
      <c r="R205" s="817">
        <v>1010</v>
      </c>
      <c r="S205" s="817">
        <v>1010</v>
      </c>
      <c r="T205" s="817" t="s">
        <v>94</v>
      </c>
      <c r="U205" s="817">
        <v>34</v>
      </c>
      <c r="V205" s="817">
        <v>5920</v>
      </c>
      <c r="W205" s="817">
        <v>23659</v>
      </c>
      <c r="X205" s="817">
        <v>23185.82</v>
      </c>
      <c r="Y205" s="808">
        <f>X205/S205</f>
        <v>22.956257425742574</v>
      </c>
      <c r="Z205" s="817"/>
      <c r="AA205" s="817"/>
      <c r="AB205" s="817"/>
      <c r="AC205" s="817"/>
      <c r="AD205" s="817"/>
      <c r="AE205" s="817">
        <v>2040</v>
      </c>
      <c r="AF205" s="817"/>
      <c r="AG205" s="817"/>
      <c r="AH205" s="817"/>
      <c r="AI205" s="817"/>
      <c r="AJ205" s="787">
        <f t="shared" si="14"/>
        <v>0</v>
      </c>
      <c r="AK205" s="817"/>
      <c r="AL205" s="817"/>
      <c r="AM205" s="817"/>
      <c r="AN205" s="817"/>
      <c r="AO205" s="817"/>
      <c r="AP205" s="817"/>
      <c r="AQ205" s="817"/>
      <c r="AR205" s="817"/>
      <c r="AS205" s="817"/>
      <c r="AT205" s="817"/>
      <c r="AU205" s="323" t="s">
        <v>1227</v>
      </c>
    </row>
    <row r="206" spans="1:47" s="857" customFormat="1" ht="18" customHeight="1">
      <c r="A206" s="794">
        <v>204</v>
      </c>
      <c r="B206" s="872" t="s">
        <v>148</v>
      </c>
      <c r="C206" s="872" t="s">
        <v>1299</v>
      </c>
      <c r="D206" s="840">
        <v>40238</v>
      </c>
      <c r="E206" s="840">
        <v>40269</v>
      </c>
      <c r="F206" s="911">
        <v>2010</v>
      </c>
      <c r="G206" s="872" t="s">
        <v>1252</v>
      </c>
      <c r="H206" s="837" t="s">
        <v>1451</v>
      </c>
      <c r="I206" s="857" t="s">
        <v>1253</v>
      </c>
      <c r="J206" s="800" t="s">
        <v>2331</v>
      </c>
      <c r="K206" s="817">
        <v>13000</v>
      </c>
      <c r="L206" s="817">
        <v>256963</v>
      </c>
      <c r="M206" s="817">
        <v>253677</v>
      </c>
      <c r="N206" s="817">
        <v>253677</v>
      </c>
      <c r="O206" s="808">
        <f t="shared" si="15"/>
        <v>19.513615384615385</v>
      </c>
      <c r="P206" s="817">
        <v>99</v>
      </c>
      <c r="Q206" s="838" t="s">
        <v>134</v>
      </c>
      <c r="R206" s="817" t="s">
        <v>75</v>
      </c>
      <c r="S206" s="817" t="s">
        <v>75</v>
      </c>
      <c r="T206" s="817" t="s">
        <v>233</v>
      </c>
      <c r="U206" s="817" t="s">
        <v>75</v>
      </c>
      <c r="V206" s="817">
        <v>312</v>
      </c>
      <c r="W206" s="817">
        <v>31400</v>
      </c>
      <c r="X206" s="817">
        <v>6</v>
      </c>
      <c r="Y206" s="817"/>
      <c r="Z206" s="817"/>
      <c r="AA206" s="817">
        <v>312</v>
      </c>
      <c r="AB206" s="817"/>
      <c r="AC206" s="817"/>
      <c r="AD206" s="817"/>
      <c r="AE206" s="817"/>
      <c r="AF206" s="817"/>
      <c r="AG206" s="817"/>
      <c r="AH206" s="817"/>
      <c r="AI206" s="817"/>
      <c r="AJ206" s="787">
        <f t="shared" si="14"/>
        <v>312</v>
      </c>
      <c r="AK206" s="817">
        <v>3920</v>
      </c>
      <c r="AL206" s="817">
        <v>3880.8</v>
      </c>
      <c r="AM206" s="817"/>
      <c r="AN206" s="817"/>
      <c r="AO206" s="817"/>
      <c r="AP206" s="817"/>
      <c r="AQ206" s="817"/>
      <c r="AR206" s="817"/>
      <c r="AS206" s="817"/>
      <c r="AT206" s="817"/>
      <c r="AU206" s="857" t="s">
        <v>1254</v>
      </c>
    </row>
    <row r="207" spans="1:47" s="857" customFormat="1" ht="16.5" customHeight="1">
      <c r="A207" s="794">
        <v>205</v>
      </c>
      <c r="B207" s="872" t="s">
        <v>855</v>
      </c>
      <c r="C207" s="872" t="s">
        <v>1260</v>
      </c>
      <c r="D207" s="840">
        <v>40179</v>
      </c>
      <c r="E207" s="840">
        <v>40269</v>
      </c>
      <c r="F207" s="911">
        <v>2010</v>
      </c>
      <c r="G207" s="872" t="s">
        <v>5</v>
      </c>
      <c r="H207" s="837" t="s">
        <v>1451</v>
      </c>
      <c r="I207" s="857" t="s">
        <v>1255</v>
      </c>
      <c r="J207" s="800" t="s">
        <v>2331</v>
      </c>
      <c r="K207" s="817">
        <v>1100</v>
      </c>
      <c r="L207" s="817">
        <v>83930</v>
      </c>
      <c r="M207" s="817">
        <v>83930</v>
      </c>
      <c r="N207" s="817">
        <v>79129</v>
      </c>
      <c r="O207" s="808">
        <f t="shared" si="15"/>
        <v>71.935454545454547</v>
      </c>
      <c r="P207" s="817">
        <v>100</v>
      </c>
      <c r="Q207" s="817">
        <v>1100</v>
      </c>
      <c r="R207" s="817" t="s">
        <v>75</v>
      </c>
      <c r="S207" s="817">
        <v>1100</v>
      </c>
      <c r="T207" s="817" t="s">
        <v>233</v>
      </c>
      <c r="U207" s="817" t="s">
        <v>75</v>
      </c>
      <c r="V207" s="817" t="s">
        <v>75</v>
      </c>
      <c r="W207" s="817" t="s">
        <v>66</v>
      </c>
      <c r="X207" s="817" t="s">
        <v>66</v>
      </c>
      <c r="Y207" s="808"/>
      <c r="Z207" s="817"/>
      <c r="AA207" s="817"/>
      <c r="AB207" s="817"/>
      <c r="AC207" s="817"/>
      <c r="AD207" s="817"/>
      <c r="AE207" s="817"/>
      <c r="AF207" s="817"/>
      <c r="AG207" s="817"/>
      <c r="AH207" s="817"/>
      <c r="AI207" s="817"/>
      <c r="AJ207" s="787">
        <f t="shared" si="14"/>
        <v>0</v>
      </c>
      <c r="AK207" s="817" t="s">
        <v>66</v>
      </c>
      <c r="AL207" s="817" t="s">
        <v>66</v>
      </c>
      <c r="AM207" s="817"/>
      <c r="AN207" s="817"/>
      <c r="AO207" s="817"/>
      <c r="AP207" s="817"/>
      <c r="AQ207" s="817"/>
      <c r="AR207" s="817"/>
      <c r="AS207" s="817"/>
      <c r="AT207" s="817"/>
      <c r="AU207" s="857" t="s">
        <v>1256</v>
      </c>
    </row>
    <row r="208" spans="1:47" s="857" customFormat="1" ht="18.75" customHeight="1">
      <c r="A208" s="794">
        <v>206</v>
      </c>
      <c r="B208" s="872" t="s">
        <v>22</v>
      </c>
      <c r="C208" s="872" t="s">
        <v>1286</v>
      </c>
      <c r="D208" s="840">
        <v>40179</v>
      </c>
      <c r="E208" s="840">
        <v>40299</v>
      </c>
      <c r="F208" s="911">
        <v>2010</v>
      </c>
      <c r="G208" s="872" t="s">
        <v>79</v>
      </c>
      <c r="H208" s="837" t="s">
        <v>1453</v>
      </c>
      <c r="I208" s="857" t="s">
        <v>1262</v>
      </c>
      <c r="J208" s="800" t="s">
        <v>2331</v>
      </c>
      <c r="K208" s="838" t="s">
        <v>134</v>
      </c>
      <c r="L208" s="817">
        <v>23986</v>
      </c>
      <c r="M208" s="817">
        <v>23432</v>
      </c>
      <c r="N208" s="817">
        <v>23432</v>
      </c>
      <c r="O208" s="808"/>
      <c r="P208" s="817">
        <v>98</v>
      </c>
      <c r="Q208" s="817"/>
      <c r="R208" s="817"/>
      <c r="S208" s="817"/>
      <c r="T208" s="817" t="s">
        <v>233</v>
      </c>
      <c r="U208" s="817"/>
      <c r="V208" s="817"/>
      <c r="W208" s="817" t="s">
        <v>66</v>
      </c>
      <c r="X208" s="817" t="s">
        <v>66</v>
      </c>
      <c r="Y208" s="817"/>
      <c r="Z208" s="817"/>
      <c r="AA208" s="817"/>
      <c r="AB208" s="817"/>
      <c r="AC208" s="817"/>
      <c r="AD208" s="817"/>
      <c r="AE208" s="817"/>
      <c r="AF208" s="817"/>
      <c r="AG208" s="817"/>
      <c r="AH208" s="817"/>
      <c r="AI208" s="817"/>
      <c r="AJ208" s="787">
        <f t="shared" si="14"/>
        <v>0</v>
      </c>
      <c r="AK208" s="817" t="s">
        <v>66</v>
      </c>
      <c r="AL208" s="817" t="s">
        <v>66</v>
      </c>
      <c r="AM208" s="817"/>
      <c r="AN208" s="817"/>
      <c r="AO208" s="817"/>
      <c r="AP208" s="817"/>
      <c r="AQ208" s="817"/>
      <c r="AR208" s="817"/>
      <c r="AS208" s="817">
        <v>1</v>
      </c>
      <c r="AT208" s="817" t="s">
        <v>1263</v>
      </c>
      <c r="AU208" s="857" t="s">
        <v>1259</v>
      </c>
    </row>
    <row r="209" spans="1:47" s="912" customFormat="1" ht="15.75" customHeight="1">
      <c r="A209" s="794">
        <v>207</v>
      </c>
      <c r="B209" s="913" t="s">
        <v>12</v>
      </c>
      <c r="C209" s="872" t="s">
        <v>1299</v>
      </c>
      <c r="D209" s="858">
        <v>40299</v>
      </c>
      <c r="E209" s="858">
        <v>40452</v>
      </c>
      <c r="F209" s="911">
        <v>2010</v>
      </c>
      <c r="G209" s="913" t="s">
        <v>5</v>
      </c>
      <c r="H209" s="837" t="s">
        <v>1451</v>
      </c>
      <c r="I209" s="918" t="s">
        <v>1385</v>
      </c>
      <c r="J209" s="812" t="s">
        <v>2438</v>
      </c>
      <c r="K209" s="856">
        <v>141164</v>
      </c>
      <c r="L209" s="855">
        <v>8757898</v>
      </c>
      <c r="M209" s="855">
        <v>2375971</v>
      </c>
      <c r="N209" s="855">
        <v>2402905</v>
      </c>
      <c r="O209" s="808">
        <f t="shared" ref="O209:O240" si="16">N209/K209</f>
        <v>17.022080700461874</v>
      </c>
      <c r="P209" s="855">
        <v>27</v>
      </c>
      <c r="Q209" s="856">
        <v>141164</v>
      </c>
      <c r="R209" s="856"/>
      <c r="S209" s="856">
        <v>141164</v>
      </c>
      <c r="T209" s="855" t="s">
        <v>2</v>
      </c>
      <c r="U209" s="855">
        <v>47</v>
      </c>
      <c r="V209" s="855">
        <v>1506</v>
      </c>
      <c r="W209" s="855">
        <v>1276540</v>
      </c>
      <c r="X209" s="855">
        <v>344665.8</v>
      </c>
      <c r="Y209" s="808">
        <f>X209/S209</f>
        <v>2.4415984245274998</v>
      </c>
      <c r="Z209" s="856"/>
      <c r="AA209" s="856"/>
      <c r="AB209" s="856">
        <v>250</v>
      </c>
      <c r="AC209" s="856"/>
      <c r="AD209" s="856"/>
      <c r="AE209" s="856">
        <v>13157</v>
      </c>
      <c r="AF209" s="856"/>
      <c r="AG209" s="856"/>
      <c r="AH209" s="856">
        <v>76</v>
      </c>
      <c r="AI209" s="856"/>
      <c r="AJ209" s="787">
        <f t="shared" si="14"/>
        <v>76</v>
      </c>
      <c r="AK209" s="855">
        <v>472185</v>
      </c>
      <c r="AL209" s="855">
        <v>127489.95</v>
      </c>
      <c r="AM209" s="855"/>
      <c r="AN209" s="855"/>
      <c r="AO209" s="855"/>
      <c r="AP209" s="855"/>
      <c r="AQ209" s="855"/>
      <c r="AR209" s="855"/>
      <c r="AS209" s="855"/>
      <c r="AT209" s="855"/>
      <c r="AU209" s="336" t="s">
        <v>1384</v>
      </c>
    </row>
    <row r="210" spans="1:47" s="912" customFormat="1" ht="15.75" customHeight="1">
      <c r="A210" s="794">
        <v>208</v>
      </c>
      <c r="B210" s="913" t="s">
        <v>1400</v>
      </c>
      <c r="C210" s="913" t="s">
        <v>1260</v>
      </c>
      <c r="D210" s="858">
        <v>40330</v>
      </c>
      <c r="E210" s="858">
        <v>40513</v>
      </c>
      <c r="F210" s="911">
        <v>2010</v>
      </c>
      <c r="G210" s="912" t="s">
        <v>512</v>
      </c>
      <c r="H210" s="841" t="s">
        <v>1452</v>
      </c>
      <c r="I210" s="918" t="s">
        <v>1409</v>
      </c>
      <c r="J210" s="812" t="s">
        <v>2438</v>
      </c>
      <c r="K210" s="856">
        <v>100000</v>
      </c>
      <c r="L210" s="855">
        <v>1166159</v>
      </c>
      <c r="M210" s="855">
        <v>300000</v>
      </c>
      <c r="N210" s="855">
        <v>300000</v>
      </c>
      <c r="O210" s="808">
        <f t="shared" si="16"/>
        <v>3</v>
      </c>
      <c r="P210" s="855">
        <v>96</v>
      </c>
      <c r="Q210" s="856"/>
      <c r="R210" s="856"/>
      <c r="S210" s="856"/>
      <c r="T210" s="855"/>
      <c r="U210" s="855"/>
      <c r="V210" s="855"/>
      <c r="W210" s="855"/>
      <c r="X210" s="855"/>
      <c r="Y210" s="855"/>
      <c r="Z210" s="856"/>
      <c r="AA210" s="856"/>
      <c r="AB210" s="856"/>
      <c r="AC210" s="856"/>
      <c r="AD210" s="856"/>
      <c r="AE210" s="856"/>
      <c r="AF210" s="856"/>
      <c r="AG210" s="856"/>
      <c r="AH210" s="856"/>
      <c r="AI210" s="856"/>
      <c r="AJ210" s="787">
        <f t="shared" ref="AJ210:AJ273" si="17">SUM(Z210,AA210,AH210)</f>
        <v>0</v>
      </c>
      <c r="AK210" s="855">
        <v>78000</v>
      </c>
      <c r="AL210" s="855"/>
      <c r="AM210" s="855"/>
      <c r="AN210" s="855"/>
      <c r="AO210" s="855"/>
      <c r="AP210" s="855"/>
      <c r="AQ210" s="855"/>
      <c r="AR210" s="855"/>
      <c r="AS210" s="855"/>
      <c r="AT210" s="855"/>
      <c r="AU210" s="336" t="s">
        <v>1408</v>
      </c>
    </row>
    <row r="211" spans="1:47" s="912" customFormat="1" ht="12.75" customHeight="1">
      <c r="A211" s="794">
        <v>209</v>
      </c>
      <c r="B211" s="913" t="s">
        <v>932</v>
      </c>
      <c r="C211" s="913" t="s">
        <v>1260</v>
      </c>
      <c r="D211" s="858">
        <v>40330</v>
      </c>
      <c r="E211" s="858">
        <v>40664</v>
      </c>
      <c r="F211" s="911">
        <v>2010</v>
      </c>
      <c r="G211" s="913" t="s">
        <v>1161</v>
      </c>
      <c r="H211" s="841" t="s">
        <v>1452</v>
      </c>
      <c r="I211" s="912" t="s">
        <v>1386</v>
      </c>
      <c r="J211" s="812" t="s">
        <v>2438</v>
      </c>
      <c r="K211" s="856">
        <v>5265</v>
      </c>
      <c r="L211" s="855">
        <v>965069</v>
      </c>
      <c r="M211" s="855">
        <v>453070</v>
      </c>
      <c r="N211" s="855">
        <v>451575</v>
      </c>
      <c r="O211" s="808">
        <f t="shared" si="16"/>
        <v>85.769230769230774</v>
      </c>
      <c r="P211" s="855">
        <v>47</v>
      </c>
      <c r="Q211" s="856">
        <v>5265</v>
      </c>
      <c r="R211" s="856"/>
      <c r="S211" s="856">
        <v>5265</v>
      </c>
      <c r="T211" s="855" t="s">
        <v>233</v>
      </c>
      <c r="U211" s="855"/>
      <c r="V211" s="855">
        <v>5265</v>
      </c>
      <c r="W211" s="855">
        <v>26640</v>
      </c>
      <c r="X211" s="855">
        <v>36434</v>
      </c>
      <c r="Y211" s="808">
        <f>X211/S211</f>
        <v>6.9200379867046538</v>
      </c>
      <c r="Z211" s="856">
        <v>4286</v>
      </c>
      <c r="AA211" s="856"/>
      <c r="AB211" s="856">
        <v>60</v>
      </c>
      <c r="AC211" s="856"/>
      <c r="AD211" s="856"/>
      <c r="AE211" s="856"/>
      <c r="AF211" s="856"/>
      <c r="AG211" s="856"/>
      <c r="AH211" s="856"/>
      <c r="AI211" s="856"/>
      <c r="AJ211" s="787">
        <f t="shared" si="17"/>
        <v>4286</v>
      </c>
      <c r="AK211" s="855">
        <v>7600</v>
      </c>
      <c r="AL211" s="855">
        <v>2485</v>
      </c>
      <c r="AM211" s="855"/>
      <c r="AN211" s="855"/>
      <c r="AO211" s="855"/>
      <c r="AP211" s="855"/>
      <c r="AQ211" s="855"/>
      <c r="AR211" s="855"/>
      <c r="AS211" s="855"/>
      <c r="AT211" s="855"/>
      <c r="AU211" s="336" t="s">
        <v>1387</v>
      </c>
    </row>
    <row r="212" spans="1:47" s="912" customFormat="1" ht="18" customHeight="1">
      <c r="A212" s="794">
        <v>210</v>
      </c>
      <c r="B212" s="913" t="s">
        <v>1921</v>
      </c>
      <c r="C212" s="913" t="s">
        <v>1261</v>
      </c>
      <c r="D212" s="858">
        <v>40238</v>
      </c>
      <c r="E212" s="858">
        <v>40452</v>
      </c>
      <c r="F212" s="911">
        <v>2010</v>
      </c>
      <c r="G212" s="913" t="s">
        <v>1322</v>
      </c>
      <c r="H212" s="841" t="s">
        <v>1453</v>
      </c>
      <c r="I212" s="913" t="s">
        <v>1391</v>
      </c>
      <c r="J212" s="812" t="s">
        <v>2438</v>
      </c>
      <c r="K212" s="856">
        <v>13600</v>
      </c>
      <c r="L212" s="855">
        <v>1312670</v>
      </c>
      <c r="M212" s="855">
        <v>1310155</v>
      </c>
      <c r="N212" s="855">
        <v>1310155</v>
      </c>
      <c r="O212" s="808">
        <f t="shared" si="16"/>
        <v>96.334926470588229</v>
      </c>
      <c r="P212" s="855">
        <v>100</v>
      </c>
      <c r="Q212" s="856"/>
      <c r="R212" s="856"/>
      <c r="S212" s="856"/>
      <c r="T212" s="855"/>
      <c r="U212" s="855"/>
      <c r="V212" s="855"/>
      <c r="W212" s="855" t="s">
        <v>66</v>
      </c>
      <c r="X212" s="855" t="s">
        <v>66</v>
      </c>
      <c r="Y212" s="855"/>
      <c r="Z212" s="856"/>
      <c r="AA212" s="856"/>
      <c r="AB212" s="856"/>
      <c r="AC212" s="856"/>
      <c r="AD212" s="856"/>
      <c r="AE212" s="856"/>
      <c r="AF212" s="856"/>
      <c r="AG212" s="856"/>
      <c r="AH212" s="856"/>
      <c r="AI212" s="856"/>
      <c r="AJ212" s="787">
        <f t="shared" si="17"/>
        <v>0</v>
      </c>
      <c r="AK212" s="855">
        <v>31300</v>
      </c>
      <c r="AL212" s="855">
        <v>31235</v>
      </c>
      <c r="AM212" s="855"/>
      <c r="AN212" s="855"/>
      <c r="AO212" s="855"/>
      <c r="AP212" s="855"/>
      <c r="AQ212" s="855"/>
      <c r="AR212" s="855"/>
      <c r="AS212" s="855"/>
      <c r="AT212" s="855"/>
      <c r="AU212" s="912" t="s">
        <v>1390</v>
      </c>
    </row>
    <row r="213" spans="1:47" s="912" customFormat="1" ht="16.5" customHeight="1">
      <c r="A213" s="794">
        <v>211</v>
      </c>
      <c r="B213" s="913" t="s">
        <v>855</v>
      </c>
      <c r="C213" s="913" t="s">
        <v>1260</v>
      </c>
      <c r="D213" s="858">
        <v>40483</v>
      </c>
      <c r="E213" s="858">
        <v>40575</v>
      </c>
      <c r="F213" s="911">
        <v>2010</v>
      </c>
      <c r="G213" s="913" t="s">
        <v>5</v>
      </c>
      <c r="H213" s="841" t="s">
        <v>1451</v>
      </c>
      <c r="I213" s="912" t="s">
        <v>1389</v>
      </c>
      <c r="J213" s="800" t="s">
        <v>2331</v>
      </c>
      <c r="K213" s="856">
        <v>1350</v>
      </c>
      <c r="L213" s="855">
        <v>50255</v>
      </c>
      <c r="M213" s="856">
        <v>50255</v>
      </c>
      <c r="N213" s="856">
        <v>50255</v>
      </c>
      <c r="O213" s="808">
        <f t="shared" si="16"/>
        <v>37.225925925925928</v>
      </c>
      <c r="P213" s="855">
        <v>100</v>
      </c>
      <c r="Q213" s="856"/>
      <c r="R213" s="856"/>
      <c r="S213" s="856"/>
      <c r="T213" s="855"/>
      <c r="U213" s="855"/>
      <c r="V213" s="855"/>
      <c r="W213" s="855"/>
      <c r="X213" s="855"/>
      <c r="Y213" s="855"/>
      <c r="Z213" s="856"/>
      <c r="AA213" s="856"/>
      <c r="AB213" s="856"/>
      <c r="AC213" s="856"/>
      <c r="AD213" s="856"/>
      <c r="AE213" s="856"/>
      <c r="AF213" s="856"/>
      <c r="AG213" s="856"/>
      <c r="AH213" s="856"/>
      <c r="AI213" s="856"/>
      <c r="AJ213" s="787">
        <f t="shared" si="17"/>
        <v>0</v>
      </c>
      <c r="AK213" s="855"/>
      <c r="AL213" s="855"/>
      <c r="AM213" s="855"/>
      <c r="AN213" s="855"/>
      <c r="AO213" s="855"/>
      <c r="AP213" s="855"/>
      <c r="AQ213" s="855"/>
      <c r="AR213" s="855"/>
      <c r="AS213" s="855"/>
      <c r="AT213" s="855"/>
      <c r="AU213" s="336" t="s">
        <v>1388</v>
      </c>
    </row>
    <row r="214" spans="1:47" s="912" customFormat="1" ht="15" customHeight="1">
      <c r="A214" s="794">
        <v>212</v>
      </c>
      <c r="B214" s="913" t="s">
        <v>1381</v>
      </c>
      <c r="C214" s="913" t="s">
        <v>1286</v>
      </c>
      <c r="D214" s="858">
        <v>40210</v>
      </c>
      <c r="E214" s="858">
        <v>40513</v>
      </c>
      <c r="F214" s="911">
        <v>2010</v>
      </c>
      <c r="G214" s="913" t="s">
        <v>5</v>
      </c>
      <c r="H214" s="841" t="s">
        <v>1451</v>
      </c>
      <c r="I214" s="912" t="s">
        <v>1392</v>
      </c>
      <c r="J214" s="800" t="s">
        <v>2331</v>
      </c>
      <c r="K214" s="856">
        <v>19399</v>
      </c>
      <c r="L214" s="855">
        <v>291903</v>
      </c>
      <c r="M214" s="855">
        <v>229865</v>
      </c>
      <c r="N214" s="855">
        <v>229865</v>
      </c>
      <c r="O214" s="808">
        <f t="shared" si="16"/>
        <v>11.849322130006701</v>
      </c>
      <c r="P214" s="855">
        <v>79</v>
      </c>
      <c r="Q214" s="856">
        <v>11120</v>
      </c>
      <c r="R214" s="856"/>
      <c r="S214" s="856">
        <v>11120</v>
      </c>
      <c r="T214" s="855"/>
      <c r="U214" s="855"/>
      <c r="V214" s="855">
        <v>6040</v>
      </c>
      <c r="W214" s="855">
        <v>20029</v>
      </c>
      <c r="X214" s="855">
        <v>18893</v>
      </c>
      <c r="Y214" s="808">
        <f>X214/S214</f>
        <v>1.6990107913669066</v>
      </c>
      <c r="Z214" s="856">
        <v>6040</v>
      </c>
      <c r="AA214" s="856">
        <v>6040</v>
      </c>
      <c r="AB214" s="856">
        <v>39</v>
      </c>
      <c r="AC214" s="856"/>
      <c r="AD214" s="856"/>
      <c r="AE214" s="856"/>
      <c r="AF214" s="856"/>
      <c r="AG214" s="856"/>
      <c r="AH214" s="856"/>
      <c r="AI214" s="856"/>
      <c r="AJ214" s="787">
        <f t="shared" si="17"/>
        <v>12080</v>
      </c>
      <c r="AK214" s="855"/>
      <c r="AL214" s="855"/>
      <c r="AM214" s="855"/>
      <c r="AN214" s="855"/>
      <c r="AO214" s="855"/>
      <c r="AP214" s="855"/>
      <c r="AQ214" s="855"/>
      <c r="AR214" s="855"/>
      <c r="AS214" s="914" t="s">
        <v>1543</v>
      </c>
      <c r="AT214" s="855"/>
      <c r="AU214" s="336" t="s">
        <v>1394</v>
      </c>
    </row>
    <row r="215" spans="1:47" s="912" customFormat="1" ht="12.75" customHeight="1">
      <c r="A215" s="794">
        <v>213</v>
      </c>
      <c r="B215" s="913" t="s">
        <v>1</v>
      </c>
      <c r="C215" s="913" t="s">
        <v>1299</v>
      </c>
      <c r="D215" s="858">
        <v>40269</v>
      </c>
      <c r="E215" s="858">
        <v>40513</v>
      </c>
      <c r="F215" s="911">
        <v>2010</v>
      </c>
      <c r="G215" s="912" t="s">
        <v>1397</v>
      </c>
      <c r="H215" s="841" t="s">
        <v>1452</v>
      </c>
      <c r="I215" s="912" t="s">
        <v>1403</v>
      </c>
      <c r="J215" s="812" t="s">
        <v>2438</v>
      </c>
      <c r="K215" s="856">
        <v>400425</v>
      </c>
      <c r="L215" s="855">
        <v>1252369</v>
      </c>
      <c r="M215" s="855">
        <v>1048247</v>
      </c>
      <c r="N215" s="855">
        <v>872070</v>
      </c>
      <c r="O215" s="808">
        <f t="shared" si="16"/>
        <v>2.1778610226634201</v>
      </c>
      <c r="P215" s="855">
        <v>84</v>
      </c>
      <c r="Q215" s="856"/>
      <c r="R215" s="856"/>
      <c r="S215" s="856"/>
      <c r="T215" s="855"/>
      <c r="U215" s="855"/>
      <c r="V215" s="855"/>
      <c r="W215" s="855"/>
      <c r="X215" s="855">
        <v>4556</v>
      </c>
      <c r="Y215" s="855"/>
      <c r="Z215" s="856"/>
      <c r="AA215" s="856"/>
      <c r="AB215" s="856"/>
      <c r="AC215" s="856"/>
      <c r="AD215" s="856"/>
      <c r="AE215" s="856"/>
      <c r="AF215" s="856"/>
      <c r="AG215" s="856"/>
      <c r="AH215" s="856"/>
      <c r="AI215" s="856"/>
      <c r="AJ215" s="787">
        <f t="shared" si="17"/>
        <v>0</v>
      </c>
      <c r="AK215" s="855"/>
      <c r="AL215" s="855"/>
      <c r="AM215" s="855"/>
      <c r="AN215" s="855"/>
      <c r="AO215" s="855"/>
      <c r="AP215" s="855"/>
      <c r="AQ215" s="855"/>
      <c r="AR215" s="855"/>
      <c r="AS215" s="855"/>
      <c r="AT215" s="855"/>
      <c r="AU215" s="336" t="s">
        <v>1402</v>
      </c>
    </row>
    <row r="216" spans="1:47" s="912" customFormat="1" ht="15" customHeight="1">
      <c r="A216" s="794">
        <v>214</v>
      </c>
      <c r="B216" s="913" t="s">
        <v>1398</v>
      </c>
      <c r="C216" s="913" t="s">
        <v>1261</v>
      </c>
      <c r="D216" s="858">
        <v>40452</v>
      </c>
      <c r="E216" s="858">
        <v>40513</v>
      </c>
      <c r="F216" s="911">
        <v>2010</v>
      </c>
      <c r="G216" s="912" t="s">
        <v>7</v>
      </c>
      <c r="H216" s="841" t="s">
        <v>1451</v>
      </c>
      <c r="I216" s="912" t="s">
        <v>1405</v>
      </c>
      <c r="J216" s="800" t="s">
        <v>2331</v>
      </c>
      <c r="K216" s="856">
        <v>11832</v>
      </c>
      <c r="L216" s="855">
        <v>356617</v>
      </c>
      <c r="M216" s="855">
        <v>356617</v>
      </c>
      <c r="N216" s="855">
        <v>356617</v>
      </c>
      <c r="O216" s="808">
        <f t="shared" si="16"/>
        <v>30.140043948613929</v>
      </c>
      <c r="P216" s="855">
        <v>100</v>
      </c>
      <c r="Q216" s="856"/>
      <c r="R216" s="856"/>
      <c r="S216" s="856"/>
      <c r="T216" s="855"/>
      <c r="U216" s="855"/>
      <c r="V216" s="855"/>
      <c r="W216" s="855"/>
      <c r="X216" s="855"/>
      <c r="Y216" s="855"/>
      <c r="Z216" s="856"/>
      <c r="AA216" s="856"/>
      <c r="AB216" s="856"/>
      <c r="AC216" s="856"/>
      <c r="AD216" s="856"/>
      <c r="AE216" s="856"/>
      <c r="AF216" s="856"/>
      <c r="AG216" s="856"/>
      <c r="AH216" s="856"/>
      <c r="AI216" s="856"/>
      <c r="AJ216" s="787">
        <f t="shared" si="17"/>
        <v>0</v>
      </c>
      <c r="AK216" s="855"/>
      <c r="AL216" s="855"/>
      <c r="AM216" s="855"/>
      <c r="AN216" s="855"/>
      <c r="AO216" s="855"/>
      <c r="AP216" s="855"/>
      <c r="AQ216" s="855"/>
      <c r="AR216" s="855"/>
      <c r="AS216" s="855"/>
      <c r="AT216" s="855"/>
      <c r="AU216" s="336" t="s">
        <v>1404</v>
      </c>
    </row>
    <row r="217" spans="1:47" s="912" customFormat="1" ht="40.5">
      <c r="A217" s="794">
        <v>215</v>
      </c>
      <c r="B217" s="913" t="s">
        <v>148</v>
      </c>
      <c r="C217" s="913" t="s">
        <v>1299</v>
      </c>
      <c r="D217" s="858">
        <v>40360</v>
      </c>
      <c r="E217" s="858">
        <v>40422</v>
      </c>
      <c r="F217" s="911">
        <v>2010</v>
      </c>
      <c r="G217" s="912" t="s">
        <v>1399</v>
      </c>
      <c r="H217" s="841" t="s">
        <v>1464</v>
      </c>
      <c r="I217" s="912" t="s">
        <v>1406</v>
      </c>
      <c r="J217" s="800" t="s">
        <v>2331</v>
      </c>
      <c r="K217" s="856">
        <v>400000</v>
      </c>
      <c r="L217" s="855">
        <v>112097</v>
      </c>
      <c r="M217" s="855">
        <v>112097</v>
      </c>
      <c r="N217" s="855">
        <v>112097</v>
      </c>
      <c r="O217" s="808">
        <f t="shared" si="16"/>
        <v>0.28024250000000001</v>
      </c>
      <c r="P217" s="855">
        <v>100</v>
      </c>
      <c r="Q217" s="856"/>
      <c r="R217" s="856"/>
      <c r="S217" s="856"/>
      <c r="T217" s="855"/>
      <c r="U217" s="855"/>
      <c r="V217" s="855"/>
      <c r="W217" s="855"/>
      <c r="X217" s="855"/>
      <c r="Y217" s="855"/>
      <c r="Z217" s="856"/>
      <c r="AA217" s="856">
        <v>55</v>
      </c>
      <c r="AB217" s="856"/>
      <c r="AC217" s="856"/>
      <c r="AD217" s="856"/>
      <c r="AE217" s="856"/>
      <c r="AF217" s="856"/>
      <c r="AG217" s="856"/>
      <c r="AH217" s="856"/>
      <c r="AI217" s="856"/>
      <c r="AJ217" s="787">
        <f t="shared" si="17"/>
        <v>55</v>
      </c>
      <c r="AK217" s="855">
        <v>31604</v>
      </c>
      <c r="AL217" s="855"/>
      <c r="AM217" s="855"/>
      <c r="AN217" s="855"/>
      <c r="AO217" s="855"/>
      <c r="AP217" s="855"/>
      <c r="AQ217" s="855"/>
      <c r="AR217" s="855"/>
      <c r="AS217" s="855"/>
      <c r="AT217" s="855"/>
      <c r="AU217" s="336" t="s">
        <v>1407</v>
      </c>
    </row>
    <row r="218" spans="1:47" s="917" customFormat="1" ht="15.75" customHeight="1">
      <c r="A218" s="794">
        <v>216</v>
      </c>
      <c r="B218" s="916" t="s">
        <v>2380</v>
      </c>
      <c r="C218" s="872" t="s">
        <v>1299</v>
      </c>
      <c r="D218" s="860">
        <v>40513</v>
      </c>
      <c r="E218" s="860">
        <v>40878</v>
      </c>
      <c r="F218" s="911">
        <v>2010</v>
      </c>
      <c r="G218" s="916" t="s">
        <v>615</v>
      </c>
      <c r="H218" s="841" t="s">
        <v>1452</v>
      </c>
      <c r="I218" s="917" t="s">
        <v>1294</v>
      </c>
      <c r="J218" s="812" t="s">
        <v>2438</v>
      </c>
      <c r="K218" s="856">
        <v>57500</v>
      </c>
      <c r="L218" s="856">
        <v>4872842</v>
      </c>
      <c r="M218" s="856">
        <v>2902469</v>
      </c>
      <c r="N218" s="873">
        <v>2902469</v>
      </c>
      <c r="O218" s="808">
        <f t="shared" si="16"/>
        <v>50.477721739130438</v>
      </c>
      <c r="P218" s="873">
        <v>59</v>
      </c>
      <c r="Q218" s="856">
        <v>50000</v>
      </c>
      <c r="R218" s="856">
        <v>50000</v>
      </c>
      <c r="S218" s="856">
        <v>50000</v>
      </c>
      <c r="T218" s="856" t="s">
        <v>2</v>
      </c>
      <c r="U218" s="856">
        <v>150</v>
      </c>
      <c r="V218" s="856">
        <v>50000</v>
      </c>
      <c r="W218" s="856">
        <v>649981</v>
      </c>
      <c r="X218" s="873">
        <v>383488.79</v>
      </c>
      <c r="Y218" s="808">
        <f>X218/S218</f>
        <v>7.6697757999999991</v>
      </c>
      <c r="Z218" s="856">
        <v>10000</v>
      </c>
      <c r="AA218" s="856">
        <v>250</v>
      </c>
      <c r="AB218" s="856">
        <v>57500</v>
      </c>
      <c r="AC218" s="856">
        <v>150</v>
      </c>
      <c r="AD218" s="856">
        <v>30</v>
      </c>
      <c r="AE218" s="856">
        <v>23000</v>
      </c>
      <c r="AF218" s="856"/>
      <c r="AG218" s="856"/>
      <c r="AH218" s="856"/>
      <c r="AI218" s="856"/>
      <c r="AJ218" s="787">
        <f t="shared" si="17"/>
        <v>10250</v>
      </c>
      <c r="AK218" s="856">
        <v>15251</v>
      </c>
      <c r="AL218" s="856"/>
      <c r="AM218" s="856"/>
      <c r="AN218" s="856"/>
      <c r="AO218" s="856"/>
      <c r="AP218" s="856"/>
      <c r="AQ218" s="856"/>
      <c r="AR218" s="856"/>
      <c r="AS218" s="856"/>
      <c r="AT218" s="856"/>
      <c r="AU218" s="336" t="s">
        <v>1293</v>
      </c>
    </row>
    <row r="219" spans="1:47" s="917" customFormat="1" ht="18.75" customHeight="1">
      <c r="A219" s="794">
        <v>217</v>
      </c>
      <c r="B219" s="916" t="s">
        <v>1295</v>
      </c>
      <c r="C219" s="872" t="s">
        <v>1286</v>
      </c>
      <c r="D219" s="860">
        <v>40210</v>
      </c>
      <c r="E219" s="860">
        <v>41334</v>
      </c>
      <c r="F219" s="911">
        <v>2010</v>
      </c>
      <c r="G219" s="916" t="s">
        <v>24</v>
      </c>
      <c r="H219" s="837" t="s">
        <v>1454</v>
      </c>
      <c r="I219" s="917" t="s">
        <v>1296</v>
      </c>
      <c r="J219" s="812" t="s">
        <v>2438</v>
      </c>
      <c r="K219" s="856">
        <v>50000</v>
      </c>
      <c r="L219" s="808">
        <v>16075870</v>
      </c>
      <c r="M219" s="808">
        <v>14389505</v>
      </c>
      <c r="N219" s="808">
        <v>7803419</v>
      </c>
      <c r="O219" s="808">
        <f t="shared" si="16"/>
        <v>156.06837999999999</v>
      </c>
      <c r="P219" s="856">
        <v>90</v>
      </c>
      <c r="Q219" s="856"/>
      <c r="R219" s="856">
        <v>2000</v>
      </c>
      <c r="S219" s="856">
        <v>2000</v>
      </c>
      <c r="T219" s="856" t="s">
        <v>2</v>
      </c>
      <c r="U219" s="856">
        <v>7</v>
      </c>
      <c r="V219" s="856">
        <v>50000</v>
      </c>
      <c r="W219" s="808">
        <v>740954</v>
      </c>
      <c r="X219" s="856">
        <v>131603</v>
      </c>
      <c r="Y219" s="808">
        <f>X219/S219</f>
        <v>65.801500000000004</v>
      </c>
      <c r="Z219" s="856"/>
      <c r="AA219" s="856"/>
      <c r="AB219" s="856"/>
      <c r="AC219" s="856"/>
      <c r="AD219" s="856"/>
      <c r="AE219" s="856"/>
      <c r="AF219" s="856"/>
      <c r="AG219" s="856"/>
      <c r="AH219" s="856"/>
      <c r="AI219" s="856"/>
      <c r="AJ219" s="787">
        <f t="shared" si="17"/>
        <v>0</v>
      </c>
      <c r="AK219" s="808">
        <v>150046</v>
      </c>
      <c r="AL219" s="856">
        <v>85</v>
      </c>
      <c r="AM219" s="856"/>
      <c r="AN219" s="856"/>
      <c r="AO219" s="856"/>
      <c r="AP219" s="856"/>
      <c r="AQ219" s="856">
        <v>1</v>
      </c>
      <c r="AR219" s="856">
        <v>2</v>
      </c>
      <c r="AS219" s="856"/>
      <c r="AT219" s="856"/>
      <c r="AU219" s="917" t="s">
        <v>1297</v>
      </c>
    </row>
    <row r="220" spans="1:47" s="912" customFormat="1" ht="15" customHeight="1">
      <c r="A220" s="794">
        <v>218</v>
      </c>
      <c r="B220" s="913" t="s">
        <v>18</v>
      </c>
      <c r="C220" s="913" t="s">
        <v>1286</v>
      </c>
      <c r="D220" s="858">
        <v>40179</v>
      </c>
      <c r="E220" s="858">
        <v>41974</v>
      </c>
      <c r="F220" s="911">
        <v>2010</v>
      </c>
      <c r="G220" s="916" t="s">
        <v>24</v>
      </c>
      <c r="H220" s="841" t="s">
        <v>1454</v>
      </c>
      <c r="I220" s="913" t="s">
        <v>1542</v>
      </c>
      <c r="J220" s="812" t="s">
        <v>2438</v>
      </c>
      <c r="K220" s="856">
        <v>400000</v>
      </c>
      <c r="L220" s="855">
        <v>247279612</v>
      </c>
      <c r="M220" s="855">
        <v>224347532</v>
      </c>
      <c r="N220" s="855">
        <v>156006676</v>
      </c>
      <c r="O220" s="808">
        <f t="shared" si="16"/>
        <v>390.01668999999998</v>
      </c>
      <c r="P220" s="855">
        <v>91</v>
      </c>
      <c r="Q220" s="856">
        <v>22500</v>
      </c>
      <c r="R220" s="856">
        <v>37295</v>
      </c>
      <c r="S220" s="856">
        <v>137082</v>
      </c>
      <c r="T220" s="855" t="s">
        <v>2</v>
      </c>
      <c r="U220" s="855">
        <f>316+166+51+28</f>
        <v>561</v>
      </c>
      <c r="V220" s="855">
        <v>136202</v>
      </c>
      <c r="W220" s="855">
        <v>20956936</v>
      </c>
      <c r="X220" s="855">
        <v>19607395</v>
      </c>
      <c r="Y220" s="808">
        <f>X220/S220</f>
        <v>143.03405990574984</v>
      </c>
      <c r="Z220" s="856"/>
      <c r="AA220" s="856">
        <v>136202</v>
      </c>
      <c r="AB220" s="856">
        <v>55</v>
      </c>
      <c r="AC220" s="856">
        <v>211</v>
      </c>
      <c r="AD220" s="856">
        <v>29</v>
      </c>
      <c r="AE220" s="856">
        <v>5159</v>
      </c>
      <c r="AF220" s="856"/>
      <c r="AG220" s="856">
        <v>15319</v>
      </c>
      <c r="AH220" s="856"/>
      <c r="AI220" s="856"/>
      <c r="AJ220" s="787">
        <f t="shared" si="17"/>
        <v>136202</v>
      </c>
      <c r="AK220" s="855">
        <v>1079729</v>
      </c>
      <c r="AL220" s="855">
        <v>720865</v>
      </c>
      <c r="AM220" s="855"/>
      <c r="AN220" s="855">
        <v>2</v>
      </c>
      <c r="AO220" s="855">
        <v>3</v>
      </c>
      <c r="AP220" s="855"/>
      <c r="AQ220" s="855">
        <v>2</v>
      </c>
      <c r="AR220" s="855">
        <v>4</v>
      </c>
      <c r="AS220" s="855"/>
      <c r="AT220" s="855"/>
      <c r="AU220" s="336" t="s">
        <v>1383</v>
      </c>
    </row>
    <row r="221" spans="1:47" s="912" customFormat="1" ht="15" customHeight="1">
      <c r="A221" s="794">
        <v>219</v>
      </c>
      <c r="B221" s="913" t="s">
        <v>28</v>
      </c>
      <c r="C221" s="913" t="s">
        <v>1261</v>
      </c>
      <c r="D221" s="858">
        <v>40391</v>
      </c>
      <c r="E221" s="858">
        <v>40725</v>
      </c>
      <c r="F221" s="911">
        <v>2010</v>
      </c>
      <c r="G221" s="913" t="s">
        <v>1382</v>
      </c>
      <c r="H221" s="841" t="s">
        <v>1451</v>
      </c>
      <c r="I221" s="912" t="s">
        <v>1393</v>
      </c>
      <c r="J221" s="812" t="s">
        <v>2438</v>
      </c>
      <c r="K221" s="856">
        <v>1600000</v>
      </c>
      <c r="L221" s="855">
        <v>129768678</v>
      </c>
      <c r="M221" s="855">
        <v>77200222</v>
      </c>
      <c r="N221" s="915">
        <v>56188166</v>
      </c>
      <c r="O221" s="808">
        <f t="shared" si="16"/>
        <v>35.117603750000001</v>
      </c>
      <c r="P221" s="855">
        <v>71</v>
      </c>
      <c r="Q221" s="856">
        <v>156500</v>
      </c>
      <c r="R221" s="856">
        <v>20025</v>
      </c>
      <c r="S221" s="856">
        <v>156500</v>
      </c>
      <c r="T221" s="855" t="s">
        <v>2</v>
      </c>
      <c r="U221" s="855">
        <v>18</v>
      </c>
      <c r="V221" s="855">
        <v>12994</v>
      </c>
      <c r="W221" s="855">
        <v>7326300</v>
      </c>
      <c r="X221" s="855">
        <v>2008803</v>
      </c>
      <c r="Y221" s="808">
        <f>X221/S221</f>
        <v>12.835801916932907</v>
      </c>
      <c r="Z221" s="856"/>
      <c r="AA221" s="856">
        <v>935823</v>
      </c>
      <c r="AB221" s="856">
        <v>312</v>
      </c>
      <c r="AC221" s="856"/>
      <c r="AD221" s="856"/>
      <c r="AE221" s="856"/>
      <c r="AF221" s="856"/>
      <c r="AG221" s="856"/>
      <c r="AH221" s="856">
        <v>60016</v>
      </c>
      <c r="AI221" s="856"/>
      <c r="AJ221" s="787">
        <f t="shared" si="17"/>
        <v>995839</v>
      </c>
      <c r="AK221" s="855">
        <v>2537500</v>
      </c>
      <c r="AL221" s="855">
        <v>708664</v>
      </c>
      <c r="AM221" s="855"/>
      <c r="AN221" s="855">
        <v>2</v>
      </c>
      <c r="AO221" s="855">
        <v>1</v>
      </c>
      <c r="AP221" s="855">
        <v>1</v>
      </c>
      <c r="AQ221" s="855"/>
      <c r="AR221" s="855">
        <v>2</v>
      </c>
      <c r="AS221" s="914" t="s">
        <v>1543</v>
      </c>
      <c r="AT221" s="855"/>
      <c r="AU221" s="336" t="s">
        <v>1441</v>
      </c>
    </row>
    <row r="222" spans="1:47" s="912" customFormat="1" ht="19.5" customHeight="1">
      <c r="A222" s="794">
        <v>220</v>
      </c>
      <c r="B222" s="913" t="s">
        <v>1395</v>
      </c>
      <c r="C222" s="913" t="s">
        <v>1278</v>
      </c>
      <c r="D222" s="858">
        <v>40179</v>
      </c>
      <c r="E222" s="858">
        <v>40513</v>
      </c>
      <c r="F222" s="911">
        <v>2010</v>
      </c>
      <c r="G222" s="913" t="s">
        <v>1396</v>
      </c>
      <c r="H222" s="841" t="s">
        <v>1452</v>
      </c>
      <c r="I222" s="912" t="s">
        <v>1546</v>
      </c>
      <c r="J222" s="812" t="s">
        <v>2438</v>
      </c>
      <c r="K222" s="856">
        <v>68000</v>
      </c>
      <c r="L222" s="855">
        <v>3216107</v>
      </c>
      <c r="M222" s="855"/>
      <c r="N222" s="855"/>
      <c r="O222" s="808">
        <f t="shared" si="16"/>
        <v>0</v>
      </c>
      <c r="P222" s="855"/>
      <c r="Q222" s="856"/>
      <c r="R222" s="856"/>
      <c r="S222" s="856"/>
      <c r="T222" s="855"/>
      <c r="U222" s="855"/>
      <c r="V222" s="855">
        <v>13000</v>
      </c>
      <c r="W222" s="855"/>
      <c r="X222" s="855"/>
      <c r="Y222" s="855"/>
      <c r="Z222" s="856"/>
      <c r="AA222" s="856">
        <v>20</v>
      </c>
      <c r="AB222" s="856">
        <v>45000</v>
      </c>
      <c r="AC222" s="856"/>
      <c r="AD222" s="856"/>
      <c r="AE222" s="856"/>
      <c r="AF222" s="856"/>
      <c r="AG222" s="856"/>
      <c r="AH222" s="856"/>
      <c r="AI222" s="856"/>
      <c r="AJ222" s="787">
        <f t="shared" si="17"/>
        <v>20</v>
      </c>
      <c r="AK222" s="855">
        <v>1145000</v>
      </c>
      <c r="AL222" s="855"/>
      <c r="AM222" s="855"/>
      <c r="AN222" s="855"/>
      <c r="AO222" s="855"/>
      <c r="AP222" s="855"/>
      <c r="AQ222" s="855"/>
      <c r="AR222" s="855"/>
      <c r="AS222" s="855"/>
      <c r="AT222" s="855"/>
      <c r="AU222" s="336" t="s">
        <v>1547</v>
      </c>
    </row>
    <row r="223" spans="1:47" s="912" customFormat="1" ht="40.5">
      <c r="A223" s="794">
        <v>221</v>
      </c>
      <c r="B223" s="913" t="s">
        <v>1401</v>
      </c>
      <c r="C223" s="913" t="s">
        <v>1286</v>
      </c>
      <c r="D223" s="858">
        <v>40513</v>
      </c>
      <c r="E223" s="858">
        <v>40756</v>
      </c>
      <c r="F223" s="911">
        <v>2010</v>
      </c>
      <c r="G223" s="912" t="s">
        <v>5</v>
      </c>
      <c r="H223" s="841" t="s">
        <v>1451</v>
      </c>
      <c r="I223" s="912" t="s">
        <v>1411</v>
      </c>
      <c r="J223" s="812" t="s">
        <v>2438</v>
      </c>
      <c r="K223" s="856">
        <v>12500</v>
      </c>
      <c r="L223" s="855">
        <v>575146</v>
      </c>
      <c r="M223" s="855">
        <v>429887</v>
      </c>
      <c r="N223" s="855">
        <v>429887</v>
      </c>
      <c r="O223" s="808">
        <f t="shared" si="16"/>
        <v>34.39096</v>
      </c>
      <c r="P223" s="855"/>
      <c r="Q223" s="856"/>
      <c r="R223" s="856"/>
      <c r="S223" s="856"/>
      <c r="T223" s="855"/>
      <c r="U223" s="855"/>
      <c r="V223" s="855">
        <v>5255</v>
      </c>
      <c r="W223" s="855">
        <v>276750</v>
      </c>
      <c r="X223" s="855">
        <v>196822</v>
      </c>
      <c r="Y223" s="855"/>
      <c r="Z223" s="856">
        <v>750</v>
      </c>
      <c r="AA223" s="856"/>
      <c r="AB223" s="856">
        <v>87</v>
      </c>
      <c r="AC223" s="856"/>
      <c r="AD223" s="856"/>
      <c r="AE223" s="856"/>
      <c r="AF223" s="856"/>
      <c r="AG223" s="856"/>
      <c r="AH223" s="856"/>
      <c r="AI223" s="856"/>
      <c r="AJ223" s="787">
        <f t="shared" si="17"/>
        <v>750</v>
      </c>
      <c r="AK223" s="855"/>
      <c r="AL223" s="855"/>
      <c r="AM223" s="855"/>
      <c r="AN223" s="855"/>
      <c r="AO223" s="855"/>
      <c r="AP223" s="855"/>
      <c r="AQ223" s="855"/>
      <c r="AR223" s="855"/>
      <c r="AS223" s="855"/>
      <c r="AT223" s="855"/>
      <c r="AU223" s="336" t="s">
        <v>1410</v>
      </c>
    </row>
    <row r="224" spans="1:47" s="912" customFormat="1" ht="18.75" customHeight="1">
      <c r="A224" s="794">
        <v>222</v>
      </c>
      <c r="B224" s="913" t="s">
        <v>2305</v>
      </c>
      <c r="C224" s="913" t="s">
        <v>1286</v>
      </c>
      <c r="D224" s="858">
        <v>40422</v>
      </c>
      <c r="E224" s="858">
        <v>40513</v>
      </c>
      <c r="F224" s="911">
        <v>2010</v>
      </c>
      <c r="G224" s="912" t="s">
        <v>1576</v>
      </c>
      <c r="H224" s="841" t="s">
        <v>1450</v>
      </c>
      <c r="I224" s="912" t="s">
        <v>1574</v>
      </c>
      <c r="J224" s="800" t="s">
        <v>2331</v>
      </c>
      <c r="K224" s="856">
        <v>7600</v>
      </c>
      <c r="L224" s="855">
        <v>20000</v>
      </c>
      <c r="M224" s="855">
        <v>18317</v>
      </c>
      <c r="N224" s="855">
        <v>18317</v>
      </c>
      <c r="O224" s="808">
        <f t="shared" si="16"/>
        <v>2.4101315789473685</v>
      </c>
      <c r="P224" s="855">
        <v>92</v>
      </c>
      <c r="Q224" s="856"/>
      <c r="R224" s="856"/>
      <c r="S224" s="856"/>
      <c r="T224" s="855"/>
      <c r="U224" s="855"/>
      <c r="V224" s="855"/>
      <c r="W224" s="855"/>
      <c r="X224" s="855"/>
      <c r="Y224" s="855"/>
      <c r="Z224" s="856"/>
      <c r="AA224" s="856"/>
      <c r="AB224" s="856"/>
      <c r="AC224" s="856"/>
      <c r="AD224" s="856"/>
      <c r="AE224" s="856"/>
      <c r="AF224" s="856"/>
      <c r="AG224" s="856"/>
      <c r="AH224" s="856"/>
      <c r="AI224" s="856"/>
      <c r="AJ224" s="808">
        <f t="shared" si="17"/>
        <v>0</v>
      </c>
      <c r="AK224" s="855"/>
      <c r="AL224" s="855"/>
      <c r="AM224" s="855"/>
      <c r="AN224" s="855"/>
      <c r="AO224" s="855"/>
      <c r="AP224" s="855"/>
      <c r="AQ224" s="855"/>
      <c r="AR224" s="855"/>
      <c r="AS224" s="855"/>
      <c r="AT224" s="855"/>
      <c r="AU224" s="336" t="s">
        <v>1573</v>
      </c>
    </row>
    <row r="225" spans="1:47" s="912" customFormat="1" ht="40.5">
      <c r="A225" s="794">
        <v>223</v>
      </c>
      <c r="B225" s="913" t="s">
        <v>1578</v>
      </c>
      <c r="C225" s="913" t="s">
        <v>1581</v>
      </c>
      <c r="D225" s="858">
        <v>40422</v>
      </c>
      <c r="E225" s="858">
        <v>40513</v>
      </c>
      <c r="F225" s="911">
        <v>2010</v>
      </c>
      <c r="G225" s="912" t="s">
        <v>1579</v>
      </c>
      <c r="H225" s="841" t="s">
        <v>1450</v>
      </c>
      <c r="I225" s="912" t="s">
        <v>1580</v>
      </c>
      <c r="J225" s="800" t="s">
        <v>2331</v>
      </c>
      <c r="K225" s="856">
        <v>525</v>
      </c>
      <c r="L225" s="855">
        <v>51127</v>
      </c>
      <c r="M225" s="855">
        <v>49006</v>
      </c>
      <c r="N225" s="855">
        <v>49006</v>
      </c>
      <c r="O225" s="808">
        <f t="shared" si="16"/>
        <v>93.34476190476191</v>
      </c>
      <c r="P225" s="855">
        <v>96</v>
      </c>
      <c r="Q225" s="856"/>
      <c r="R225" s="856"/>
      <c r="S225" s="856"/>
      <c r="T225" s="855"/>
      <c r="U225" s="855"/>
      <c r="V225" s="855"/>
      <c r="W225" s="855"/>
      <c r="X225" s="855"/>
      <c r="Y225" s="855"/>
      <c r="Z225" s="856"/>
      <c r="AA225" s="856"/>
      <c r="AB225" s="856"/>
      <c r="AC225" s="856"/>
      <c r="AD225" s="856"/>
      <c r="AE225" s="856"/>
      <c r="AF225" s="856"/>
      <c r="AG225" s="856"/>
      <c r="AH225" s="856"/>
      <c r="AI225" s="856"/>
      <c r="AJ225" s="808">
        <f t="shared" si="17"/>
        <v>0</v>
      </c>
      <c r="AK225" s="855"/>
      <c r="AL225" s="855"/>
      <c r="AM225" s="855"/>
      <c r="AN225" s="855"/>
      <c r="AO225" s="855"/>
      <c r="AP225" s="855"/>
      <c r="AQ225" s="855"/>
      <c r="AR225" s="855"/>
      <c r="AS225" s="855"/>
      <c r="AT225" s="855"/>
      <c r="AU225" s="336" t="s">
        <v>1577</v>
      </c>
    </row>
    <row r="226" spans="1:47" s="912" customFormat="1" ht="25.5" customHeight="1">
      <c r="A226" s="794">
        <v>224</v>
      </c>
      <c r="B226" s="913" t="s">
        <v>1207</v>
      </c>
      <c r="C226" s="913" t="s">
        <v>1260</v>
      </c>
      <c r="D226" s="858">
        <v>40513</v>
      </c>
      <c r="E226" s="858">
        <v>40603</v>
      </c>
      <c r="F226" s="911">
        <v>2010</v>
      </c>
      <c r="G226" s="912" t="s">
        <v>1584</v>
      </c>
      <c r="H226" s="841" t="s">
        <v>1451</v>
      </c>
      <c r="I226" s="912" t="s">
        <v>1582</v>
      </c>
      <c r="J226" s="800" t="s">
        <v>2331</v>
      </c>
      <c r="K226" s="856">
        <v>12000</v>
      </c>
      <c r="L226" s="855"/>
      <c r="M226" s="855"/>
      <c r="N226" s="855">
        <v>204030.57</v>
      </c>
      <c r="O226" s="808">
        <f t="shared" si="16"/>
        <v>17.002547500000002</v>
      </c>
      <c r="P226" s="855"/>
      <c r="Q226" s="856"/>
      <c r="R226" s="856"/>
      <c r="S226" s="856"/>
      <c r="T226" s="855"/>
      <c r="U226" s="855"/>
      <c r="V226" s="855"/>
      <c r="W226" s="855"/>
      <c r="X226" s="855"/>
      <c r="Y226" s="855"/>
      <c r="Z226" s="856"/>
      <c r="AA226" s="856"/>
      <c r="AB226" s="856"/>
      <c r="AC226" s="856"/>
      <c r="AD226" s="856"/>
      <c r="AE226" s="856"/>
      <c r="AF226" s="856"/>
      <c r="AG226" s="856"/>
      <c r="AH226" s="856"/>
      <c r="AI226" s="856"/>
      <c r="AJ226" s="808">
        <f t="shared" si="17"/>
        <v>0</v>
      </c>
      <c r="AK226" s="855"/>
      <c r="AL226" s="855"/>
      <c r="AM226" s="855"/>
      <c r="AN226" s="855"/>
      <c r="AO226" s="855"/>
      <c r="AP226" s="855"/>
      <c r="AQ226" s="855"/>
      <c r="AR226" s="855"/>
      <c r="AS226" s="855"/>
      <c r="AT226" s="855"/>
      <c r="AU226" s="336" t="s">
        <v>1583</v>
      </c>
    </row>
    <row r="227" spans="1:47" s="912" customFormat="1" ht="15" customHeight="1">
      <c r="A227" s="794">
        <v>225</v>
      </c>
      <c r="B227" s="913" t="s">
        <v>1585</v>
      </c>
      <c r="C227" s="913" t="s">
        <v>1260</v>
      </c>
      <c r="D227" s="858">
        <v>40299</v>
      </c>
      <c r="E227" s="858">
        <v>40422</v>
      </c>
      <c r="F227" s="911">
        <v>2010</v>
      </c>
      <c r="G227" s="912" t="s">
        <v>5</v>
      </c>
      <c r="H227" s="841" t="s">
        <v>1451</v>
      </c>
      <c r="I227" s="912" t="s">
        <v>1586</v>
      </c>
      <c r="J227" s="800" t="s">
        <v>2331</v>
      </c>
      <c r="K227" s="856">
        <v>2195</v>
      </c>
      <c r="L227" s="855"/>
      <c r="M227" s="855"/>
      <c r="N227" s="855">
        <v>171321</v>
      </c>
      <c r="O227" s="808">
        <f t="shared" si="16"/>
        <v>78.050569476082003</v>
      </c>
      <c r="P227" s="855"/>
      <c r="Q227" s="856"/>
      <c r="R227" s="856"/>
      <c r="S227" s="856"/>
      <c r="T227" s="855"/>
      <c r="U227" s="855"/>
      <c r="V227" s="855"/>
      <c r="W227" s="855"/>
      <c r="X227" s="855"/>
      <c r="Y227" s="855"/>
      <c r="Z227" s="856"/>
      <c r="AA227" s="856"/>
      <c r="AB227" s="856"/>
      <c r="AC227" s="856"/>
      <c r="AD227" s="856"/>
      <c r="AE227" s="856"/>
      <c r="AF227" s="856"/>
      <c r="AG227" s="856"/>
      <c r="AH227" s="856"/>
      <c r="AI227" s="856"/>
      <c r="AJ227" s="808">
        <f t="shared" si="17"/>
        <v>0</v>
      </c>
      <c r="AK227" s="855"/>
      <c r="AL227" s="855"/>
      <c r="AM227" s="855"/>
      <c r="AN227" s="855"/>
      <c r="AO227" s="855"/>
      <c r="AP227" s="855"/>
      <c r="AQ227" s="855"/>
      <c r="AR227" s="855"/>
      <c r="AS227" s="855"/>
      <c r="AT227" s="855"/>
      <c r="AU227" s="336" t="s">
        <v>1589</v>
      </c>
    </row>
    <row r="228" spans="1:47" s="912" customFormat="1" ht="50.25">
      <c r="A228" s="794">
        <v>226</v>
      </c>
      <c r="B228" s="913" t="s">
        <v>6</v>
      </c>
      <c r="C228" s="913" t="s">
        <v>1261</v>
      </c>
      <c r="D228" s="858">
        <v>40179</v>
      </c>
      <c r="E228" s="858">
        <v>40238</v>
      </c>
      <c r="F228" s="911">
        <v>2010</v>
      </c>
      <c r="G228" s="912" t="s">
        <v>1195</v>
      </c>
      <c r="H228" s="841" t="s">
        <v>1453</v>
      </c>
      <c r="I228" s="912" t="s">
        <v>1588</v>
      </c>
      <c r="J228" s="800" t="s">
        <v>2331</v>
      </c>
      <c r="K228" s="856">
        <v>50000</v>
      </c>
      <c r="L228" s="855"/>
      <c r="M228" s="855"/>
      <c r="N228" s="855">
        <v>200989.66</v>
      </c>
      <c r="O228" s="808">
        <f t="shared" si="16"/>
        <v>4.0197932000000005</v>
      </c>
      <c r="P228" s="855"/>
      <c r="Q228" s="856"/>
      <c r="R228" s="856"/>
      <c r="S228" s="856"/>
      <c r="T228" s="855"/>
      <c r="U228" s="855"/>
      <c r="V228" s="855"/>
      <c r="W228" s="855"/>
      <c r="X228" s="855"/>
      <c r="Y228" s="855"/>
      <c r="Z228" s="856"/>
      <c r="AA228" s="856"/>
      <c r="AB228" s="856"/>
      <c r="AC228" s="856"/>
      <c r="AD228" s="856"/>
      <c r="AE228" s="856"/>
      <c r="AF228" s="856"/>
      <c r="AG228" s="856"/>
      <c r="AH228" s="856"/>
      <c r="AI228" s="856"/>
      <c r="AJ228" s="808">
        <f t="shared" si="17"/>
        <v>0</v>
      </c>
      <c r="AK228" s="855"/>
      <c r="AL228" s="855"/>
      <c r="AM228" s="855"/>
      <c r="AN228" s="855"/>
      <c r="AO228" s="855"/>
      <c r="AP228" s="855"/>
      <c r="AQ228" s="855"/>
      <c r="AR228" s="855"/>
      <c r="AS228" s="855"/>
      <c r="AT228" s="855"/>
      <c r="AU228" s="336" t="s">
        <v>1587</v>
      </c>
    </row>
    <row r="229" spans="1:47" s="912" customFormat="1" ht="50.25">
      <c r="A229" s="794">
        <v>227</v>
      </c>
      <c r="B229" s="913" t="s">
        <v>6</v>
      </c>
      <c r="C229" s="913" t="s">
        <v>1261</v>
      </c>
      <c r="D229" s="858">
        <v>40269</v>
      </c>
      <c r="E229" s="858">
        <v>40391</v>
      </c>
      <c r="F229" s="911">
        <v>2010</v>
      </c>
      <c r="G229" s="912" t="s">
        <v>1590</v>
      </c>
      <c r="H229" s="841" t="s">
        <v>1450</v>
      </c>
      <c r="I229" s="912" t="s">
        <v>1592</v>
      </c>
      <c r="J229" s="800" t="s">
        <v>2331</v>
      </c>
      <c r="K229" s="856">
        <v>22500</v>
      </c>
      <c r="L229" s="855"/>
      <c r="M229" s="855"/>
      <c r="N229" s="855">
        <v>251252.61</v>
      </c>
      <c r="O229" s="808">
        <f t="shared" si="16"/>
        <v>11.166782666666666</v>
      </c>
      <c r="P229" s="855"/>
      <c r="Q229" s="856"/>
      <c r="R229" s="856"/>
      <c r="S229" s="856"/>
      <c r="T229" s="855"/>
      <c r="U229" s="855"/>
      <c r="V229" s="855"/>
      <c r="W229" s="855"/>
      <c r="X229" s="855"/>
      <c r="Y229" s="855"/>
      <c r="Z229" s="856"/>
      <c r="AA229" s="856"/>
      <c r="AB229" s="856"/>
      <c r="AC229" s="856"/>
      <c r="AD229" s="856"/>
      <c r="AE229" s="856"/>
      <c r="AF229" s="856"/>
      <c r="AG229" s="856"/>
      <c r="AH229" s="856"/>
      <c r="AI229" s="856"/>
      <c r="AJ229" s="808">
        <f t="shared" si="17"/>
        <v>0</v>
      </c>
      <c r="AK229" s="855"/>
      <c r="AL229" s="855"/>
      <c r="AM229" s="855"/>
      <c r="AN229" s="855"/>
      <c r="AO229" s="855"/>
      <c r="AP229" s="855"/>
      <c r="AQ229" s="855"/>
      <c r="AR229" s="855"/>
      <c r="AS229" s="855"/>
      <c r="AT229" s="855"/>
      <c r="AU229" s="336" t="s">
        <v>1591</v>
      </c>
    </row>
    <row r="230" spans="1:47" s="912" customFormat="1" ht="17.25" customHeight="1">
      <c r="A230" s="794">
        <v>228</v>
      </c>
      <c r="B230" s="913" t="s">
        <v>6</v>
      </c>
      <c r="C230" s="913" t="s">
        <v>1261</v>
      </c>
      <c r="D230" s="858">
        <v>40330</v>
      </c>
      <c r="E230" s="858">
        <v>40422</v>
      </c>
      <c r="F230" s="911">
        <v>2010</v>
      </c>
      <c r="G230" s="912" t="s">
        <v>1595</v>
      </c>
      <c r="H230" s="841" t="s">
        <v>1451</v>
      </c>
      <c r="I230" s="912" t="s">
        <v>1594</v>
      </c>
      <c r="J230" s="800" t="s">
        <v>2331</v>
      </c>
      <c r="K230" s="856">
        <v>6500</v>
      </c>
      <c r="L230" s="855"/>
      <c r="M230" s="855"/>
      <c r="N230" s="855">
        <v>109677.84</v>
      </c>
      <c r="O230" s="808">
        <f t="shared" si="16"/>
        <v>16.873513846153845</v>
      </c>
      <c r="P230" s="855"/>
      <c r="Q230" s="856"/>
      <c r="R230" s="856"/>
      <c r="S230" s="856"/>
      <c r="T230" s="855"/>
      <c r="U230" s="855"/>
      <c r="V230" s="855"/>
      <c r="W230" s="855"/>
      <c r="X230" s="855"/>
      <c r="Y230" s="855"/>
      <c r="Z230" s="856"/>
      <c r="AA230" s="856"/>
      <c r="AB230" s="856"/>
      <c r="AC230" s="856"/>
      <c r="AD230" s="856"/>
      <c r="AE230" s="856"/>
      <c r="AF230" s="856"/>
      <c r="AG230" s="856"/>
      <c r="AH230" s="856"/>
      <c r="AI230" s="856"/>
      <c r="AJ230" s="808">
        <f t="shared" si="17"/>
        <v>0</v>
      </c>
      <c r="AK230" s="855"/>
      <c r="AL230" s="855"/>
      <c r="AM230" s="855"/>
      <c r="AN230" s="855"/>
      <c r="AO230" s="855"/>
      <c r="AP230" s="855"/>
      <c r="AQ230" s="855"/>
      <c r="AR230" s="855"/>
      <c r="AS230" s="855"/>
      <c r="AT230" s="855"/>
      <c r="AU230" s="336" t="s">
        <v>1593</v>
      </c>
    </row>
    <row r="231" spans="1:47" s="912" customFormat="1" ht="40.5">
      <c r="A231" s="794">
        <v>229</v>
      </c>
      <c r="B231" s="913" t="s">
        <v>515</v>
      </c>
      <c r="C231" s="913" t="s">
        <v>1299</v>
      </c>
      <c r="D231" s="858">
        <v>40269</v>
      </c>
      <c r="E231" s="858">
        <v>40391</v>
      </c>
      <c r="F231" s="911">
        <v>2010</v>
      </c>
      <c r="G231" s="912" t="s">
        <v>987</v>
      </c>
      <c r="H231" s="841" t="s">
        <v>1452</v>
      </c>
      <c r="I231" s="912" t="s">
        <v>1597</v>
      </c>
      <c r="J231" s="800" t="s">
        <v>2331</v>
      </c>
      <c r="K231" s="856">
        <v>60000</v>
      </c>
      <c r="L231" s="855"/>
      <c r="M231" s="855"/>
      <c r="N231" s="855">
        <v>21291.05</v>
      </c>
      <c r="O231" s="808">
        <f t="shared" si="16"/>
        <v>0.35485083333333334</v>
      </c>
      <c r="P231" s="855"/>
      <c r="Q231" s="856"/>
      <c r="R231" s="856"/>
      <c r="S231" s="856"/>
      <c r="T231" s="855"/>
      <c r="U231" s="855"/>
      <c r="V231" s="855"/>
      <c r="W231" s="855"/>
      <c r="X231" s="855"/>
      <c r="Y231" s="855"/>
      <c r="Z231" s="856"/>
      <c r="AA231" s="856"/>
      <c r="AB231" s="856"/>
      <c r="AC231" s="856"/>
      <c r="AD231" s="856"/>
      <c r="AE231" s="856"/>
      <c r="AF231" s="856"/>
      <c r="AG231" s="856"/>
      <c r="AH231" s="856"/>
      <c r="AI231" s="856"/>
      <c r="AJ231" s="808">
        <f t="shared" si="17"/>
        <v>0</v>
      </c>
      <c r="AK231" s="855"/>
      <c r="AL231" s="855"/>
      <c r="AM231" s="855"/>
      <c r="AN231" s="855"/>
      <c r="AO231" s="855"/>
      <c r="AP231" s="855"/>
      <c r="AQ231" s="855"/>
      <c r="AR231" s="855"/>
      <c r="AS231" s="855"/>
      <c r="AT231" s="855"/>
      <c r="AU231" s="336" t="s">
        <v>1596</v>
      </c>
    </row>
    <row r="232" spans="1:47" s="912" customFormat="1" ht="40.5">
      <c r="A232" s="794">
        <v>230</v>
      </c>
      <c r="B232" s="913" t="s">
        <v>1598</v>
      </c>
      <c r="C232" s="913" t="s">
        <v>1286</v>
      </c>
      <c r="D232" s="858">
        <v>40269</v>
      </c>
      <c r="E232" s="858">
        <v>40360</v>
      </c>
      <c r="F232" s="911">
        <v>2010</v>
      </c>
      <c r="G232" s="912" t="s">
        <v>5</v>
      </c>
      <c r="H232" s="841" t="s">
        <v>1451</v>
      </c>
      <c r="I232" s="912" t="s">
        <v>1599</v>
      </c>
      <c r="J232" s="800" t="s">
        <v>2331</v>
      </c>
      <c r="K232" s="856">
        <v>15000</v>
      </c>
      <c r="L232" s="855"/>
      <c r="M232" s="855"/>
      <c r="N232" s="855">
        <v>151580.1</v>
      </c>
      <c r="O232" s="808">
        <f t="shared" si="16"/>
        <v>10.10534</v>
      </c>
      <c r="P232" s="855"/>
      <c r="Q232" s="856"/>
      <c r="R232" s="856"/>
      <c r="S232" s="856"/>
      <c r="T232" s="855"/>
      <c r="U232" s="855"/>
      <c r="V232" s="855"/>
      <c r="W232" s="855"/>
      <c r="X232" s="855"/>
      <c r="Y232" s="855"/>
      <c r="Z232" s="856"/>
      <c r="AA232" s="856"/>
      <c r="AB232" s="856"/>
      <c r="AC232" s="856"/>
      <c r="AD232" s="856"/>
      <c r="AE232" s="856"/>
      <c r="AF232" s="856"/>
      <c r="AG232" s="856"/>
      <c r="AH232" s="856"/>
      <c r="AI232" s="856"/>
      <c r="AJ232" s="808">
        <f t="shared" si="17"/>
        <v>0</v>
      </c>
      <c r="AK232" s="855"/>
      <c r="AL232" s="855"/>
      <c r="AM232" s="855"/>
      <c r="AN232" s="855"/>
      <c r="AO232" s="855"/>
      <c r="AP232" s="855"/>
      <c r="AQ232" s="855"/>
      <c r="AR232" s="855"/>
      <c r="AS232" s="855"/>
      <c r="AT232" s="855"/>
      <c r="AU232" s="336" t="s">
        <v>1600</v>
      </c>
    </row>
    <row r="233" spans="1:47" s="912" customFormat="1" ht="23.25" customHeight="1">
      <c r="A233" s="794">
        <v>231</v>
      </c>
      <c r="B233" s="913" t="s">
        <v>536</v>
      </c>
      <c r="C233" s="913" t="s">
        <v>1286</v>
      </c>
      <c r="D233" s="858">
        <v>40483</v>
      </c>
      <c r="E233" s="858">
        <v>40210</v>
      </c>
      <c r="F233" s="911">
        <v>2010</v>
      </c>
      <c r="G233" s="912" t="s">
        <v>5</v>
      </c>
      <c r="H233" s="841" t="s">
        <v>1451</v>
      </c>
      <c r="I233" s="912" t="s">
        <v>1602</v>
      </c>
      <c r="J233" s="800" t="s">
        <v>2331</v>
      </c>
      <c r="K233" s="856">
        <v>3020</v>
      </c>
      <c r="L233" s="855"/>
      <c r="M233" s="855"/>
      <c r="N233" s="855">
        <v>20143.73</v>
      </c>
      <c r="O233" s="808">
        <f t="shared" si="16"/>
        <v>6.6701092715231782</v>
      </c>
      <c r="P233" s="855"/>
      <c r="Q233" s="856"/>
      <c r="R233" s="856"/>
      <c r="S233" s="856"/>
      <c r="T233" s="855"/>
      <c r="U233" s="855"/>
      <c r="V233" s="855"/>
      <c r="W233" s="855"/>
      <c r="X233" s="855"/>
      <c r="Y233" s="855"/>
      <c r="Z233" s="856"/>
      <c r="AA233" s="856"/>
      <c r="AB233" s="856"/>
      <c r="AC233" s="856"/>
      <c r="AD233" s="856"/>
      <c r="AE233" s="856"/>
      <c r="AF233" s="856"/>
      <c r="AG233" s="856"/>
      <c r="AH233" s="856"/>
      <c r="AI233" s="856"/>
      <c r="AJ233" s="808">
        <f t="shared" si="17"/>
        <v>0</v>
      </c>
      <c r="AK233" s="855"/>
      <c r="AL233" s="855"/>
      <c r="AM233" s="855"/>
      <c r="AN233" s="855"/>
      <c r="AO233" s="855"/>
      <c r="AP233" s="855"/>
      <c r="AQ233" s="855"/>
      <c r="AR233" s="855"/>
      <c r="AS233" s="855"/>
      <c r="AT233" s="855"/>
      <c r="AU233" s="912" t="s">
        <v>1601</v>
      </c>
    </row>
    <row r="234" spans="1:47" s="912" customFormat="1" ht="18.75" customHeight="1">
      <c r="A234" s="794">
        <v>232</v>
      </c>
      <c r="B234" s="913" t="s">
        <v>607</v>
      </c>
      <c r="C234" s="913" t="s">
        <v>1299</v>
      </c>
      <c r="D234" s="858">
        <v>40422</v>
      </c>
      <c r="E234" s="858">
        <v>40483</v>
      </c>
      <c r="F234" s="911">
        <v>2010</v>
      </c>
      <c r="G234" s="912" t="s">
        <v>5</v>
      </c>
      <c r="H234" s="841" t="s">
        <v>1451</v>
      </c>
      <c r="I234" s="912" t="s">
        <v>1604</v>
      </c>
      <c r="J234" s="800" t="s">
        <v>2331</v>
      </c>
      <c r="K234" s="856">
        <v>25000</v>
      </c>
      <c r="L234" s="855"/>
      <c r="M234" s="855"/>
      <c r="N234" s="855">
        <v>130813.95</v>
      </c>
      <c r="O234" s="808">
        <f t="shared" si="16"/>
        <v>5.232558</v>
      </c>
      <c r="P234" s="855"/>
      <c r="Q234" s="856"/>
      <c r="R234" s="856"/>
      <c r="S234" s="856"/>
      <c r="T234" s="855"/>
      <c r="U234" s="855"/>
      <c r="V234" s="855"/>
      <c r="W234" s="855"/>
      <c r="X234" s="855"/>
      <c r="Y234" s="855"/>
      <c r="Z234" s="856"/>
      <c r="AA234" s="856"/>
      <c r="AB234" s="856"/>
      <c r="AC234" s="856"/>
      <c r="AD234" s="856"/>
      <c r="AE234" s="856"/>
      <c r="AF234" s="856"/>
      <c r="AG234" s="856"/>
      <c r="AH234" s="856"/>
      <c r="AI234" s="856"/>
      <c r="AJ234" s="808">
        <f t="shared" si="17"/>
        <v>0</v>
      </c>
      <c r="AK234" s="855"/>
      <c r="AL234" s="855"/>
      <c r="AM234" s="855"/>
      <c r="AN234" s="855"/>
      <c r="AO234" s="855"/>
      <c r="AP234" s="855"/>
      <c r="AQ234" s="855"/>
      <c r="AR234" s="855"/>
      <c r="AS234" s="855"/>
      <c r="AT234" s="855"/>
      <c r="AU234" s="336" t="s">
        <v>1603</v>
      </c>
    </row>
    <row r="235" spans="1:47" s="912" customFormat="1" ht="21.75" customHeight="1">
      <c r="A235" s="794">
        <v>233</v>
      </c>
      <c r="B235" s="913" t="s">
        <v>1040</v>
      </c>
      <c r="C235" s="913" t="s">
        <v>1286</v>
      </c>
      <c r="D235" s="858">
        <v>40330</v>
      </c>
      <c r="E235" s="858">
        <v>40391</v>
      </c>
      <c r="F235" s="911">
        <v>2010</v>
      </c>
      <c r="G235" s="912" t="s">
        <v>1575</v>
      </c>
      <c r="H235" s="841" t="s">
        <v>1450</v>
      </c>
      <c r="I235" s="912" t="s">
        <v>1606</v>
      </c>
      <c r="J235" s="800" t="s">
        <v>2331</v>
      </c>
      <c r="K235" s="856">
        <v>2460</v>
      </c>
      <c r="L235" s="855"/>
      <c r="M235" s="855"/>
      <c r="N235" s="855">
        <v>76915.7</v>
      </c>
      <c r="O235" s="808">
        <f t="shared" si="16"/>
        <v>31.266544715447154</v>
      </c>
      <c r="P235" s="855"/>
      <c r="Q235" s="856"/>
      <c r="R235" s="856"/>
      <c r="S235" s="856"/>
      <c r="T235" s="855"/>
      <c r="U235" s="855"/>
      <c r="V235" s="855"/>
      <c r="W235" s="855"/>
      <c r="X235" s="855"/>
      <c r="Y235" s="855"/>
      <c r="Z235" s="856"/>
      <c r="AA235" s="856"/>
      <c r="AB235" s="856"/>
      <c r="AC235" s="856"/>
      <c r="AD235" s="856"/>
      <c r="AE235" s="856"/>
      <c r="AF235" s="856"/>
      <c r="AG235" s="856"/>
      <c r="AH235" s="856"/>
      <c r="AI235" s="856"/>
      <c r="AJ235" s="808">
        <f t="shared" si="17"/>
        <v>0</v>
      </c>
      <c r="AK235" s="855"/>
      <c r="AL235" s="855"/>
      <c r="AM235" s="855"/>
      <c r="AN235" s="855"/>
      <c r="AO235" s="855"/>
      <c r="AP235" s="855"/>
      <c r="AQ235" s="855"/>
      <c r="AR235" s="855"/>
      <c r="AS235" s="855"/>
      <c r="AT235" s="855"/>
      <c r="AU235" s="336" t="s">
        <v>1605</v>
      </c>
    </row>
    <row r="236" spans="1:47" s="912" customFormat="1" ht="18" customHeight="1">
      <c r="A236" s="794">
        <v>234</v>
      </c>
      <c r="B236" s="913" t="s">
        <v>1337</v>
      </c>
      <c r="C236" s="913" t="s">
        <v>1261</v>
      </c>
      <c r="D236" s="858">
        <v>40422</v>
      </c>
      <c r="E236" s="858">
        <v>40603</v>
      </c>
      <c r="F236" s="911">
        <v>2010</v>
      </c>
      <c r="G236" s="912" t="s">
        <v>5</v>
      </c>
      <c r="H236" s="841" t="s">
        <v>1451</v>
      </c>
      <c r="I236" s="912" t="s">
        <v>1608</v>
      </c>
      <c r="J236" s="800" t="s">
        <v>2331</v>
      </c>
      <c r="K236" s="856">
        <v>25000</v>
      </c>
      <c r="L236" s="855"/>
      <c r="M236" s="855"/>
      <c r="N236" s="855">
        <v>145824.09</v>
      </c>
      <c r="O236" s="808">
        <f t="shared" si="16"/>
        <v>5.8329636000000002</v>
      </c>
      <c r="P236" s="855"/>
      <c r="Q236" s="856"/>
      <c r="R236" s="856"/>
      <c r="S236" s="856"/>
      <c r="T236" s="855"/>
      <c r="U236" s="855"/>
      <c r="V236" s="855"/>
      <c r="W236" s="855"/>
      <c r="X236" s="855"/>
      <c r="Y236" s="855"/>
      <c r="Z236" s="856"/>
      <c r="AA236" s="856"/>
      <c r="AB236" s="856"/>
      <c r="AC236" s="856"/>
      <c r="AD236" s="856"/>
      <c r="AE236" s="856"/>
      <c r="AF236" s="856"/>
      <c r="AG236" s="856"/>
      <c r="AH236" s="856"/>
      <c r="AI236" s="856"/>
      <c r="AJ236" s="808">
        <f t="shared" si="17"/>
        <v>0</v>
      </c>
      <c r="AK236" s="855"/>
      <c r="AL236" s="855"/>
      <c r="AM236" s="855"/>
      <c r="AN236" s="855"/>
      <c r="AO236" s="855"/>
      <c r="AP236" s="855"/>
      <c r="AQ236" s="855"/>
      <c r="AR236" s="855"/>
      <c r="AS236" s="855"/>
      <c r="AT236" s="855"/>
      <c r="AU236" s="336" t="s">
        <v>1607</v>
      </c>
    </row>
    <row r="237" spans="1:47" s="912" customFormat="1" ht="14.25" customHeight="1">
      <c r="A237" s="794">
        <v>235</v>
      </c>
      <c r="B237" s="913" t="s">
        <v>374</v>
      </c>
      <c r="C237" s="913" t="s">
        <v>1278</v>
      </c>
      <c r="D237" s="858">
        <v>40210</v>
      </c>
      <c r="E237" s="858">
        <v>40299</v>
      </c>
      <c r="F237" s="911">
        <v>2010</v>
      </c>
      <c r="G237" s="912" t="s">
        <v>1609</v>
      </c>
      <c r="H237" s="841" t="s">
        <v>1463</v>
      </c>
      <c r="I237" s="912" t="s">
        <v>1611</v>
      </c>
      <c r="J237" s="800" t="s">
        <v>2331</v>
      </c>
      <c r="K237" s="856">
        <v>23701</v>
      </c>
      <c r="L237" s="855"/>
      <c r="M237" s="855"/>
      <c r="N237" s="855">
        <v>23700.07</v>
      </c>
      <c r="O237" s="808">
        <f t="shared" si="16"/>
        <v>0.99996076114931853</v>
      </c>
      <c r="P237" s="855"/>
      <c r="Q237" s="856"/>
      <c r="R237" s="856"/>
      <c r="S237" s="856"/>
      <c r="T237" s="855"/>
      <c r="U237" s="855"/>
      <c r="V237" s="855"/>
      <c r="W237" s="855"/>
      <c r="X237" s="855"/>
      <c r="Y237" s="855"/>
      <c r="Z237" s="856"/>
      <c r="AA237" s="856"/>
      <c r="AB237" s="856"/>
      <c r="AC237" s="856"/>
      <c r="AD237" s="856"/>
      <c r="AE237" s="856"/>
      <c r="AF237" s="856"/>
      <c r="AG237" s="856"/>
      <c r="AH237" s="856"/>
      <c r="AI237" s="856"/>
      <c r="AJ237" s="808">
        <f t="shared" si="17"/>
        <v>0</v>
      </c>
      <c r="AK237" s="855"/>
      <c r="AL237" s="855"/>
      <c r="AM237" s="855"/>
      <c r="AN237" s="855"/>
      <c r="AO237" s="855"/>
      <c r="AP237" s="855"/>
      <c r="AQ237" s="855"/>
      <c r="AR237" s="855"/>
      <c r="AS237" s="855"/>
      <c r="AT237" s="855"/>
      <c r="AU237" s="336" t="s">
        <v>1610</v>
      </c>
    </row>
    <row r="238" spans="1:47" s="912" customFormat="1" ht="18" customHeight="1">
      <c r="A238" s="794">
        <v>236</v>
      </c>
      <c r="B238" s="913" t="s">
        <v>1612</v>
      </c>
      <c r="C238" s="913" t="s">
        <v>1278</v>
      </c>
      <c r="D238" s="858">
        <v>40179</v>
      </c>
      <c r="E238" s="858">
        <v>40238</v>
      </c>
      <c r="F238" s="911">
        <v>2010</v>
      </c>
      <c r="G238" s="912" t="s">
        <v>623</v>
      </c>
      <c r="H238" s="841" t="s">
        <v>1451</v>
      </c>
      <c r="I238" s="912" t="s">
        <v>1614</v>
      </c>
      <c r="J238" s="800" t="s">
        <v>2331</v>
      </c>
      <c r="K238" s="856">
        <v>1875</v>
      </c>
      <c r="L238" s="855"/>
      <c r="M238" s="855"/>
      <c r="N238" s="855">
        <v>75552.92</v>
      </c>
      <c r="O238" s="808">
        <f t="shared" si="16"/>
        <v>40.294890666666667</v>
      </c>
      <c r="P238" s="855"/>
      <c r="Q238" s="856"/>
      <c r="R238" s="856"/>
      <c r="S238" s="856"/>
      <c r="T238" s="855"/>
      <c r="U238" s="855"/>
      <c r="V238" s="855"/>
      <c r="W238" s="855"/>
      <c r="X238" s="855"/>
      <c r="Y238" s="855"/>
      <c r="Z238" s="856"/>
      <c r="AA238" s="856"/>
      <c r="AB238" s="856"/>
      <c r="AC238" s="856"/>
      <c r="AD238" s="856"/>
      <c r="AE238" s="856"/>
      <c r="AF238" s="856"/>
      <c r="AG238" s="856"/>
      <c r="AH238" s="856"/>
      <c r="AI238" s="856"/>
      <c r="AJ238" s="808">
        <f t="shared" si="17"/>
        <v>0</v>
      </c>
      <c r="AK238" s="855"/>
      <c r="AL238" s="855"/>
      <c r="AM238" s="855"/>
      <c r="AN238" s="855"/>
      <c r="AO238" s="855"/>
      <c r="AP238" s="855"/>
      <c r="AQ238" s="855"/>
      <c r="AR238" s="855"/>
      <c r="AS238" s="855"/>
      <c r="AT238" s="855"/>
      <c r="AU238" s="336" t="s">
        <v>1613</v>
      </c>
    </row>
    <row r="239" spans="1:47" s="912" customFormat="1" ht="21" customHeight="1">
      <c r="A239" s="794">
        <v>237</v>
      </c>
      <c r="B239" s="913" t="s">
        <v>871</v>
      </c>
      <c r="C239" s="913" t="s">
        <v>1260</v>
      </c>
      <c r="D239" s="858">
        <v>40391</v>
      </c>
      <c r="E239" s="858">
        <v>40513</v>
      </c>
      <c r="F239" s="911">
        <v>2010</v>
      </c>
      <c r="G239" s="912" t="s">
        <v>1615</v>
      </c>
      <c r="H239" s="841" t="s">
        <v>1453</v>
      </c>
      <c r="I239" s="912" t="s">
        <v>1617</v>
      </c>
      <c r="J239" s="800" t="s">
        <v>2331</v>
      </c>
      <c r="K239" s="856">
        <v>5067</v>
      </c>
      <c r="L239" s="855"/>
      <c r="M239" s="855"/>
      <c r="N239" s="855">
        <v>111771.35</v>
      </c>
      <c r="O239" s="808">
        <f t="shared" si="16"/>
        <v>22.05868363923426</v>
      </c>
      <c r="P239" s="855"/>
      <c r="Q239" s="856"/>
      <c r="R239" s="856"/>
      <c r="S239" s="856"/>
      <c r="T239" s="855"/>
      <c r="U239" s="855"/>
      <c r="V239" s="855"/>
      <c r="W239" s="855"/>
      <c r="X239" s="855"/>
      <c r="Y239" s="855"/>
      <c r="Z239" s="856"/>
      <c r="AA239" s="856"/>
      <c r="AB239" s="856"/>
      <c r="AC239" s="856"/>
      <c r="AD239" s="856"/>
      <c r="AE239" s="856"/>
      <c r="AF239" s="856"/>
      <c r="AG239" s="856"/>
      <c r="AH239" s="856"/>
      <c r="AI239" s="856"/>
      <c r="AJ239" s="808">
        <f t="shared" si="17"/>
        <v>0</v>
      </c>
      <c r="AK239" s="855"/>
      <c r="AL239" s="855"/>
      <c r="AM239" s="855"/>
      <c r="AN239" s="855"/>
      <c r="AO239" s="855"/>
      <c r="AP239" s="855"/>
      <c r="AQ239" s="855"/>
      <c r="AR239" s="855"/>
      <c r="AS239" s="855"/>
      <c r="AT239" s="855"/>
      <c r="AU239" s="336" t="s">
        <v>1616</v>
      </c>
    </row>
    <row r="240" spans="1:47" s="912" customFormat="1" ht="18.75" customHeight="1">
      <c r="A240" s="794">
        <v>238</v>
      </c>
      <c r="B240" s="913" t="s">
        <v>871</v>
      </c>
      <c r="C240" s="913" t="s">
        <v>1260</v>
      </c>
      <c r="D240" s="858">
        <v>40299</v>
      </c>
      <c r="E240" s="858">
        <v>40483</v>
      </c>
      <c r="F240" s="911">
        <v>2010</v>
      </c>
      <c r="G240" s="912" t="s">
        <v>1710</v>
      </c>
      <c r="H240" s="841" t="s">
        <v>1464</v>
      </c>
      <c r="J240" s="912" t="s">
        <v>2331</v>
      </c>
      <c r="K240" s="856">
        <v>250</v>
      </c>
      <c r="L240" s="855"/>
      <c r="M240" s="855"/>
      <c r="N240" s="855">
        <v>27878.9</v>
      </c>
      <c r="O240" s="808">
        <f t="shared" si="16"/>
        <v>111.51560000000001</v>
      </c>
      <c r="P240" s="855"/>
      <c r="Q240" s="856"/>
      <c r="R240" s="856"/>
      <c r="S240" s="856"/>
      <c r="T240" s="855"/>
      <c r="U240" s="855"/>
      <c r="V240" s="855"/>
      <c r="W240" s="855"/>
      <c r="X240" s="855"/>
      <c r="Y240" s="855"/>
      <c r="Z240" s="856">
        <v>250</v>
      </c>
      <c r="AA240" s="856"/>
      <c r="AB240" s="856"/>
      <c r="AC240" s="856"/>
      <c r="AD240" s="856"/>
      <c r="AE240" s="856"/>
      <c r="AF240" s="856"/>
      <c r="AG240" s="856"/>
      <c r="AH240" s="856"/>
      <c r="AI240" s="856"/>
      <c r="AJ240" s="808">
        <f t="shared" si="17"/>
        <v>250</v>
      </c>
      <c r="AK240" s="855"/>
      <c r="AL240" s="855"/>
      <c r="AM240" s="855"/>
      <c r="AN240" s="855"/>
      <c r="AO240" s="855"/>
      <c r="AP240" s="855"/>
      <c r="AQ240" s="855"/>
      <c r="AR240" s="855"/>
      <c r="AS240" s="855"/>
      <c r="AT240" s="855"/>
      <c r="AU240" s="17" t="s">
        <v>910</v>
      </c>
    </row>
    <row r="241" spans="1:47" s="857" customFormat="1" ht="14.25" customHeight="1">
      <c r="A241" s="794">
        <v>239</v>
      </c>
      <c r="B241" s="812" t="s">
        <v>140</v>
      </c>
      <c r="C241" s="785" t="s">
        <v>1299</v>
      </c>
      <c r="D241" s="792">
        <v>40513</v>
      </c>
      <c r="E241" s="792">
        <v>40422</v>
      </c>
      <c r="F241" s="911">
        <v>2010</v>
      </c>
      <c r="G241" s="836" t="s">
        <v>886</v>
      </c>
      <c r="H241" s="841" t="s">
        <v>1449</v>
      </c>
      <c r="I241" s="812" t="s">
        <v>887</v>
      </c>
      <c r="J241" s="800" t="s">
        <v>2331</v>
      </c>
      <c r="K241" s="842">
        <v>80000</v>
      </c>
      <c r="L241" s="842">
        <v>125701</v>
      </c>
      <c r="M241" s="842">
        <v>125701</v>
      </c>
      <c r="N241" s="842">
        <v>106244</v>
      </c>
      <c r="O241" s="808">
        <f t="shared" ref="O241:O272" si="18">N241/K241</f>
        <v>1.32805</v>
      </c>
      <c r="P241" s="842">
        <v>100</v>
      </c>
      <c r="Q241" s="842"/>
      <c r="R241" s="842"/>
      <c r="S241" s="842"/>
      <c r="T241" s="842"/>
      <c r="U241" s="842"/>
      <c r="V241" s="842"/>
      <c r="W241" s="842"/>
      <c r="X241" s="842"/>
      <c r="Y241" s="842"/>
      <c r="Z241" s="842"/>
      <c r="AA241" s="842">
        <v>70000</v>
      </c>
      <c r="AB241" s="842">
        <v>800</v>
      </c>
      <c r="AC241" s="842" t="s">
        <v>714</v>
      </c>
      <c r="AD241" s="842" t="s">
        <v>94</v>
      </c>
      <c r="AE241" s="842"/>
      <c r="AF241" s="842"/>
      <c r="AG241" s="842"/>
      <c r="AH241" s="842"/>
      <c r="AI241" s="842"/>
      <c r="AJ241" s="787">
        <f t="shared" si="17"/>
        <v>70000</v>
      </c>
      <c r="AK241" s="842">
        <v>9738</v>
      </c>
      <c r="AL241" s="842">
        <v>9738</v>
      </c>
      <c r="AM241" s="842"/>
      <c r="AN241" s="842"/>
      <c r="AO241" s="842"/>
      <c r="AP241" s="842"/>
      <c r="AQ241" s="842"/>
      <c r="AR241" s="842"/>
      <c r="AS241" s="842"/>
      <c r="AT241" s="842"/>
      <c r="AU241" s="293" t="s">
        <v>888</v>
      </c>
    </row>
    <row r="242" spans="1:47" s="790" customFormat="1" ht="19.5" customHeight="1">
      <c r="A242" s="794">
        <v>240</v>
      </c>
      <c r="B242" s="785" t="s">
        <v>472</v>
      </c>
      <c r="C242" s="785" t="s">
        <v>1299</v>
      </c>
      <c r="D242" s="792">
        <v>39923</v>
      </c>
      <c r="E242" s="792"/>
      <c r="F242" s="791">
        <v>2009</v>
      </c>
      <c r="G242" s="789" t="s">
        <v>721</v>
      </c>
      <c r="H242" s="790" t="s">
        <v>1450</v>
      </c>
      <c r="I242" s="785" t="s">
        <v>720</v>
      </c>
      <c r="J242" s="800" t="s">
        <v>2331</v>
      </c>
      <c r="K242" s="842">
        <v>800</v>
      </c>
      <c r="L242" s="842">
        <v>58070</v>
      </c>
      <c r="M242" s="842">
        <v>57708</v>
      </c>
      <c r="N242" s="842">
        <v>57708</v>
      </c>
      <c r="O242" s="808">
        <f t="shared" si="18"/>
        <v>72.135000000000005</v>
      </c>
      <c r="P242" s="842">
        <v>99</v>
      </c>
      <c r="Q242" s="842" t="s">
        <v>75</v>
      </c>
      <c r="R242" s="842" t="s">
        <v>75</v>
      </c>
      <c r="S242" s="842">
        <v>1600</v>
      </c>
      <c r="T242" s="842" t="s">
        <v>95</v>
      </c>
      <c r="U242" s="842" t="s">
        <v>75</v>
      </c>
      <c r="V242" s="842" t="s">
        <v>75</v>
      </c>
      <c r="W242" s="842" t="s">
        <v>75</v>
      </c>
      <c r="X242" s="842" t="s">
        <v>75</v>
      </c>
      <c r="Y242" s="808"/>
      <c r="Z242" s="842" t="s">
        <v>75</v>
      </c>
      <c r="AA242" s="842" t="s">
        <v>75</v>
      </c>
      <c r="AB242" s="842" t="s">
        <v>75</v>
      </c>
      <c r="AC242" s="842" t="s">
        <v>75</v>
      </c>
      <c r="AD242" s="842" t="s">
        <v>75</v>
      </c>
      <c r="AE242" s="842">
        <v>320</v>
      </c>
      <c r="AF242" s="842" t="s">
        <v>75</v>
      </c>
      <c r="AG242" s="842" t="s">
        <v>75</v>
      </c>
      <c r="AH242" s="842" t="s">
        <v>75</v>
      </c>
      <c r="AI242" s="842" t="s">
        <v>75</v>
      </c>
      <c r="AJ242" s="787">
        <f t="shared" si="17"/>
        <v>0</v>
      </c>
      <c r="AK242" s="842" t="s">
        <v>75</v>
      </c>
      <c r="AL242" s="842" t="s">
        <v>75</v>
      </c>
      <c r="AM242" s="842"/>
      <c r="AN242" s="842" t="s">
        <v>75</v>
      </c>
      <c r="AO242" s="842" t="s">
        <v>75</v>
      </c>
      <c r="AP242" s="842" t="s">
        <v>75</v>
      </c>
      <c r="AQ242" s="842" t="s">
        <v>75</v>
      </c>
      <c r="AR242" s="842" t="s">
        <v>75</v>
      </c>
      <c r="AS242" s="842" t="s">
        <v>75</v>
      </c>
      <c r="AT242" s="842" t="s">
        <v>460</v>
      </c>
      <c r="AU242" s="276" t="s">
        <v>719</v>
      </c>
    </row>
    <row r="243" spans="1:47" s="785" customFormat="1" ht="14.25" customHeight="1">
      <c r="A243" s="794">
        <v>241</v>
      </c>
      <c r="B243" s="857" t="s">
        <v>18</v>
      </c>
      <c r="C243" s="857" t="s">
        <v>1286</v>
      </c>
      <c r="D243" s="840">
        <v>40057</v>
      </c>
      <c r="E243" s="840">
        <v>40299</v>
      </c>
      <c r="F243" s="791">
        <v>2009</v>
      </c>
      <c r="G243" s="857" t="s">
        <v>5</v>
      </c>
      <c r="H243" s="790" t="s">
        <v>1451</v>
      </c>
      <c r="I243" s="857" t="s">
        <v>1269</v>
      </c>
      <c r="J243" s="800" t="s">
        <v>2331</v>
      </c>
      <c r="K243" s="817">
        <v>815</v>
      </c>
      <c r="L243" s="817">
        <v>50118</v>
      </c>
      <c r="M243" s="817">
        <v>39868</v>
      </c>
      <c r="N243" s="817">
        <v>39868</v>
      </c>
      <c r="O243" s="808">
        <f t="shared" si="18"/>
        <v>48.917791411042941</v>
      </c>
      <c r="P243" s="817">
        <v>80</v>
      </c>
      <c r="Q243" s="817">
        <v>815</v>
      </c>
      <c r="R243" s="817" t="s">
        <v>75</v>
      </c>
      <c r="S243" s="817">
        <v>815</v>
      </c>
      <c r="T243" s="817" t="s">
        <v>233</v>
      </c>
      <c r="U243" s="817" t="s">
        <v>75</v>
      </c>
      <c r="V243" s="817" t="s">
        <v>75</v>
      </c>
      <c r="W243" s="817">
        <v>11777</v>
      </c>
      <c r="X243" s="817">
        <v>9791</v>
      </c>
      <c r="Y243" s="808">
        <f>X243/S243</f>
        <v>12.013496932515338</v>
      </c>
      <c r="Z243" s="817"/>
      <c r="AA243" s="817"/>
      <c r="AB243" s="817"/>
      <c r="AC243" s="817"/>
      <c r="AD243" s="817"/>
      <c r="AE243" s="817"/>
      <c r="AF243" s="817"/>
      <c r="AG243" s="817"/>
      <c r="AH243" s="817"/>
      <c r="AI243" s="817"/>
      <c r="AJ243" s="787">
        <f t="shared" si="17"/>
        <v>0</v>
      </c>
      <c r="AK243" s="817" t="s">
        <v>66</v>
      </c>
      <c r="AL243" s="817" t="s">
        <v>66</v>
      </c>
      <c r="AM243" s="817"/>
      <c r="AN243" s="817"/>
      <c r="AO243" s="817"/>
      <c r="AP243" s="817"/>
      <c r="AQ243" s="817"/>
      <c r="AR243" s="817"/>
      <c r="AS243" s="817" t="s">
        <v>204</v>
      </c>
      <c r="AT243" s="817"/>
      <c r="AU243" s="857" t="s">
        <v>1268</v>
      </c>
    </row>
    <row r="244" spans="1:47" s="785" customFormat="1" ht="14.25" customHeight="1">
      <c r="A244" s="794">
        <v>242</v>
      </c>
      <c r="B244" s="857" t="s">
        <v>871</v>
      </c>
      <c r="C244" s="857" t="s">
        <v>1260</v>
      </c>
      <c r="D244" s="840">
        <v>40148</v>
      </c>
      <c r="E244" s="840">
        <v>40360</v>
      </c>
      <c r="F244" s="791">
        <v>2009</v>
      </c>
      <c r="G244" s="857" t="s">
        <v>781</v>
      </c>
      <c r="H244" s="790" t="s">
        <v>1464</v>
      </c>
      <c r="I244" s="857" t="s">
        <v>1199</v>
      </c>
      <c r="J244" s="800" t="s">
        <v>2331</v>
      </c>
      <c r="K244" s="817">
        <v>1000</v>
      </c>
      <c r="L244" s="817">
        <v>29592</v>
      </c>
      <c r="M244" s="817">
        <v>29592</v>
      </c>
      <c r="N244" s="817">
        <v>24835</v>
      </c>
      <c r="O244" s="808">
        <f t="shared" si="18"/>
        <v>24.835000000000001</v>
      </c>
      <c r="P244" s="817">
        <v>100</v>
      </c>
      <c r="Q244" s="817" t="s">
        <v>75</v>
      </c>
      <c r="R244" s="817" t="s">
        <v>75</v>
      </c>
      <c r="S244" s="817" t="s">
        <v>75</v>
      </c>
      <c r="T244" s="817" t="s">
        <v>233</v>
      </c>
      <c r="U244" s="817" t="s">
        <v>75</v>
      </c>
      <c r="V244" s="817" t="s">
        <v>75</v>
      </c>
      <c r="W244" s="817" t="s">
        <v>66</v>
      </c>
      <c r="X244" s="817" t="s">
        <v>66</v>
      </c>
      <c r="Y244" s="817"/>
      <c r="Z244" s="817">
        <v>1000</v>
      </c>
      <c r="AA244" s="817"/>
      <c r="AB244" s="817" t="s">
        <v>134</v>
      </c>
      <c r="AC244" s="817"/>
      <c r="AD244" s="817"/>
      <c r="AE244" s="817"/>
      <c r="AF244" s="817"/>
      <c r="AG244" s="817"/>
      <c r="AH244" s="817"/>
      <c r="AI244" s="817"/>
      <c r="AJ244" s="787">
        <f t="shared" si="17"/>
        <v>1000</v>
      </c>
      <c r="AK244" s="817" t="s">
        <v>66</v>
      </c>
      <c r="AL244" s="817" t="s">
        <v>66</v>
      </c>
      <c r="AM244" s="817"/>
      <c r="AN244" s="817"/>
      <c r="AO244" s="817"/>
      <c r="AP244" s="817"/>
      <c r="AQ244" s="817"/>
      <c r="AR244" s="817"/>
      <c r="AS244" s="817"/>
      <c r="AT244" s="817"/>
      <c r="AU244" s="343" t="s">
        <v>1198</v>
      </c>
    </row>
    <row r="245" spans="1:47" s="785" customFormat="1" ht="14.25" customHeight="1">
      <c r="A245" s="794">
        <v>243</v>
      </c>
      <c r="B245" s="785" t="s">
        <v>353</v>
      </c>
      <c r="C245" s="785" t="s">
        <v>1299</v>
      </c>
      <c r="D245" s="792">
        <v>39937</v>
      </c>
      <c r="E245" s="792">
        <v>40087</v>
      </c>
      <c r="F245" s="791">
        <v>2009</v>
      </c>
      <c r="G245" s="789" t="s">
        <v>718</v>
      </c>
      <c r="H245" s="800" t="s">
        <v>1450</v>
      </c>
      <c r="I245" s="785" t="s">
        <v>717</v>
      </c>
      <c r="J245" s="800" t="s">
        <v>2331</v>
      </c>
      <c r="K245" s="842">
        <v>1230</v>
      </c>
      <c r="L245" s="842">
        <v>81924</v>
      </c>
      <c r="M245" s="842">
        <v>81122</v>
      </c>
      <c r="N245" s="842">
        <v>81122</v>
      </c>
      <c r="O245" s="808">
        <f t="shared" si="18"/>
        <v>65.952845528455285</v>
      </c>
      <c r="P245" s="842">
        <v>100</v>
      </c>
      <c r="Q245" s="842">
        <v>1230</v>
      </c>
      <c r="R245" s="842" t="s">
        <v>339</v>
      </c>
      <c r="S245" s="842">
        <v>1230</v>
      </c>
      <c r="T245" s="842" t="s">
        <v>95</v>
      </c>
      <c r="U245" s="842">
        <v>180</v>
      </c>
      <c r="V245" s="842">
        <v>1230</v>
      </c>
      <c r="W245" s="842" t="s">
        <v>75</v>
      </c>
      <c r="X245" s="842">
        <v>1936</v>
      </c>
      <c r="Y245" s="808">
        <f>X245/S245</f>
        <v>1.5739837398373984</v>
      </c>
      <c r="Z245" s="842" t="s">
        <v>75</v>
      </c>
      <c r="AA245" s="842" t="s">
        <v>75</v>
      </c>
      <c r="AB245" s="842" t="s">
        <v>75</v>
      </c>
      <c r="AC245" s="842" t="s">
        <v>75</v>
      </c>
      <c r="AD245" s="842" t="s">
        <v>75</v>
      </c>
      <c r="AE245" s="842">
        <v>492</v>
      </c>
      <c r="AF245" s="842" t="s">
        <v>75</v>
      </c>
      <c r="AG245" s="842" t="s">
        <v>75</v>
      </c>
      <c r="AH245" s="842" t="s">
        <v>75</v>
      </c>
      <c r="AI245" s="842" t="s">
        <v>75</v>
      </c>
      <c r="AJ245" s="787">
        <f t="shared" si="17"/>
        <v>0</v>
      </c>
      <c r="AK245" s="842" t="s">
        <v>75</v>
      </c>
      <c r="AL245" s="842" t="s">
        <v>75</v>
      </c>
      <c r="AM245" s="842"/>
      <c r="AN245" s="842" t="s">
        <v>75</v>
      </c>
      <c r="AO245" s="842" t="s">
        <v>75</v>
      </c>
      <c r="AP245" s="842" t="s">
        <v>75</v>
      </c>
      <c r="AQ245" s="842" t="s">
        <v>75</v>
      </c>
      <c r="AR245" s="842" t="s">
        <v>75</v>
      </c>
      <c r="AS245" s="842" t="s">
        <v>75</v>
      </c>
      <c r="AT245" s="842" t="s">
        <v>75</v>
      </c>
      <c r="AU245" s="276" t="s">
        <v>716</v>
      </c>
    </row>
    <row r="246" spans="1:47" s="857" customFormat="1" ht="14.25" customHeight="1">
      <c r="A246" s="794">
        <v>244</v>
      </c>
      <c r="B246" s="857" t="s">
        <v>15</v>
      </c>
      <c r="C246" s="857" t="s">
        <v>1286</v>
      </c>
      <c r="D246" s="840">
        <v>40118</v>
      </c>
      <c r="E246" s="840">
        <v>40210</v>
      </c>
      <c r="F246" s="791">
        <v>2009</v>
      </c>
      <c r="G246" s="857" t="s">
        <v>5</v>
      </c>
      <c r="H246" s="790" t="s">
        <v>1451</v>
      </c>
      <c r="I246" s="857" t="s">
        <v>1265</v>
      </c>
      <c r="J246" s="800" t="s">
        <v>2331</v>
      </c>
      <c r="K246" s="817">
        <v>1250</v>
      </c>
      <c r="L246" s="817">
        <v>55038</v>
      </c>
      <c r="M246" s="817">
        <v>47471</v>
      </c>
      <c r="N246" s="817">
        <v>47471</v>
      </c>
      <c r="O246" s="808">
        <f t="shared" si="18"/>
        <v>37.976799999999997</v>
      </c>
      <c r="P246" s="817">
        <v>86</v>
      </c>
      <c r="Q246" s="817">
        <v>1250</v>
      </c>
      <c r="R246" s="817" t="s">
        <v>75</v>
      </c>
      <c r="S246" s="817">
        <v>1250</v>
      </c>
      <c r="T246" s="817" t="s">
        <v>233</v>
      </c>
      <c r="U246" s="817" t="s">
        <v>75</v>
      </c>
      <c r="V246" s="817" t="s">
        <v>75</v>
      </c>
      <c r="W246" s="817" t="s">
        <v>66</v>
      </c>
      <c r="X246" s="817" t="s">
        <v>66</v>
      </c>
      <c r="Y246" s="808"/>
      <c r="Z246" s="817"/>
      <c r="AA246" s="817"/>
      <c r="AB246" s="817"/>
      <c r="AC246" s="817"/>
      <c r="AD246" s="817"/>
      <c r="AE246" s="817">
        <v>1500</v>
      </c>
      <c r="AF246" s="817"/>
      <c r="AG246" s="817"/>
      <c r="AH246" s="817"/>
      <c r="AI246" s="817"/>
      <c r="AJ246" s="787">
        <f t="shared" si="17"/>
        <v>0</v>
      </c>
      <c r="AK246" s="817" t="s">
        <v>66</v>
      </c>
      <c r="AL246" s="817" t="s">
        <v>66</v>
      </c>
      <c r="AM246" s="817"/>
      <c r="AN246" s="817"/>
      <c r="AO246" s="817"/>
      <c r="AP246" s="817"/>
      <c r="AQ246" s="817"/>
      <c r="AR246" s="817"/>
      <c r="AS246" s="817"/>
      <c r="AT246" s="817"/>
      <c r="AU246" s="857" t="s">
        <v>1264</v>
      </c>
    </row>
    <row r="247" spans="1:47" s="857" customFormat="1" ht="15" customHeight="1">
      <c r="A247" s="794">
        <v>245</v>
      </c>
      <c r="B247" s="785" t="s">
        <v>353</v>
      </c>
      <c r="C247" s="785" t="s">
        <v>1299</v>
      </c>
      <c r="D247" s="792">
        <v>39846</v>
      </c>
      <c r="E247" s="792"/>
      <c r="F247" s="791">
        <v>2009</v>
      </c>
      <c r="G247" s="789" t="s">
        <v>676</v>
      </c>
      <c r="H247" s="800" t="s">
        <v>1450</v>
      </c>
      <c r="I247" s="785" t="s">
        <v>675</v>
      </c>
      <c r="J247" s="800" t="s">
        <v>2331</v>
      </c>
      <c r="K247" s="842">
        <v>1390</v>
      </c>
      <c r="L247" s="842">
        <v>91644</v>
      </c>
      <c r="M247" s="842">
        <v>74493</v>
      </c>
      <c r="N247" s="842">
        <v>74493</v>
      </c>
      <c r="O247" s="808">
        <f t="shared" si="18"/>
        <v>53.592086330935253</v>
      </c>
      <c r="P247" s="842">
        <v>81</v>
      </c>
      <c r="Q247" s="842" t="s">
        <v>339</v>
      </c>
      <c r="R247" s="842" t="s">
        <v>339</v>
      </c>
      <c r="S247" s="842">
        <v>1738</v>
      </c>
      <c r="T247" s="842" t="s">
        <v>95</v>
      </c>
      <c r="U247" s="842">
        <v>30</v>
      </c>
      <c r="V247" s="842">
        <v>2329</v>
      </c>
      <c r="W247" s="842" t="s">
        <v>583</v>
      </c>
      <c r="X247" s="842">
        <v>143</v>
      </c>
      <c r="Y247" s="808">
        <f>X247/S247</f>
        <v>8.2278481012658222E-2</v>
      </c>
      <c r="Z247" s="842" t="s">
        <v>75</v>
      </c>
      <c r="AA247" s="842" t="s">
        <v>75</v>
      </c>
      <c r="AB247" s="842" t="s">
        <v>75</v>
      </c>
      <c r="AC247" s="842" t="s">
        <v>75</v>
      </c>
      <c r="AD247" s="842" t="s">
        <v>75</v>
      </c>
      <c r="AE247" s="842">
        <v>278</v>
      </c>
      <c r="AF247" s="842" t="s">
        <v>75</v>
      </c>
      <c r="AG247" s="842" t="s">
        <v>75</v>
      </c>
      <c r="AH247" s="842" t="s">
        <v>75</v>
      </c>
      <c r="AI247" s="842" t="s">
        <v>75</v>
      </c>
      <c r="AJ247" s="787">
        <f t="shared" si="17"/>
        <v>0</v>
      </c>
      <c r="AK247" s="842" t="s">
        <v>75</v>
      </c>
      <c r="AL247" s="842" t="s">
        <v>75</v>
      </c>
      <c r="AM247" s="842"/>
      <c r="AN247" s="842" t="s">
        <v>75</v>
      </c>
      <c r="AO247" s="842" t="s">
        <v>75</v>
      </c>
      <c r="AP247" s="842" t="s">
        <v>75</v>
      </c>
      <c r="AQ247" s="842" t="s">
        <v>75</v>
      </c>
      <c r="AR247" s="842" t="s">
        <v>75</v>
      </c>
      <c r="AS247" s="842" t="s">
        <v>75</v>
      </c>
      <c r="AT247" s="842" t="s">
        <v>75</v>
      </c>
      <c r="AU247" s="344" t="s">
        <v>674</v>
      </c>
    </row>
    <row r="248" spans="1:47" s="857" customFormat="1" ht="12.75" customHeight="1">
      <c r="A248" s="794">
        <v>246</v>
      </c>
      <c r="B248" s="857" t="s">
        <v>871</v>
      </c>
      <c r="C248" s="857" t="s">
        <v>1260</v>
      </c>
      <c r="D248" s="840">
        <v>39995</v>
      </c>
      <c r="E248" s="840">
        <v>40422</v>
      </c>
      <c r="F248" s="791">
        <v>2009</v>
      </c>
      <c r="G248" s="857" t="s">
        <v>518</v>
      </c>
      <c r="H248" s="785" t="s">
        <v>1461</v>
      </c>
      <c r="I248" s="857" t="s">
        <v>1228</v>
      </c>
      <c r="J248" s="800" t="s">
        <v>2331</v>
      </c>
      <c r="K248" s="817">
        <v>2100</v>
      </c>
      <c r="L248" s="817">
        <v>29973</v>
      </c>
      <c r="M248" s="817">
        <v>29973</v>
      </c>
      <c r="N248" s="817">
        <v>29905</v>
      </c>
      <c r="O248" s="808">
        <f t="shared" si="18"/>
        <v>14.240476190476191</v>
      </c>
      <c r="P248" s="817">
        <v>100</v>
      </c>
      <c r="Q248" s="817">
        <v>1800</v>
      </c>
      <c r="R248" s="817"/>
      <c r="S248" s="817">
        <v>1800</v>
      </c>
      <c r="T248" s="817"/>
      <c r="U248" s="817">
        <v>12</v>
      </c>
      <c r="V248" s="817"/>
      <c r="W248" s="817">
        <v>9500</v>
      </c>
      <c r="X248" s="817">
        <v>9500</v>
      </c>
      <c r="Y248" s="808">
        <f>X248/S248</f>
        <v>5.2777777777777777</v>
      </c>
      <c r="Z248" s="817">
        <v>300</v>
      </c>
      <c r="AA248" s="817"/>
      <c r="AB248" s="817"/>
      <c r="AC248" s="817"/>
      <c r="AD248" s="817"/>
      <c r="AE248" s="817"/>
      <c r="AF248" s="817"/>
      <c r="AG248" s="817"/>
      <c r="AH248" s="817"/>
      <c r="AI248" s="817"/>
      <c r="AJ248" s="787">
        <f t="shared" si="17"/>
        <v>300</v>
      </c>
      <c r="AK248" s="817"/>
      <c r="AL248" s="817"/>
      <c r="AM248" s="817"/>
      <c r="AN248" s="817"/>
      <c r="AO248" s="817"/>
      <c r="AP248" s="817"/>
      <c r="AQ248" s="817"/>
      <c r="AR248" s="817"/>
      <c r="AS248" s="817"/>
      <c r="AT248" s="817"/>
      <c r="AU248" s="857" t="s">
        <v>1229</v>
      </c>
    </row>
    <row r="249" spans="1:47" s="857" customFormat="1" ht="16.5" customHeight="1">
      <c r="A249" s="794">
        <v>247</v>
      </c>
      <c r="B249" s="857" t="s">
        <v>27</v>
      </c>
      <c r="C249" s="857" t="s">
        <v>1299</v>
      </c>
      <c r="D249" s="840">
        <v>39995</v>
      </c>
      <c r="E249" s="840">
        <v>40087</v>
      </c>
      <c r="F249" s="791">
        <v>2009</v>
      </c>
      <c r="G249" s="857" t="s">
        <v>1004</v>
      </c>
      <c r="H249" s="790" t="s">
        <v>1450</v>
      </c>
      <c r="I249" s="857" t="s">
        <v>1005</v>
      </c>
      <c r="J249" s="800" t="s">
        <v>2331</v>
      </c>
      <c r="K249" s="817">
        <v>2124</v>
      </c>
      <c r="L249" s="817">
        <v>75305</v>
      </c>
      <c r="M249" s="817">
        <v>75240</v>
      </c>
      <c r="N249" s="817">
        <v>75240</v>
      </c>
      <c r="O249" s="808">
        <f t="shared" si="18"/>
        <v>35.423728813559322</v>
      </c>
      <c r="P249" s="817">
        <v>100</v>
      </c>
      <c r="Q249" s="817"/>
      <c r="R249" s="817"/>
      <c r="S249" s="817"/>
      <c r="T249" s="817"/>
      <c r="U249" s="817">
        <v>40</v>
      </c>
      <c r="V249" s="817" t="s">
        <v>134</v>
      </c>
      <c r="W249" s="817" t="s">
        <v>66</v>
      </c>
      <c r="X249" s="817" t="s">
        <v>66</v>
      </c>
      <c r="Y249" s="817"/>
      <c r="Z249" s="817"/>
      <c r="AA249" s="817"/>
      <c r="AB249" s="817">
        <v>40</v>
      </c>
      <c r="AC249" s="817"/>
      <c r="AD249" s="817"/>
      <c r="AE249" s="817">
        <v>300</v>
      </c>
      <c r="AF249" s="817"/>
      <c r="AG249" s="817"/>
      <c r="AH249" s="817"/>
      <c r="AI249" s="817"/>
      <c r="AJ249" s="787">
        <f t="shared" si="17"/>
        <v>0</v>
      </c>
      <c r="AK249" s="817" t="s">
        <v>66</v>
      </c>
      <c r="AL249" s="817" t="s">
        <v>66</v>
      </c>
      <c r="AM249" s="817"/>
      <c r="AN249" s="817"/>
      <c r="AO249" s="817"/>
      <c r="AP249" s="817"/>
      <c r="AQ249" s="817"/>
      <c r="AR249" s="817"/>
      <c r="AS249" s="817"/>
      <c r="AT249" s="817"/>
      <c r="AU249" s="817" t="s">
        <v>1006</v>
      </c>
    </row>
    <row r="250" spans="1:47" s="857" customFormat="1" ht="15" customHeight="1">
      <c r="A250" s="794">
        <v>248</v>
      </c>
      <c r="B250" s="857" t="s">
        <v>18</v>
      </c>
      <c r="C250" s="857" t="s">
        <v>1286</v>
      </c>
      <c r="D250" s="840">
        <v>40118</v>
      </c>
      <c r="E250" s="840">
        <v>40299</v>
      </c>
      <c r="F250" s="791">
        <v>2009</v>
      </c>
      <c r="G250" s="857" t="s">
        <v>5</v>
      </c>
      <c r="H250" s="790" t="s">
        <v>1451</v>
      </c>
      <c r="I250" s="857" t="s">
        <v>1271</v>
      </c>
      <c r="J250" s="800" t="s">
        <v>2331</v>
      </c>
      <c r="K250" s="817">
        <v>2500</v>
      </c>
      <c r="L250" s="817">
        <v>105656</v>
      </c>
      <c r="M250" s="817">
        <v>82066</v>
      </c>
      <c r="N250" s="817">
        <v>82066</v>
      </c>
      <c r="O250" s="808">
        <f t="shared" si="18"/>
        <v>32.8264</v>
      </c>
      <c r="P250" s="817">
        <v>78</v>
      </c>
      <c r="Q250" s="817">
        <v>2500</v>
      </c>
      <c r="R250" s="817" t="s">
        <v>75</v>
      </c>
      <c r="S250" s="817" t="s">
        <v>75</v>
      </c>
      <c r="T250" s="817" t="s">
        <v>233</v>
      </c>
      <c r="U250" s="817" t="s">
        <v>75</v>
      </c>
      <c r="V250" s="817" t="s">
        <v>75</v>
      </c>
      <c r="W250" s="817">
        <v>9717</v>
      </c>
      <c r="X250" s="817">
        <v>7579.26</v>
      </c>
      <c r="Y250" s="817"/>
      <c r="Z250" s="817"/>
      <c r="AA250" s="817"/>
      <c r="AB250" s="817"/>
      <c r="AC250" s="817"/>
      <c r="AD250" s="817"/>
      <c r="AE250" s="817">
        <v>1000</v>
      </c>
      <c r="AF250" s="817"/>
      <c r="AG250" s="817"/>
      <c r="AH250" s="817"/>
      <c r="AI250" s="817"/>
      <c r="AJ250" s="787">
        <f t="shared" si="17"/>
        <v>0</v>
      </c>
      <c r="AK250" s="817">
        <v>3068</v>
      </c>
      <c r="AL250" s="817">
        <v>3214</v>
      </c>
      <c r="AM250" s="817"/>
      <c r="AN250" s="817"/>
      <c r="AO250" s="817"/>
      <c r="AP250" s="817"/>
      <c r="AQ250" s="817"/>
      <c r="AR250" s="817"/>
      <c r="AS250" s="817" t="s">
        <v>204</v>
      </c>
      <c r="AT250" s="817"/>
      <c r="AU250" s="857" t="s">
        <v>1270</v>
      </c>
    </row>
    <row r="251" spans="1:47" s="857" customFormat="1" ht="15.75" customHeight="1">
      <c r="A251" s="794">
        <v>249</v>
      </c>
      <c r="B251" s="850" t="s">
        <v>1029</v>
      </c>
      <c r="C251" s="857" t="s">
        <v>1299</v>
      </c>
      <c r="D251" s="840">
        <v>39965</v>
      </c>
      <c r="E251" s="840">
        <v>40148</v>
      </c>
      <c r="F251" s="791">
        <v>2009</v>
      </c>
      <c r="G251" s="857" t="s">
        <v>5</v>
      </c>
      <c r="H251" s="790" t="s">
        <v>1451</v>
      </c>
      <c r="I251" s="857" t="s">
        <v>1030</v>
      </c>
      <c r="J251" s="800" t="s">
        <v>2331</v>
      </c>
      <c r="K251" s="817">
        <v>3100</v>
      </c>
      <c r="L251" s="817">
        <v>153978</v>
      </c>
      <c r="M251" s="817">
        <v>153978</v>
      </c>
      <c r="N251" s="817">
        <v>135301</v>
      </c>
      <c r="O251" s="808">
        <f t="shared" si="18"/>
        <v>43.645483870967745</v>
      </c>
      <c r="P251" s="817">
        <v>100</v>
      </c>
      <c r="Q251" s="817">
        <v>3100</v>
      </c>
      <c r="R251" s="817" t="s">
        <v>75</v>
      </c>
      <c r="S251" s="817">
        <v>3100</v>
      </c>
      <c r="T251" s="817" t="s">
        <v>233</v>
      </c>
      <c r="U251" s="817" t="s">
        <v>134</v>
      </c>
      <c r="V251" s="817">
        <v>3100</v>
      </c>
      <c r="W251" s="817">
        <v>12000</v>
      </c>
      <c r="X251" s="817">
        <v>13512</v>
      </c>
      <c r="Y251" s="808">
        <f>X251/S251</f>
        <v>4.3587096774193546</v>
      </c>
      <c r="Z251" s="817" t="s">
        <v>75</v>
      </c>
      <c r="AA251" s="817" t="s">
        <v>75</v>
      </c>
      <c r="AB251" s="817" t="s">
        <v>75</v>
      </c>
      <c r="AC251" s="817" t="s">
        <v>75</v>
      </c>
      <c r="AD251" s="817" t="s">
        <v>75</v>
      </c>
      <c r="AE251" s="817" t="s">
        <v>75</v>
      </c>
      <c r="AF251" s="817" t="s">
        <v>75</v>
      </c>
      <c r="AG251" s="817" t="s">
        <v>75</v>
      </c>
      <c r="AH251" s="817" t="s">
        <v>75</v>
      </c>
      <c r="AI251" s="817" t="s">
        <v>75</v>
      </c>
      <c r="AJ251" s="787">
        <f t="shared" si="17"/>
        <v>0</v>
      </c>
      <c r="AK251" s="817"/>
      <c r="AL251" s="817"/>
      <c r="AM251" s="817"/>
      <c r="AN251" s="817"/>
      <c r="AO251" s="817"/>
      <c r="AP251" s="817"/>
      <c r="AQ251" s="817"/>
      <c r="AR251" s="817"/>
      <c r="AS251" s="817" t="s">
        <v>75</v>
      </c>
      <c r="AT251" s="817" t="s">
        <v>75</v>
      </c>
      <c r="AU251" s="320" t="s">
        <v>1031</v>
      </c>
    </row>
    <row r="252" spans="1:47" s="857" customFormat="1" ht="11.25" customHeight="1">
      <c r="A252" s="794">
        <v>250</v>
      </c>
      <c r="B252" s="857" t="s">
        <v>25</v>
      </c>
      <c r="C252" s="857" t="s">
        <v>1260</v>
      </c>
      <c r="D252" s="840">
        <v>40118</v>
      </c>
      <c r="E252" s="840">
        <v>40238</v>
      </c>
      <c r="F252" s="791">
        <v>2009</v>
      </c>
      <c r="G252" s="857" t="s">
        <v>5</v>
      </c>
      <c r="H252" s="790" t="s">
        <v>1451</v>
      </c>
      <c r="I252" s="857" t="s">
        <v>1273</v>
      </c>
      <c r="J252" s="800" t="s">
        <v>2331</v>
      </c>
      <c r="K252" s="817">
        <v>3210</v>
      </c>
      <c r="L252" s="817">
        <v>51027</v>
      </c>
      <c r="M252" s="817">
        <v>51027</v>
      </c>
      <c r="N252" s="817">
        <v>41478</v>
      </c>
      <c r="O252" s="808">
        <f t="shared" si="18"/>
        <v>12.921495327102804</v>
      </c>
      <c r="P252" s="817">
        <v>100</v>
      </c>
      <c r="Q252" s="817"/>
      <c r="R252" s="817" t="s">
        <v>75</v>
      </c>
      <c r="S252" s="817">
        <v>450</v>
      </c>
      <c r="T252" s="817" t="s">
        <v>233</v>
      </c>
      <c r="U252" s="817">
        <v>8</v>
      </c>
      <c r="V252" s="817">
        <v>3210</v>
      </c>
      <c r="W252" s="817">
        <v>6600</v>
      </c>
      <c r="X252" s="817">
        <v>6600</v>
      </c>
      <c r="Y252" s="808">
        <f>X252/S252</f>
        <v>14.666666666666666</v>
      </c>
      <c r="Z252" s="817"/>
      <c r="AA252" s="817"/>
      <c r="AB252" s="817"/>
      <c r="AC252" s="817"/>
      <c r="AD252" s="817"/>
      <c r="AE252" s="817"/>
      <c r="AF252" s="817"/>
      <c r="AG252" s="817"/>
      <c r="AH252" s="817"/>
      <c r="AI252" s="817"/>
      <c r="AJ252" s="787">
        <f t="shared" si="17"/>
        <v>0</v>
      </c>
      <c r="AK252" s="817" t="s">
        <v>66</v>
      </c>
      <c r="AL252" s="817" t="s">
        <v>66</v>
      </c>
      <c r="AM252" s="817"/>
      <c r="AN252" s="817"/>
      <c r="AO252" s="817"/>
      <c r="AP252" s="817"/>
      <c r="AQ252" s="817"/>
      <c r="AR252" s="817"/>
      <c r="AS252" s="817"/>
      <c r="AT252" s="817"/>
      <c r="AU252" s="343" t="s">
        <v>1272</v>
      </c>
    </row>
    <row r="253" spans="1:47" s="857" customFormat="1" ht="16.5" customHeight="1">
      <c r="A253" s="794">
        <v>251</v>
      </c>
      <c r="B253" s="857" t="s">
        <v>196</v>
      </c>
      <c r="C253" s="857" t="s">
        <v>1260</v>
      </c>
      <c r="D253" s="840">
        <v>39934</v>
      </c>
      <c r="E253" s="840">
        <v>40330</v>
      </c>
      <c r="F253" s="791">
        <v>2009</v>
      </c>
      <c r="G253" s="857" t="s">
        <v>980</v>
      </c>
      <c r="H253" s="790" t="s">
        <v>1451</v>
      </c>
      <c r="I253" s="857" t="s">
        <v>981</v>
      </c>
      <c r="J253" s="812" t="s">
        <v>2438</v>
      </c>
      <c r="K253" s="817">
        <v>4320</v>
      </c>
      <c r="L253" s="817">
        <v>892624</v>
      </c>
      <c r="M253" s="817">
        <v>812327</v>
      </c>
      <c r="N253" s="817">
        <v>798541</v>
      </c>
      <c r="O253" s="808">
        <f t="shared" si="18"/>
        <v>184.84745370370371</v>
      </c>
      <c r="P253" s="817">
        <v>91</v>
      </c>
      <c r="Q253" s="817">
        <v>2410</v>
      </c>
      <c r="R253" s="817"/>
      <c r="S253" s="817">
        <v>2410</v>
      </c>
      <c r="T253" s="817"/>
      <c r="U253" s="817"/>
      <c r="V253" s="817">
        <v>2410</v>
      </c>
      <c r="W253" s="817">
        <v>21761</v>
      </c>
      <c r="X253" s="817">
        <v>2523</v>
      </c>
      <c r="Y253" s="808">
        <f>X253/S253</f>
        <v>1.0468879668049793</v>
      </c>
      <c r="Z253" s="817"/>
      <c r="AA253" s="817">
        <v>2410</v>
      </c>
      <c r="AB253" s="817"/>
      <c r="AC253" s="817"/>
      <c r="AD253" s="817"/>
      <c r="AE253" s="817"/>
      <c r="AF253" s="817"/>
      <c r="AG253" s="817"/>
      <c r="AH253" s="817"/>
      <c r="AI253" s="817"/>
      <c r="AJ253" s="787">
        <f t="shared" si="17"/>
        <v>2410</v>
      </c>
      <c r="AK253" s="817">
        <v>1440</v>
      </c>
      <c r="AL253" s="817">
        <v>773</v>
      </c>
      <c r="AM253" s="817"/>
      <c r="AN253" s="817"/>
      <c r="AO253" s="817"/>
      <c r="AP253" s="817"/>
      <c r="AQ253" s="817"/>
      <c r="AR253" s="817"/>
      <c r="AS253" s="817"/>
      <c r="AT253" s="817"/>
      <c r="AU253" s="320" t="s">
        <v>982</v>
      </c>
    </row>
    <row r="254" spans="1:47" s="857" customFormat="1" ht="14.25" customHeight="1">
      <c r="A254" s="794">
        <v>252</v>
      </c>
      <c r="B254" s="785" t="s">
        <v>10</v>
      </c>
      <c r="C254" s="785" t="s">
        <v>1261</v>
      </c>
      <c r="D254" s="792">
        <v>40087</v>
      </c>
      <c r="E254" s="792">
        <v>40664</v>
      </c>
      <c r="F254" s="791">
        <v>2009</v>
      </c>
      <c r="G254" s="785" t="s">
        <v>100</v>
      </c>
      <c r="H254" s="790" t="s">
        <v>1454</v>
      </c>
      <c r="I254" s="785" t="s">
        <v>439</v>
      </c>
      <c r="J254" s="812" t="s">
        <v>2438</v>
      </c>
      <c r="K254" s="842">
        <v>5000</v>
      </c>
      <c r="L254" s="842">
        <v>2506427</v>
      </c>
      <c r="M254" s="842">
        <v>2202703</v>
      </c>
      <c r="N254" s="842">
        <v>2202703</v>
      </c>
      <c r="O254" s="808">
        <f t="shared" si="18"/>
        <v>440.54059999999998</v>
      </c>
      <c r="P254" s="842">
        <v>87.7</v>
      </c>
      <c r="Q254" s="842">
        <v>5000</v>
      </c>
      <c r="R254" s="842">
        <v>1700</v>
      </c>
      <c r="S254" s="842">
        <v>5000</v>
      </c>
      <c r="T254" s="842"/>
      <c r="U254" s="842">
        <v>38</v>
      </c>
      <c r="V254" s="842">
        <v>5000</v>
      </c>
      <c r="W254" s="842">
        <v>489078</v>
      </c>
      <c r="X254" s="842">
        <v>489078</v>
      </c>
      <c r="Y254" s="808">
        <f>X254/S254</f>
        <v>97.815600000000003</v>
      </c>
      <c r="Z254" s="842" t="s">
        <v>2</v>
      </c>
      <c r="AA254" s="842">
        <v>2910</v>
      </c>
      <c r="AB254" s="842">
        <v>30</v>
      </c>
      <c r="AC254" s="842" t="s">
        <v>2</v>
      </c>
      <c r="AD254" s="842"/>
      <c r="AE254" s="842"/>
      <c r="AF254" s="842"/>
      <c r="AG254" s="842"/>
      <c r="AH254" s="842"/>
      <c r="AI254" s="842"/>
      <c r="AJ254" s="787">
        <f t="shared" si="17"/>
        <v>2910</v>
      </c>
      <c r="AK254" s="842">
        <v>4342</v>
      </c>
      <c r="AL254" s="842">
        <v>4342</v>
      </c>
      <c r="AM254" s="842"/>
      <c r="AN254" s="842"/>
      <c r="AO254" s="842"/>
      <c r="AP254" s="842"/>
      <c r="AQ254" s="842"/>
      <c r="AR254" s="842"/>
      <c r="AS254" s="842" t="s">
        <v>204</v>
      </c>
      <c r="AT254" s="842"/>
      <c r="AU254" s="265" t="s">
        <v>101</v>
      </c>
    </row>
    <row r="255" spans="1:47" s="857" customFormat="1" ht="12" customHeight="1">
      <c r="A255" s="794">
        <v>253</v>
      </c>
      <c r="B255" s="857" t="s">
        <v>649</v>
      </c>
      <c r="C255" s="857" t="s">
        <v>1261</v>
      </c>
      <c r="D255" s="840">
        <v>40057</v>
      </c>
      <c r="E255" s="840">
        <v>40483</v>
      </c>
      <c r="F255" s="791">
        <v>2009</v>
      </c>
      <c r="G255" s="857" t="s">
        <v>1050</v>
      </c>
      <c r="H255" s="790" t="s">
        <v>1449</v>
      </c>
      <c r="I255" s="857" t="s">
        <v>1051</v>
      </c>
      <c r="J255" s="800" t="s">
        <v>2331</v>
      </c>
      <c r="K255" s="817">
        <v>5000</v>
      </c>
      <c r="L255" s="817">
        <v>359058</v>
      </c>
      <c r="M255" s="817">
        <v>359058</v>
      </c>
      <c r="N255" s="817">
        <v>246774</v>
      </c>
      <c r="O255" s="808">
        <f t="shared" si="18"/>
        <v>49.354799999999997</v>
      </c>
      <c r="P255" s="817">
        <v>100</v>
      </c>
      <c r="Q255" s="817"/>
      <c r="R255" s="817"/>
      <c r="S255" s="817"/>
      <c r="T255" s="817"/>
      <c r="U255" s="817">
        <v>11</v>
      </c>
      <c r="V255" s="817">
        <v>50535</v>
      </c>
      <c r="W255" s="817">
        <v>16000</v>
      </c>
      <c r="X255" s="817">
        <v>16000</v>
      </c>
      <c r="Y255" s="817"/>
      <c r="Z255" s="817"/>
      <c r="AA255" s="817">
        <v>50535</v>
      </c>
      <c r="AB255" s="817">
        <v>366</v>
      </c>
      <c r="AC255" s="817"/>
      <c r="AD255" s="817"/>
      <c r="AE255" s="817"/>
      <c r="AF255" s="817"/>
      <c r="AG255" s="817"/>
      <c r="AH255" s="817">
        <v>111</v>
      </c>
      <c r="AI255" s="817"/>
      <c r="AJ255" s="787">
        <f t="shared" si="17"/>
        <v>50646</v>
      </c>
      <c r="AK255" s="817"/>
      <c r="AL255" s="817"/>
      <c r="AM255" s="817"/>
      <c r="AN255" s="817"/>
      <c r="AO255" s="817"/>
      <c r="AP255" s="817"/>
      <c r="AQ255" s="817"/>
      <c r="AR255" s="817"/>
      <c r="AS255" s="817"/>
      <c r="AT255" s="817"/>
      <c r="AU255" s="817" t="s">
        <v>1052</v>
      </c>
    </row>
    <row r="256" spans="1:47" s="857" customFormat="1" ht="14.25" customHeight="1">
      <c r="A256" s="794">
        <v>254</v>
      </c>
      <c r="B256" s="857" t="s">
        <v>1084</v>
      </c>
      <c r="C256" s="857" t="s">
        <v>1260</v>
      </c>
      <c r="D256" s="840">
        <v>40057</v>
      </c>
      <c r="E256" s="840">
        <v>39845</v>
      </c>
      <c r="F256" s="791">
        <v>2009</v>
      </c>
      <c r="G256" s="857" t="s">
        <v>5</v>
      </c>
      <c r="H256" s="790" t="s">
        <v>1451</v>
      </c>
      <c r="I256" s="857" t="s">
        <v>1230</v>
      </c>
      <c r="J256" s="800" t="s">
        <v>2331</v>
      </c>
      <c r="K256" s="817">
        <v>5000</v>
      </c>
      <c r="L256" s="817">
        <v>294118</v>
      </c>
      <c r="M256" s="817">
        <v>294118</v>
      </c>
      <c r="N256" s="817">
        <v>290840</v>
      </c>
      <c r="O256" s="808">
        <f t="shared" si="18"/>
        <v>58.167999999999999</v>
      </c>
      <c r="P256" s="817">
        <v>100</v>
      </c>
      <c r="Q256" s="817"/>
      <c r="R256" s="817"/>
      <c r="S256" s="817">
        <v>5000</v>
      </c>
      <c r="T256" s="817"/>
      <c r="U256" s="817">
        <v>223</v>
      </c>
      <c r="V256" s="817">
        <v>5000</v>
      </c>
      <c r="W256" s="817">
        <v>75000</v>
      </c>
      <c r="X256" s="817">
        <v>75000</v>
      </c>
      <c r="Y256" s="808">
        <f>X256/S256</f>
        <v>15</v>
      </c>
      <c r="Z256" s="817"/>
      <c r="AA256" s="817"/>
      <c r="AB256" s="817"/>
      <c r="AC256" s="817"/>
      <c r="AD256" s="817"/>
      <c r="AE256" s="817"/>
      <c r="AF256" s="817"/>
      <c r="AG256" s="817"/>
      <c r="AH256" s="817"/>
      <c r="AI256" s="817"/>
      <c r="AJ256" s="787">
        <f t="shared" si="17"/>
        <v>0</v>
      </c>
      <c r="AK256" s="817"/>
      <c r="AL256" s="817"/>
      <c r="AM256" s="817"/>
      <c r="AN256" s="817"/>
      <c r="AO256" s="817"/>
      <c r="AP256" s="817"/>
      <c r="AQ256" s="817"/>
      <c r="AR256" s="817"/>
      <c r="AS256" s="817"/>
      <c r="AT256" s="817"/>
      <c r="AU256" s="857" t="s">
        <v>1231</v>
      </c>
    </row>
    <row r="257" spans="1:47" s="857" customFormat="1" ht="12" customHeight="1">
      <c r="A257" s="794">
        <v>255</v>
      </c>
      <c r="B257" s="857" t="s">
        <v>1247</v>
      </c>
      <c r="C257" s="857" t="s">
        <v>1260</v>
      </c>
      <c r="D257" s="840">
        <v>39995</v>
      </c>
      <c r="E257" s="840">
        <v>40179</v>
      </c>
      <c r="F257" s="791">
        <v>2009</v>
      </c>
      <c r="G257" s="857" t="s">
        <v>5</v>
      </c>
      <c r="H257" s="800" t="s">
        <v>1451</v>
      </c>
      <c r="I257" s="857" t="s">
        <v>1248</v>
      </c>
      <c r="J257" s="800" t="s">
        <v>2331</v>
      </c>
      <c r="K257" s="817">
        <v>5000</v>
      </c>
      <c r="L257" s="817">
        <v>295187</v>
      </c>
      <c r="M257" s="817">
        <v>295187</v>
      </c>
      <c r="N257" s="817">
        <v>247435</v>
      </c>
      <c r="O257" s="808">
        <f t="shared" si="18"/>
        <v>49.487000000000002</v>
      </c>
      <c r="P257" s="817">
        <v>100</v>
      </c>
      <c r="Q257" s="817">
        <v>3150</v>
      </c>
      <c r="R257" s="817"/>
      <c r="S257" s="817">
        <v>3150</v>
      </c>
      <c r="T257" s="817"/>
      <c r="U257" s="817">
        <v>500</v>
      </c>
      <c r="V257" s="817">
        <v>3150</v>
      </c>
      <c r="W257" s="817">
        <v>266000</v>
      </c>
      <c r="X257" s="817">
        <v>266000</v>
      </c>
      <c r="Y257" s="808">
        <f>X257/S257</f>
        <v>84.444444444444443</v>
      </c>
      <c r="Z257" s="817"/>
      <c r="AA257" s="817"/>
      <c r="AB257" s="817"/>
      <c r="AC257" s="817"/>
      <c r="AD257" s="817"/>
      <c r="AE257" s="817"/>
      <c r="AF257" s="817"/>
      <c r="AG257" s="817"/>
      <c r="AH257" s="817"/>
      <c r="AI257" s="817"/>
      <c r="AJ257" s="787">
        <f t="shared" si="17"/>
        <v>0</v>
      </c>
      <c r="AK257" s="817"/>
      <c r="AL257" s="817"/>
      <c r="AM257" s="817"/>
      <c r="AN257" s="817"/>
      <c r="AO257" s="817"/>
      <c r="AP257" s="817"/>
      <c r="AQ257" s="817"/>
      <c r="AR257" s="817"/>
      <c r="AS257" s="817"/>
      <c r="AT257" s="817"/>
      <c r="AU257" s="343" t="s">
        <v>1249</v>
      </c>
    </row>
    <row r="258" spans="1:47" s="857" customFormat="1" ht="14.25" customHeight="1">
      <c r="A258" s="794">
        <v>256</v>
      </c>
      <c r="B258" s="857" t="s">
        <v>291</v>
      </c>
      <c r="C258" s="857" t="s">
        <v>1299</v>
      </c>
      <c r="D258" s="840">
        <v>39995</v>
      </c>
      <c r="E258" s="840">
        <v>40118</v>
      </c>
      <c r="F258" s="791">
        <v>2009</v>
      </c>
      <c r="G258" s="857" t="s">
        <v>5</v>
      </c>
      <c r="H258" s="790" t="s">
        <v>1451</v>
      </c>
      <c r="I258" s="857" t="s">
        <v>1267</v>
      </c>
      <c r="J258" s="800" t="s">
        <v>2331</v>
      </c>
      <c r="K258" s="817">
        <v>5000</v>
      </c>
      <c r="L258" s="817">
        <v>101264</v>
      </c>
      <c r="M258" s="817">
        <v>74860</v>
      </c>
      <c r="N258" s="817">
        <v>74860</v>
      </c>
      <c r="O258" s="808">
        <f t="shared" si="18"/>
        <v>14.972</v>
      </c>
      <c r="P258" s="817">
        <v>74</v>
      </c>
      <c r="Q258" s="817" t="s">
        <v>75</v>
      </c>
      <c r="R258" s="817" t="s">
        <v>75</v>
      </c>
      <c r="S258" s="817" t="s">
        <v>75</v>
      </c>
      <c r="T258" s="817" t="s">
        <v>233</v>
      </c>
      <c r="U258" s="817" t="s">
        <v>75</v>
      </c>
      <c r="V258" s="817" t="s">
        <v>75</v>
      </c>
      <c r="W258" s="817" t="s">
        <v>66</v>
      </c>
      <c r="X258" s="817" t="s">
        <v>66</v>
      </c>
      <c r="Y258" s="817"/>
      <c r="Z258" s="817">
        <v>5000</v>
      </c>
      <c r="AA258" s="817">
        <v>5000</v>
      </c>
      <c r="AB258" s="817" t="s">
        <v>134</v>
      </c>
      <c r="AC258" s="817"/>
      <c r="AD258" s="817"/>
      <c r="AE258" s="817">
        <v>1959</v>
      </c>
      <c r="AF258" s="817"/>
      <c r="AG258" s="817"/>
      <c r="AH258" s="817"/>
      <c r="AI258" s="817"/>
      <c r="AJ258" s="787">
        <f t="shared" si="17"/>
        <v>10000</v>
      </c>
      <c r="AK258" s="817" t="s">
        <v>66</v>
      </c>
      <c r="AL258" s="817" t="s">
        <v>66</v>
      </c>
      <c r="AM258" s="817"/>
      <c r="AN258" s="817"/>
      <c r="AO258" s="817"/>
      <c r="AP258" s="817"/>
      <c r="AQ258" s="817"/>
      <c r="AR258" s="817"/>
      <c r="AS258" s="817" t="s">
        <v>204</v>
      </c>
      <c r="AT258" s="817"/>
      <c r="AU258" s="857" t="s">
        <v>1266</v>
      </c>
    </row>
    <row r="259" spans="1:47" s="857" customFormat="1" ht="14.25" customHeight="1">
      <c r="A259" s="794">
        <v>257</v>
      </c>
      <c r="B259" s="857" t="s">
        <v>160</v>
      </c>
      <c r="C259" s="857" t="s">
        <v>1278</v>
      </c>
      <c r="D259" s="840">
        <v>40057</v>
      </c>
      <c r="E259" s="840">
        <v>40238</v>
      </c>
      <c r="F259" s="791">
        <v>2009</v>
      </c>
      <c r="G259" s="857" t="s">
        <v>623</v>
      </c>
      <c r="H259" s="790" t="s">
        <v>1451</v>
      </c>
      <c r="I259" s="857" t="s">
        <v>960</v>
      </c>
      <c r="J259" s="800" t="s">
        <v>2331</v>
      </c>
      <c r="K259" s="817">
        <v>5100</v>
      </c>
      <c r="L259" s="817">
        <v>160749</v>
      </c>
      <c r="M259" s="817">
        <v>160749</v>
      </c>
      <c r="N259" s="817">
        <v>160692</v>
      </c>
      <c r="O259" s="808">
        <f t="shared" si="18"/>
        <v>31.508235294117647</v>
      </c>
      <c r="P259" s="817">
        <v>100</v>
      </c>
      <c r="Q259" s="817"/>
      <c r="R259" s="817"/>
      <c r="S259" s="817"/>
      <c r="T259" s="817"/>
      <c r="U259" s="817"/>
      <c r="V259" s="817">
        <v>5100</v>
      </c>
      <c r="W259" s="817"/>
      <c r="X259" s="817"/>
      <c r="Y259" s="817"/>
      <c r="Z259" s="817"/>
      <c r="AA259" s="817"/>
      <c r="AB259" s="817"/>
      <c r="AC259" s="817"/>
      <c r="AD259" s="817"/>
      <c r="AE259" s="817"/>
      <c r="AF259" s="817"/>
      <c r="AG259" s="817"/>
      <c r="AH259" s="817"/>
      <c r="AI259" s="817"/>
      <c r="AJ259" s="787">
        <f t="shared" si="17"/>
        <v>0</v>
      </c>
      <c r="AK259" s="817"/>
      <c r="AL259" s="817"/>
      <c r="AM259" s="817"/>
      <c r="AN259" s="817"/>
      <c r="AO259" s="817"/>
      <c r="AP259" s="817"/>
      <c r="AQ259" s="817"/>
      <c r="AR259" s="817"/>
      <c r="AS259" s="817"/>
      <c r="AT259" s="817"/>
      <c r="AU259" s="320" t="s">
        <v>961</v>
      </c>
    </row>
    <row r="260" spans="1:47" s="857" customFormat="1" ht="16.5" customHeight="1">
      <c r="A260" s="794">
        <v>258</v>
      </c>
      <c r="B260" s="857" t="s">
        <v>353</v>
      </c>
      <c r="C260" s="857" t="s">
        <v>1299</v>
      </c>
      <c r="D260" s="840">
        <v>40026</v>
      </c>
      <c r="E260" s="840">
        <v>40179</v>
      </c>
      <c r="F260" s="791">
        <v>2009</v>
      </c>
      <c r="G260" s="857" t="s">
        <v>5</v>
      </c>
      <c r="H260" s="800" t="s">
        <v>1451</v>
      </c>
      <c r="I260" s="857" t="s">
        <v>970</v>
      </c>
      <c r="J260" s="812" t="s">
        <v>2438</v>
      </c>
      <c r="K260" s="817">
        <v>6000</v>
      </c>
      <c r="L260" s="817">
        <v>805260</v>
      </c>
      <c r="M260" s="817">
        <v>154986</v>
      </c>
      <c r="N260" s="817">
        <v>154986</v>
      </c>
      <c r="O260" s="808">
        <f t="shared" si="18"/>
        <v>25.831</v>
      </c>
      <c r="P260" s="817">
        <v>19</v>
      </c>
      <c r="Q260" s="817"/>
      <c r="R260" s="817"/>
      <c r="S260" s="817"/>
      <c r="T260" s="817"/>
      <c r="U260" s="817"/>
      <c r="V260" s="817">
        <v>6000</v>
      </c>
      <c r="W260" s="817">
        <v>231055</v>
      </c>
      <c r="X260" s="817">
        <v>400</v>
      </c>
      <c r="Y260" s="817"/>
      <c r="Z260" s="817"/>
      <c r="AA260" s="817"/>
      <c r="AB260" s="817">
        <v>80</v>
      </c>
      <c r="AC260" s="817"/>
      <c r="AD260" s="817"/>
      <c r="AE260" s="817"/>
      <c r="AF260" s="817"/>
      <c r="AG260" s="817"/>
      <c r="AH260" s="817"/>
      <c r="AI260" s="817"/>
      <c r="AJ260" s="787">
        <f t="shared" si="17"/>
        <v>0</v>
      </c>
      <c r="AK260" s="817">
        <v>17690</v>
      </c>
      <c r="AL260" s="817">
        <v>568</v>
      </c>
      <c r="AM260" s="817"/>
      <c r="AN260" s="817"/>
      <c r="AO260" s="817"/>
      <c r="AP260" s="817"/>
      <c r="AQ260" s="817"/>
      <c r="AR260" s="817"/>
      <c r="AS260" s="817"/>
      <c r="AT260" s="817"/>
      <c r="AU260" s="320" t="s">
        <v>971</v>
      </c>
    </row>
    <row r="261" spans="1:47" s="857" customFormat="1" ht="14.25" customHeight="1">
      <c r="A261" s="794">
        <v>259</v>
      </c>
      <c r="B261" s="857" t="s">
        <v>764</v>
      </c>
      <c r="C261" s="857" t="s">
        <v>1299</v>
      </c>
      <c r="D261" s="840">
        <v>39873</v>
      </c>
      <c r="E261" s="840">
        <v>40238</v>
      </c>
      <c r="F261" s="791">
        <v>2009</v>
      </c>
      <c r="G261" s="857" t="s">
        <v>5</v>
      </c>
      <c r="H261" s="800" t="s">
        <v>1451</v>
      </c>
      <c r="I261" s="857" t="s">
        <v>1277</v>
      </c>
      <c r="J261" s="800" t="s">
        <v>2331</v>
      </c>
      <c r="K261" s="817">
        <v>6000</v>
      </c>
      <c r="L261" s="817">
        <v>132235</v>
      </c>
      <c r="M261" s="817">
        <v>132235</v>
      </c>
      <c r="N261" s="817">
        <v>87116</v>
      </c>
      <c r="O261" s="808">
        <f t="shared" si="18"/>
        <v>14.519333333333334</v>
      </c>
      <c r="P261" s="817">
        <v>100</v>
      </c>
      <c r="Q261" s="817">
        <v>3080</v>
      </c>
      <c r="R261" s="817">
        <v>2200</v>
      </c>
      <c r="S261" s="817">
        <v>3080</v>
      </c>
      <c r="T261" s="817" t="s">
        <v>233</v>
      </c>
      <c r="U261" s="817" t="s">
        <v>134</v>
      </c>
      <c r="V261" s="817" t="s">
        <v>134</v>
      </c>
      <c r="W261" s="817">
        <v>8435</v>
      </c>
      <c r="X261" s="817">
        <v>8435</v>
      </c>
      <c r="Y261" s="808">
        <f>X261/S261</f>
        <v>2.7386363636363638</v>
      </c>
      <c r="Z261" s="817"/>
      <c r="AA261" s="817"/>
      <c r="AB261" s="817"/>
      <c r="AC261" s="817"/>
      <c r="AD261" s="817"/>
      <c r="AE261" s="817"/>
      <c r="AF261" s="817"/>
      <c r="AG261" s="817"/>
      <c r="AH261" s="817"/>
      <c r="AI261" s="817"/>
      <c r="AJ261" s="787">
        <f t="shared" si="17"/>
        <v>0</v>
      </c>
      <c r="AK261" s="817">
        <v>8534</v>
      </c>
      <c r="AL261" s="817">
        <v>8534</v>
      </c>
      <c r="AM261" s="817"/>
      <c r="AN261" s="817"/>
      <c r="AO261" s="817"/>
      <c r="AP261" s="817"/>
      <c r="AQ261" s="817"/>
      <c r="AR261" s="817"/>
      <c r="AS261" s="817"/>
      <c r="AT261" s="817"/>
      <c r="AU261" s="343" t="s">
        <v>1276</v>
      </c>
    </row>
    <row r="262" spans="1:47" s="857" customFormat="1" ht="20.25" customHeight="1">
      <c r="A262" s="794">
        <v>260</v>
      </c>
      <c r="B262" s="857" t="s">
        <v>1000</v>
      </c>
      <c r="C262" s="857" t="s">
        <v>1261</v>
      </c>
      <c r="D262" s="840">
        <v>40026</v>
      </c>
      <c r="E262" s="840">
        <v>40148</v>
      </c>
      <c r="F262" s="791">
        <v>2009</v>
      </c>
      <c r="G262" s="857" t="s">
        <v>1001</v>
      </c>
      <c r="H262" s="790" t="s">
        <v>1449</v>
      </c>
      <c r="I262" s="857" t="s">
        <v>1002</v>
      </c>
      <c r="J262" s="800" t="s">
        <v>2331</v>
      </c>
      <c r="K262" s="817">
        <v>8000</v>
      </c>
      <c r="L262" s="817">
        <v>50000</v>
      </c>
      <c r="M262" s="817">
        <v>50000</v>
      </c>
      <c r="N262" s="817">
        <v>45718</v>
      </c>
      <c r="O262" s="808">
        <f t="shared" si="18"/>
        <v>5.7147500000000004</v>
      </c>
      <c r="P262" s="817">
        <v>100</v>
      </c>
      <c r="Q262" s="817"/>
      <c r="R262" s="817"/>
      <c r="S262" s="817"/>
      <c r="T262" s="817"/>
      <c r="U262" s="817"/>
      <c r="V262" s="817"/>
      <c r="W262" s="817"/>
      <c r="X262" s="817"/>
      <c r="Y262" s="817"/>
      <c r="Z262" s="817"/>
      <c r="AA262" s="817">
        <v>1200</v>
      </c>
      <c r="AB262" s="817"/>
      <c r="AC262" s="817"/>
      <c r="AD262" s="817"/>
      <c r="AE262" s="817"/>
      <c r="AF262" s="817"/>
      <c r="AG262" s="817"/>
      <c r="AH262" s="817"/>
      <c r="AI262" s="817"/>
      <c r="AJ262" s="787">
        <f t="shared" si="17"/>
        <v>1200</v>
      </c>
      <c r="AK262" s="817">
        <v>33022</v>
      </c>
      <c r="AL262" s="817">
        <v>16264</v>
      </c>
      <c r="AM262" s="817"/>
      <c r="AN262" s="817"/>
      <c r="AO262" s="817"/>
      <c r="AP262" s="817"/>
      <c r="AQ262" s="817"/>
      <c r="AR262" s="817"/>
      <c r="AS262" s="817"/>
      <c r="AT262" s="817"/>
      <c r="AU262" s="817" t="s">
        <v>1003</v>
      </c>
    </row>
    <row r="263" spans="1:47" s="857" customFormat="1" ht="12" customHeight="1">
      <c r="A263" s="794">
        <v>261</v>
      </c>
      <c r="B263" s="857" t="s">
        <v>332</v>
      </c>
      <c r="C263" s="857" t="s">
        <v>1299</v>
      </c>
      <c r="D263" s="840">
        <v>40087</v>
      </c>
      <c r="E263" s="840">
        <v>40422</v>
      </c>
      <c r="F263" s="791">
        <v>2009</v>
      </c>
      <c r="G263" s="857" t="s">
        <v>615</v>
      </c>
      <c r="H263" s="790" t="s">
        <v>1452</v>
      </c>
      <c r="I263" s="857" t="s">
        <v>1059</v>
      </c>
      <c r="J263" s="800" t="s">
        <v>2331</v>
      </c>
      <c r="K263" s="817">
        <v>10000</v>
      </c>
      <c r="L263" s="817">
        <v>415447</v>
      </c>
      <c r="M263" s="817">
        <v>418448</v>
      </c>
      <c r="N263" s="817">
        <v>415849</v>
      </c>
      <c r="O263" s="808">
        <f t="shared" si="18"/>
        <v>41.584899999999998</v>
      </c>
      <c r="P263" s="817">
        <v>100</v>
      </c>
      <c r="Q263" s="817"/>
      <c r="R263" s="817"/>
      <c r="S263" s="817"/>
      <c r="T263" s="817"/>
      <c r="U263" s="817"/>
      <c r="V263" s="817">
        <v>10000</v>
      </c>
      <c r="W263" s="817">
        <v>8000</v>
      </c>
      <c r="X263" s="817">
        <v>9914</v>
      </c>
      <c r="Y263" s="817"/>
      <c r="Z263" s="817"/>
      <c r="AA263" s="817"/>
      <c r="AB263" s="817">
        <v>69</v>
      </c>
      <c r="AC263" s="817"/>
      <c r="AD263" s="817"/>
      <c r="AE263" s="817"/>
      <c r="AF263" s="817"/>
      <c r="AG263" s="817"/>
      <c r="AH263" s="817"/>
      <c r="AI263" s="817"/>
      <c r="AJ263" s="787">
        <f t="shared" si="17"/>
        <v>0</v>
      </c>
      <c r="AK263" s="817"/>
      <c r="AL263" s="817"/>
      <c r="AM263" s="817"/>
      <c r="AN263" s="817"/>
      <c r="AO263" s="817"/>
      <c r="AP263" s="817"/>
      <c r="AQ263" s="817"/>
      <c r="AR263" s="817"/>
      <c r="AS263" s="817"/>
      <c r="AT263" s="817"/>
      <c r="AU263" s="817" t="s">
        <v>1060</v>
      </c>
    </row>
    <row r="264" spans="1:47" s="857" customFormat="1" ht="21" customHeight="1">
      <c r="A264" s="794">
        <v>262</v>
      </c>
      <c r="B264" s="857" t="s">
        <v>170</v>
      </c>
      <c r="C264" s="857" t="s">
        <v>1299</v>
      </c>
      <c r="D264" s="840">
        <v>40057</v>
      </c>
      <c r="E264" s="840">
        <v>40299</v>
      </c>
      <c r="F264" s="791">
        <v>2009</v>
      </c>
      <c r="G264" s="857" t="s">
        <v>512</v>
      </c>
      <c r="H264" s="800" t="s">
        <v>1452</v>
      </c>
      <c r="I264" s="857" t="s">
        <v>1067</v>
      </c>
      <c r="J264" s="800" t="s">
        <v>2331</v>
      </c>
      <c r="K264" s="817">
        <v>10000</v>
      </c>
      <c r="L264" s="817">
        <v>247375</v>
      </c>
      <c r="M264" s="817">
        <v>247375</v>
      </c>
      <c r="N264" s="817">
        <v>247302</v>
      </c>
      <c r="O264" s="808">
        <f t="shared" si="18"/>
        <v>24.7302</v>
      </c>
      <c r="P264" s="817">
        <v>100</v>
      </c>
      <c r="Q264" s="817">
        <v>8500</v>
      </c>
      <c r="R264" s="817">
        <v>3180</v>
      </c>
      <c r="S264" s="817">
        <v>8500</v>
      </c>
      <c r="T264" s="817" t="s">
        <v>233</v>
      </c>
      <c r="U264" s="817">
        <v>60</v>
      </c>
      <c r="V264" s="817">
        <v>50000</v>
      </c>
      <c r="W264" s="817">
        <v>44700</v>
      </c>
      <c r="X264" s="817">
        <v>26251</v>
      </c>
      <c r="Y264" s="808">
        <f>X264/S264</f>
        <v>3.0883529411764705</v>
      </c>
      <c r="Z264" s="817"/>
      <c r="AA264" s="817">
        <v>9200</v>
      </c>
      <c r="AB264" s="817">
        <v>46</v>
      </c>
      <c r="AC264" s="817"/>
      <c r="AD264" s="817"/>
      <c r="AE264" s="817">
        <v>132</v>
      </c>
      <c r="AF264" s="817"/>
      <c r="AG264" s="817"/>
      <c r="AH264" s="817"/>
      <c r="AI264" s="817"/>
      <c r="AJ264" s="787">
        <f t="shared" si="17"/>
        <v>9200</v>
      </c>
      <c r="AK264" s="817">
        <v>19100</v>
      </c>
      <c r="AL264" s="817">
        <v>19100</v>
      </c>
      <c r="AM264" s="817"/>
      <c r="AN264" s="817"/>
      <c r="AO264" s="817"/>
      <c r="AP264" s="817"/>
      <c r="AQ264" s="817"/>
      <c r="AR264" s="817"/>
      <c r="AS264" s="817"/>
      <c r="AT264" s="817" t="s">
        <v>1068</v>
      </c>
      <c r="AU264" s="343" t="s">
        <v>1066</v>
      </c>
    </row>
    <row r="265" spans="1:47" s="857" customFormat="1" ht="15.75" customHeight="1">
      <c r="A265" s="794">
        <v>263</v>
      </c>
      <c r="B265" s="857" t="s">
        <v>1135</v>
      </c>
      <c r="C265" s="857" t="s">
        <v>1261</v>
      </c>
      <c r="D265" s="840">
        <v>39995</v>
      </c>
      <c r="E265" s="840">
        <v>40422</v>
      </c>
      <c r="F265" s="791">
        <v>2009</v>
      </c>
      <c r="G265" s="857" t="s">
        <v>5</v>
      </c>
      <c r="H265" s="790" t="s">
        <v>1451</v>
      </c>
      <c r="I265" s="857" t="s">
        <v>1236</v>
      </c>
      <c r="J265" s="800" t="s">
        <v>2331</v>
      </c>
      <c r="K265" s="817">
        <v>10000</v>
      </c>
      <c r="L265" s="817">
        <v>240000</v>
      </c>
      <c r="M265" s="817">
        <v>240000</v>
      </c>
      <c r="N265" s="817">
        <v>238304</v>
      </c>
      <c r="O265" s="808">
        <f t="shared" si="18"/>
        <v>23.830400000000001</v>
      </c>
      <c r="P265" s="817">
        <v>100</v>
      </c>
      <c r="Q265" s="817"/>
      <c r="R265" s="817"/>
      <c r="S265" s="817"/>
      <c r="T265" s="817"/>
      <c r="U265" s="817"/>
      <c r="V265" s="817">
        <v>9500</v>
      </c>
      <c r="W265" s="817"/>
      <c r="X265" s="817">
        <v>10544</v>
      </c>
      <c r="Y265" s="817"/>
      <c r="Z265" s="817"/>
      <c r="AA265" s="817"/>
      <c r="AB265" s="817">
        <v>90</v>
      </c>
      <c r="AC265" s="817"/>
      <c r="AD265" s="817"/>
      <c r="AE265" s="817"/>
      <c r="AF265" s="817"/>
      <c r="AG265" s="817"/>
      <c r="AH265" s="817"/>
      <c r="AI265" s="817"/>
      <c r="AJ265" s="787">
        <f t="shared" si="17"/>
        <v>0</v>
      </c>
      <c r="AK265" s="817"/>
      <c r="AL265" s="817"/>
      <c r="AM265" s="817"/>
      <c r="AN265" s="817"/>
      <c r="AO265" s="817"/>
      <c r="AP265" s="817"/>
      <c r="AQ265" s="817"/>
      <c r="AR265" s="817"/>
      <c r="AS265" s="817" t="s">
        <v>2</v>
      </c>
      <c r="AT265" s="817"/>
      <c r="AU265" s="857" t="s">
        <v>1237</v>
      </c>
    </row>
    <row r="266" spans="1:47" s="857" customFormat="1" ht="12" customHeight="1">
      <c r="A266" s="794">
        <v>264</v>
      </c>
      <c r="B266" s="785" t="s">
        <v>270</v>
      </c>
      <c r="C266" s="785" t="s">
        <v>1299</v>
      </c>
      <c r="D266" s="792">
        <v>39814</v>
      </c>
      <c r="E266" s="792">
        <v>39904</v>
      </c>
      <c r="F266" s="791">
        <v>2009</v>
      </c>
      <c r="G266" s="789" t="s">
        <v>679</v>
      </c>
      <c r="H266" s="800" t="s">
        <v>1449</v>
      </c>
      <c r="I266" s="785" t="s">
        <v>678</v>
      </c>
      <c r="J266" s="800" t="s">
        <v>2331</v>
      </c>
      <c r="K266" s="842">
        <v>15000</v>
      </c>
      <c r="L266" s="842">
        <v>146404</v>
      </c>
      <c r="M266" s="842">
        <v>145321</v>
      </c>
      <c r="N266" s="842">
        <v>145321</v>
      </c>
      <c r="O266" s="808">
        <f t="shared" si="18"/>
        <v>9.6880666666666659</v>
      </c>
      <c r="P266" s="842">
        <v>99</v>
      </c>
      <c r="Q266" s="842">
        <v>3290</v>
      </c>
      <c r="R266" s="849">
        <v>2250</v>
      </c>
      <c r="S266" s="842">
        <v>3290</v>
      </c>
      <c r="T266" s="842" t="s">
        <v>95</v>
      </c>
      <c r="U266" s="842">
        <v>130</v>
      </c>
      <c r="V266" s="842" t="s">
        <v>339</v>
      </c>
      <c r="W266" s="842">
        <v>30804</v>
      </c>
      <c r="X266" s="842">
        <v>24283</v>
      </c>
      <c r="Y266" s="808">
        <f>X266/S266</f>
        <v>7.3808510638297875</v>
      </c>
      <c r="Z266" s="842" t="s">
        <v>75</v>
      </c>
      <c r="AA266" s="842">
        <v>138000</v>
      </c>
      <c r="AB266" s="842">
        <v>130</v>
      </c>
      <c r="AC266" s="842" t="s">
        <v>75</v>
      </c>
      <c r="AD266" s="842" t="s">
        <v>75</v>
      </c>
      <c r="AE266" s="842" t="s">
        <v>75</v>
      </c>
      <c r="AF266" s="842" t="s">
        <v>75</v>
      </c>
      <c r="AG266" s="842" t="s">
        <v>75</v>
      </c>
      <c r="AH266" s="842" t="s">
        <v>75</v>
      </c>
      <c r="AI266" s="842" t="s">
        <v>75</v>
      </c>
      <c r="AJ266" s="787">
        <f t="shared" si="17"/>
        <v>138000</v>
      </c>
      <c r="AK266" s="842">
        <v>450</v>
      </c>
      <c r="AL266" s="842">
        <v>445.5</v>
      </c>
      <c r="AM266" s="842"/>
      <c r="AN266" s="842" t="s">
        <v>75</v>
      </c>
      <c r="AO266" s="842" t="s">
        <v>75</v>
      </c>
      <c r="AP266" s="842" t="s">
        <v>75</v>
      </c>
      <c r="AQ266" s="842" t="s">
        <v>75</v>
      </c>
      <c r="AR266" s="842" t="s">
        <v>75</v>
      </c>
      <c r="AS266" s="842" t="s">
        <v>75</v>
      </c>
      <c r="AT266" s="842" t="s">
        <v>75</v>
      </c>
      <c r="AU266" s="276" t="s">
        <v>677</v>
      </c>
    </row>
    <row r="267" spans="1:47" s="857" customFormat="1" ht="13.5" customHeight="1">
      <c r="A267" s="794">
        <v>265</v>
      </c>
      <c r="B267" s="857" t="s">
        <v>248</v>
      </c>
      <c r="C267" s="857" t="s">
        <v>1299</v>
      </c>
      <c r="D267" s="840">
        <v>40057</v>
      </c>
      <c r="E267" s="840">
        <v>40238</v>
      </c>
      <c r="F267" s="791">
        <v>2009</v>
      </c>
      <c r="G267" s="857" t="s">
        <v>5</v>
      </c>
      <c r="H267" s="800" t="s">
        <v>1451</v>
      </c>
      <c r="I267" s="857" t="s">
        <v>1011</v>
      </c>
      <c r="J267" s="812" t="s">
        <v>2438</v>
      </c>
      <c r="K267" s="817">
        <v>25000</v>
      </c>
      <c r="L267" s="817">
        <v>2113583</v>
      </c>
      <c r="M267" s="817">
        <v>1030629</v>
      </c>
      <c r="N267" s="817">
        <v>1030210</v>
      </c>
      <c r="O267" s="808">
        <f t="shared" si="18"/>
        <v>41.208399999999997</v>
      </c>
      <c r="P267" s="817">
        <v>49</v>
      </c>
      <c r="Q267" s="817">
        <v>17500</v>
      </c>
      <c r="R267" s="817">
        <v>200</v>
      </c>
      <c r="S267" s="817">
        <v>17500</v>
      </c>
      <c r="T267" s="817" t="s">
        <v>233</v>
      </c>
      <c r="U267" s="817">
        <v>80</v>
      </c>
      <c r="V267" s="817">
        <v>17500</v>
      </c>
      <c r="W267" s="817">
        <v>155800</v>
      </c>
      <c r="X267" s="817">
        <v>76342</v>
      </c>
      <c r="Y267" s="808">
        <f>X267/S267</f>
        <v>4.3624000000000001</v>
      </c>
      <c r="Z267" s="817">
        <v>16435</v>
      </c>
      <c r="AA267" s="817">
        <v>25000</v>
      </c>
      <c r="AB267" s="817"/>
      <c r="AC267" s="817"/>
      <c r="AD267" s="817"/>
      <c r="AE267" s="817">
        <v>6574</v>
      </c>
      <c r="AF267" s="817"/>
      <c r="AG267" s="817"/>
      <c r="AH267" s="817"/>
      <c r="AI267" s="817"/>
      <c r="AJ267" s="787">
        <f t="shared" si="17"/>
        <v>41435</v>
      </c>
      <c r="AK267" s="817">
        <v>0</v>
      </c>
      <c r="AL267" s="817">
        <v>1800</v>
      </c>
      <c r="AM267" s="817"/>
      <c r="AN267" s="817"/>
      <c r="AO267" s="817"/>
      <c r="AP267" s="817"/>
      <c r="AQ267" s="817"/>
      <c r="AR267" s="817"/>
      <c r="AS267" s="817">
        <v>2</v>
      </c>
      <c r="AT267" s="817"/>
      <c r="AU267" s="320" t="s">
        <v>1012</v>
      </c>
    </row>
    <row r="268" spans="1:47" s="857" customFormat="1" ht="19.5" customHeight="1">
      <c r="A268" s="794">
        <v>266</v>
      </c>
      <c r="B268" s="785" t="s">
        <v>2369</v>
      </c>
      <c r="C268" s="785" t="s">
        <v>1299</v>
      </c>
      <c r="D268" s="792">
        <v>40057</v>
      </c>
      <c r="E268" s="792">
        <v>40299</v>
      </c>
      <c r="F268" s="791">
        <v>2009</v>
      </c>
      <c r="G268" s="789" t="s">
        <v>5</v>
      </c>
      <c r="H268" s="800" t="s">
        <v>1451</v>
      </c>
      <c r="I268" s="785" t="s">
        <v>978</v>
      </c>
      <c r="J268" s="800" t="s">
        <v>2331</v>
      </c>
      <c r="K268" s="842">
        <v>17000</v>
      </c>
      <c r="L268" s="842">
        <v>200001</v>
      </c>
      <c r="M268" s="842">
        <v>199825</v>
      </c>
      <c r="N268" s="842">
        <v>199825</v>
      </c>
      <c r="O268" s="808">
        <f t="shared" si="18"/>
        <v>11.754411764705882</v>
      </c>
      <c r="P268" s="842">
        <v>100</v>
      </c>
      <c r="Q268" s="842">
        <v>25000</v>
      </c>
      <c r="R268" s="842"/>
      <c r="S268" s="842">
        <v>25000</v>
      </c>
      <c r="T268" s="842"/>
      <c r="U268" s="842">
        <v>380</v>
      </c>
      <c r="V268" s="842">
        <v>50100</v>
      </c>
      <c r="W268" s="842"/>
      <c r="X268" s="842"/>
      <c r="Y268" s="808">
        <f>X268/S268</f>
        <v>0</v>
      </c>
      <c r="Z268" s="842"/>
      <c r="AA268" s="817">
        <v>50100</v>
      </c>
      <c r="AB268" s="817">
        <v>386</v>
      </c>
      <c r="AC268" s="817"/>
      <c r="AD268" s="817"/>
      <c r="AE268" s="817">
        <v>1000</v>
      </c>
      <c r="AF268" s="842"/>
      <c r="AG268" s="842"/>
      <c r="AH268" s="842"/>
      <c r="AI268" s="842"/>
      <c r="AJ268" s="787">
        <f t="shared" si="17"/>
        <v>50100</v>
      </c>
      <c r="AK268" s="842"/>
      <c r="AL268" s="842"/>
      <c r="AM268" s="842"/>
      <c r="AN268" s="842"/>
      <c r="AO268" s="842"/>
      <c r="AP268" s="842"/>
      <c r="AQ268" s="842"/>
      <c r="AR268" s="842"/>
      <c r="AS268" s="842" t="s">
        <v>2</v>
      </c>
      <c r="AT268" s="842"/>
      <c r="AU268" s="346" t="s">
        <v>979</v>
      </c>
    </row>
    <row r="269" spans="1:47" s="857" customFormat="1" ht="14.25" customHeight="1">
      <c r="A269" s="794">
        <v>267</v>
      </c>
      <c r="B269" s="857" t="s">
        <v>171</v>
      </c>
      <c r="C269" s="857" t="s">
        <v>1299</v>
      </c>
      <c r="D269" s="840">
        <v>39904</v>
      </c>
      <c r="E269" s="840">
        <v>40026</v>
      </c>
      <c r="F269" s="791">
        <v>2009</v>
      </c>
      <c r="G269" s="857" t="s">
        <v>989</v>
      </c>
      <c r="H269" s="790" t="s">
        <v>1461</v>
      </c>
      <c r="I269" s="857" t="s">
        <v>990</v>
      </c>
      <c r="J269" s="812" t="s">
        <v>2438</v>
      </c>
      <c r="K269" s="817">
        <v>18866</v>
      </c>
      <c r="L269" s="817">
        <v>545134</v>
      </c>
      <c r="M269" s="817">
        <v>231233</v>
      </c>
      <c r="N269" s="817">
        <v>231224</v>
      </c>
      <c r="O269" s="808">
        <f t="shared" si="18"/>
        <v>12.256122124456695</v>
      </c>
      <c r="P269" s="817">
        <v>42</v>
      </c>
      <c r="Q269" s="817" t="s">
        <v>339</v>
      </c>
      <c r="R269" s="817" t="s">
        <v>339</v>
      </c>
      <c r="S269" s="817" t="s">
        <v>339</v>
      </c>
      <c r="T269" s="817"/>
      <c r="U269" s="817"/>
      <c r="V269" s="817">
        <v>17500</v>
      </c>
      <c r="W269" s="817">
        <v>31300</v>
      </c>
      <c r="X269" s="817">
        <v>19322</v>
      </c>
      <c r="Y269" s="817"/>
      <c r="Z269" s="817" t="s">
        <v>2</v>
      </c>
      <c r="AA269" s="817">
        <v>10000</v>
      </c>
      <c r="AB269" s="817">
        <v>25</v>
      </c>
      <c r="AC269" s="817"/>
      <c r="AD269" s="817"/>
      <c r="AE269" s="817"/>
      <c r="AF269" s="817"/>
      <c r="AG269" s="817"/>
      <c r="AH269" s="817"/>
      <c r="AI269" s="817"/>
      <c r="AJ269" s="787">
        <f t="shared" si="17"/>
        <v>10000</v>
      </c>
      <c r="AK269" s="817">
        <v>31500</v>
      </c>
      <c r="AL269" s="817">
        <v>15973</v>
      </c>
      <c r="AM269" s="817"/>
      <c r="AN269" s="817"/>
      <c r="AO269" s="817"/>
      <c r="AP269" s="817"/>
      <c r="AQ269" s="817"/>
      <c r="AR269" s="817"/>
      <c r="AS269" s="817"/>
      <c r="AT269" s="817"/>
      <c r="AU269" s="817" t="s">
        <v>991</v>
      </c>
    </row>
    <row r="270" spans="1:47" s="798" customFormat="1" ht="13.5" customHeight="1">
      <c r="A270" s="794">
        <v>268</v>
      </c>
      <c r="B270" s="857" t="s">
        <v>477</v>
      </c>
      <c r="C270" s="857" t="s">
        <v>1299</v>
      </c>
      <c r="D270" s="840">
        <v>39995</v>
      </c>
      <c r="E270" s="840">
        <v>40391</v>
      </c>
      <c r="F270" s="791">
        <v>2009</v>
      </c>
      <c r="G270" s="857" t="s">
        <v>5</v>
      </c>
      <c r="H270" s="790" t="s">
        <v>1458</v>
      </c>
      <c r="I270" s="857" t="s">
        <v>1131</v>
      </c>
      <c r="J270" s="800" t="s">
        <v>2331</v>
      </c>
      <c r="K270" s="817">
        <v>22035</v>
      </c>
      <c r="L270" s="817">
        <v>574355</v>
      </c>
      <c r="M270" s="817">
        <v>574355</v>
      </c>
      <c r="N270" s="817">
        <v>311806</v>
      </c>
      <c r="O270" s="808">
        <f t="shared" si="18"/>
        <v>14.150487860222373</v>
      </c>
      <c r="P270" s="817">
        <v>100</v>
      </c>
      <c r="Q270" s="817">
        <v>230000</v>
      </c>
      <c r="R270" s="817" t="s">
        <v>75</v>
      </c>
      <c r="S270" s="817">
        <v>230000</v>
      </c>
      <c r="T270" s="817" t="s">
        <v>2</v>
      </c>
      <c r="U270" s="817">
        <v>267</v>
      </c>
      <c r="V270" s="817">
        <v>18030</v>
      </c>
      <c r="W270" s="817">
        <v>186677</v>
      </c>
      <c r="X270" s="817">
        <v>15590</v>
      </c>
      <c r="Y270" s="808">
        <f>X270/S270</f>
        <v>6.7782608695652169E-2</v>
      </c>
      <c r="Z270" s="817"/>
      <c r="AA270" s="817"/>
      <c r="AB270" s="817"/>
      <c r="AC270" s="817"/>
      <c r="AD270" s="817"/>
      <c r="AE270" s="817">
        <v>4407</v>
      </c>
      <c r="AF270" s="817"/>
      <c r="AG270" s="817"/>
      <c r="AH270" s="817"/>
      <c r="AI270" s="817"/>
      <c r="AJ270" s="787">
        <f t="shared" si="17"/>
        <v>0</v>
      </c>
      <c r="AK270" s="817" t="s">
        <v>66</v>
      </c>
      <c r="AL270" s="817" t="s">
        <v>66</v>
      </c>
      <c r="AM270" s="817"/>
      <c r="AN270" s="817"/>
      <c r="AO270" s="817"/>
      <c r="AP270" s="817"/>
      <c r="AQ270" s="817"/>
      <c r="AR270" s="817"/>
      <c r="AS270" s="817" t="s">
        <v>204</v>
      </c>
      <c r="AT270" s="817"/>
      <c r="AU270" s="857" t="s">
        <v>1130</v>
      </c>
    </row>
    <row r="271" spans="1:47" s="857" customFormat="1" ht="16.5" customHeight="1">
      <c r="A271" s="794">
        <v>269</v>
      </c>
      <c r="B271" s="857" t="s">
        <v>992</v>
      </c>
      <c r="C271" s="857" t="s">
        <v>1286</v>
      </c>
      <c r="D271" s="840">
        <v>39845</v>
      </c>
      <c r="E271" s="840">
        <v>40087</v>
      </c>
      <c r="F271" s="791">
        <v>2009</v>
      </c>
      <c r="G271" s="857" t="s">
        <v>5</v>
      </c>
      <c r="H271" s="800" t="s">
        <v>1451</v>
      </c>
      <c r="I271" s="857" t="s">
        <v>993</v>
      </c>
      <c r="J271" s="812" t="s">
        <v>2438</v>
      </c>
      <c r="K271" s="817">
        <v>25000</v>
      </c>
      <c r="L271" s="817">
        <v>486453</v>
      </c>
      <c r="M271" s="817">
        <v>486852</v>
      </c>
      <c r="N271" s="817">
        <v>473438</v>
      </c>
      <c r="O271" s="808">
        <f t="shared" si="18"/>
        <v>18.937519999999999</v>
      </c>
      <c r="P271" s="817">
        <v>100</v>
      </c>
      <c r="Q271" s="817">
        <v>10000</v>
      </c>
      <c r="R271" s="817">
        <v>1865</v>
      </c>
      <c r="S271" s="817">
        <v>10000</v>
      </c>
      <c r="T271" s="817" t="s">
        <v>233</v>
      </c>
      <c r="U271" s="817"/>
      <c r="V271" s="817">
        <v>750</v>
      </c>
      <c r="W271" s="817">
        <v>23084</v>
      </c>
      <c r="X271" s="817">
        <v>16972</v>
      </c>
      <c r="Y271" s="808">
        <f>X271/S271</f>
        <v>1.6972</v>
      </c>
      <c r="Z271" s="817">
        <v>200</v>
      </c>
      <c r="AA271" s="817"/>
      <c r="AB271" s="817">
        <v>68</v>
      </c>
      <c r="AC271" s="817"/>
      <c r="AD271" s="817"/>
      <c r="AE271" s="817">
        <v>6000</v>
      </c>
      <c r="AF271" s="817"/>
      <c r="AG271" s="817"/>
      <c r="AH271" s="817"/>
      <c r="AI271" s="817"/>
      <c r="AJ271" s="787">
        <f t="shared" si="17"/>
        <v>200</v>
      </c>
      <c r="AK271" s="817">
        <v>1800</v>
      </c>
      <c r="AL271" s="817">
        <v>6865</v>
      </c>
      <c r="AM271" s="817"/>
      <c r="AN271" s="817"/>
      <c r="AO271" s="817"/>
      <c r="AP271" s="817"/>
      <c r="AQ271" s="817"/>
      <c r="AR271" s="817"/>
      <c r="AS271" s="817"/>
      <c r="AT271" s="817" t="s">
        <v>1039</v>
      </c>
      <c r="AU271" s="320" t="s">
        <v>1028</v>
      </c>
    </row>
    <row r="272" spans="1:47" s="857" customFormat="1" ht="17.25" customHeight="1">
      <c r="A272" s="794">
        <v>270</v>
      </c>
      <c r="B272" s="857" t="s">
        <v>1234</v>
      </c>
      <c r="C272" s="857" t="s">
        <v>1299</v>
      </c>
      <c r="D272" s="840">
        <v>39814</v>
      </c>
      <c r="E272" s="840">
        <v>40148</v>
      </c>
      <c r="F272" s="791">
        <v>2009</v>
      </c>
      <c r="G272" s="857" t="s">
        <v>1233</v>
      </c>
      <c r="H272" s="800" t="s">
        <v>1451</v>
      </c>
      <c r="I272" s="857" t="s">
        <v>1232</v>
      </c>
      <c r="J272" s="800" t="s">
        <v>2331</v>
      </c>
      <c r="K272" s="817">
        <v>25000</v>
      </c>
      <c r="L272" s="817">
        <v>392792</v>
      </c>
      <c r="M272" s="817">
        <v>392791</v>
      </c>
      <c r="N272" s="817">
        <v>392791</v>
      </c>
      <c r="O272" s="808">
        <f t="shared" si="18"/>
        <v>15.711639999999999</v>
      </c>
      <c r="P272" s="817">
        <v>100</v>
      </c>
      <c r="Q272" s="817">
        <v>25000</v>
      </c>
      <c r="R272" s="817">
        <v>1118</v>
      </c>
      <c r="S272" s="817">
        <v>2950</v>
      </c>
      <c r="T272" s="817" t="s">
        <v>2</v>
      </c>
      <c r="U272" s="817">
        <v>94</v>
      </c>
      <c r="V272" s="817">
        <v>98216</v>
      </c>
      <c r="W272" s="817">
        <v>75502</v>
      </c>
      <c r="X272" s="817">
        <v>75502</v>
      </c>
      <c r="Y272" s="808">
        <f>X272/S272</f>
        <v>25.593898305084746</v>
      </c>
      <c r="Z272" s="817"/>
      <c r="AA272" s="817">
        <v>3965</v>
      </c>
      <c r="AB272" s="817"/>
      <c r="AC272" s="817" t="s">
        <v>2</v>
      </c>
      <c r="AD272" s="817"/>
      <c r="AE272" s="817"/>
      <c r="AF272" s="817"/>
      <c r="AG272" s="817"/>
      <c r="AH272" s="817">
        <v>4385</v>
      </c>
      <c r="AI272" s="817"/>
      <c r="AJ272" s="787">
        <f t="shared" si="17"/>
        <v>8350</v>
      </c>
      <c r="AK272" s="817">
        <v>24161</v>
      </c>
      <c r="AL272" s="817">
        <v>24161</v>
      </c>
      <c r="AM272" s="817"/>
      <c r="AN272" s="817"/>
      <c r="AO272" s="817"/>
      <c r="AP272" s="817"/>
      <c r="AQ272" s="817"/>
      <c r="AR272" s="817"/>
      <c r="AS272" s="817"/>
      <c r="AT272" s="817"/>
      <c r="AU272" s="343" t="s">
        <v>1235</v>
      </c>
    </row>
    <row r="273" spans="1:47" s="857" customFormat="1" ht="15" customHeight="1">
      <c r="A273" s="794">
        <v>271</v>
      </c>
      <c r="B273" s="836" t="s">
        <v>2370</v>
      </c>
      <c r="C273" s="785" t="s">
        <v>1299</v>
      </c>
      <c r="D273" s="792">
        <v>40057</v>
      </c>
      <c r="E273" s="792">
        <v>40299</v>
      </c>
      <c r="F273" s="791">
        <v>2009</v>
      </c>
      <c r="G273" s="789" t="s">
        <v>1472</v>
      </c>
      <c r="H273" s="800" t="s">
        <v>1451</v>
      </c>
      <c r="I273" s="785" t="s">
        <v>1473</v>
      </c>
      <c r="J273" s="812" t="s">
        <v>2438</v>
      </c>
      <c r="K273" s="842">
        <v>25000</v>
      </c>
      <c r="L273" s="842">
        <v>918517</v>
      </c>
      <c r="M273" s="842">
        <v>740314</v>
      </c>
      <c r="N273" s="842"/>
      <c r="O273" s="808">
        <f t="shared" ref="O273:O302" si="19">N273/K273</f>
        <v>0</v>
      </c>
      <c r="P273" s="842"/>
      <c r="Q273" s="842">
        <v>25000</v>
      </c>
      <c r="R273" s="842">
        <v>25000</v>
      </c>
      <c r="S273" s="842">
        <v>25000</v>
      </c>
      <c r="T273" s="842"/>
      <c r="U273" s="842"/>
      <c r="V273" s="842">
        <v>25000</v>
      </c>
      <c r="W273" s="842"/>
      <c r="X273" s="842"/>
      <c r="Y273" s="808">
        <f>X273/S273</f>
        <v>0</v>
      </c>
      <c r="Z273" s="842"/>
      <c r="AA273" s="842"/>
      <c r="AB273" s="842"/>
      <c r="AC273" s="842"/>
      <c r="AD273" s="842"/>
      <c r="AE273" s="842"/>
      <c r="AF273" s="842"/>
      <c r="AG273" s="842"/>
      <c r="AH273" s="842"/>
      <c r="AI273" s="842"/>
      <c r="AJ273" s="787">
        <f t="shared" si="17"/>
        <v>0</v>
      </c>
      <c r="AK273" s="842"/>
      <c r="AL273" s="842"/>
      <c r="AM273" s="842"/>
      <c r="AN273" s="842"/>
      <c r="AO273" s="842"/>
      <c r="AP273" s="842"/>
      <c r="AQ273" s="842"/>
      <c r="AR273" s="842"/>
      <c r="AS273" s="842"/>
      <c r="AT273" s="842"/>
      <c r="AU273" s="346" t="s">
        <v>1474</v>
      </c>
    </row>
    <row r="274" spans="1:47" s="857" customFormat="1" ht="13.5" customHeight="1">
      <c r="A274" s="794">
        <v>272</v>
      </c>
      <c r="B274" s="857" t="s">
        <v>140</v>
      </c>
      <c r="C274" s="857" t="s">
        <v>1299</v>
      </c>
      <c r="D274" s="840">
        <v>40148</v>
      </c>
      <c r="E274" s="840">
        <v>40238</v>
      </c>
      <c r="F274" s="791">
        <v>2009</v>
      </c>
      <c r="G274" s="857" t="s">
        <v>24</v>
      </c>
      <c r="H274" s="790" t="s">
        <v>1454</v>
      </c>
      <c r="I274" s="857" t="s">
        <v>1204</v>
      </c>
      <c r="J274" s="800" t="s">
        <v>2331</v>
      </c>
      <c r="K274" s="817">
        <v>30000</v>
      </c>
      <c r="L274" s="817">
        <v>558799</v>
      </c>
      <c r="M274" s="817">
        <v>461720</v>
      </c>
      <c r="N274" s="817">
        <v>461720</v>
      </c>
      <c r="O274" s="808">
        <f t="shared" si="19"/>
        <v>15.390666666666666</v>
      </c>
      <c r="P274" s="817">
        <v>83</v>
      </c>
      <c r="Q274" s="817" t="s">
        <v>75</v>
      </c>
      <c r="R274" s="817" t="s">
        <v>75</v>
      </c>
      <c r="S274" s="817" t="s">
        <v>75</v>
      </c>
      <c r="T274" s="817" t="s">
        <v>233</v>
      </c>
      <c r="U274" s="817" t="s">
        <v>75</v>
      </c>
      <c r="V274" s="817" t="s">
        <v>75</v>
      </c>
      <c r="W274" s="817" t="s">
        <v>66</v>
      </c>
      <c r="X274" s="817" t="s">
        <v>66</v>
      </c>
      <c r="Y274" s="817"/>
      <c r="Z274" s="817"/>
      <c r="AA274" s="817"/>
      <c r="AB274" s="817"/>
      <c r="AC274" s="817"/>
      <c r="AD274" s="817"/>
      <c r="AE274" s="817">
        <v>5835</v>
      </c>
      <c r="AF274" s="817"/>
      <c r="AG274" s="817"/>
      <c r="AH274" s="817"/>
      <c r="AI274" s="817"/>
      <c r="AJ274" s="787">
        <f t="shared" ref="AJ274:AJ337" si="20">SUM(Z274,AA274,AH274)</f>
        <v>0</v>
      </c>
      <c r="AK274" s="817" t="s">
        <v>66</v>
      </c>
      <c r="AL274" s="817" t="s">
        <v>66</v>
      </c>
      <c r="AM274" s="817"/>
      <c r="AN274" s="817"/>
      <c r="AO274" s="817"/>
      <c r="AP274" s="817"/>
      <c r="AQ274" s="817"/>
      <c r="AR274" s="817"/>
      <c r="AS274" s="817" t="s">
        <v>204</v>
      </c>
      <c r="AT274" s="817"/>
      <c r="AU274" s="857" t="s">
        <v>1203</v>
      </c>
    </row>
    <row r="275" spans="1:47" s="857" customFormat="1" ht="15" customHeight="1">
      <c r="A275" s="794">
        <v>273</v>
      </c>
      <c r="B275" s="857" t="s">
        <v>162</v>
      </c>
      <c r="C275" s="857" t="s">
        <v>1286</v>
      </c>
      <c r="D275" s="840">
        <v>40118</v>
      </c>
      <c r="E275" s="840">
        <v>40238</v>
      </c>
      <c r="F275" s="791">
        <v>2009</v>
      </c>
      <c r="G275" s="857" t="s">
        <v>914</v>
      </c>
      <c r="H275" s="790" t="s">
        <v>1449</v>
      </c>
      <c r="I275" s="857" t="s">
        <v>1240</v>
      </c>
      <c r="J275" s="800" t="s">
        <v>2331</v>
      </c>
      <c r="K275" s="817">
        <v>30000</v>
      </c>
      <c r="L275" s="817">
        <v>86724</v>
      </c>
      <c r="M275" s="817">
        <v>77190</v>
      </c>
      <c r="N275" s="817">
        <v>77190</v>
      </c>
      <c r="O275" s="808">
        <f t="shared" si="19"/>
        <v>2.573</v>
      </c>
      <c r="P275" s="817">
        <v>89</v>
      </c>
      <c r="Q275" s="817"/>
      <c r="R275" s="817"/>
      <c r="S275" s="817"/>
      <c r="T275" s="817"/>
      <c r="U275" s="817"/>
      <c r="V275" s="817">
        <v>120000</v>
      </c>
      <c r="W275" s="817"/>
      <c r="X275" s="817"/>
      <c r="Y275" s="817"/>
      <c r="Z275" s="817">
        <v>120000</v>
      </c>
      <c r="AA275" s="817">
        <v>12000</v>
      </c>
      <c r="AB275" s="817">
        <v>400</v>
      </c>
      <c r="AC275" s="817"/>
      <c r="AD275" s="817"/>
      <c r="AE275" s="817"/>
      <c r="AF275" s="817"/>
      <c r="AG275" s="817"/>
      <c r="AH275" s="817"/>
      <c r="AI275" s="817"/>
      <c r="AJ275" s="787">
        <f t="shared" si="20"/>
        <v>132000</v>
      </c>
      <c r="AK275" s="817"/>
      <c r="AL275" s="817"/>
      <c r="AM275" s="817"/>
      <c r="AN275" s="817"/>
      <c r="AO275" s="817"/>
      <c r="AP275" s="817"/>
      <c r="AQ275" s="817"/>
      <c r="AR275" s="817"/>
      <c r="AS275" s="817"/>
      <c r="AT275" s="817"/>
      <c r="AU275" s="857" t="s">
        <v>1241</v>
      </c>
    </row>
    <row r="276" spans="1:47" s="857" customFormat="1" ht="13.5" customHeight="1">
      <c r="A276" s="794">
        <v>274</v>
      </c>
      <c r="B276" s="857" t="s">
        <v>12</v>
      </c>
      <c r="C276" s="857" t="s">
        <v>1299</v>
      </c>
      <c r="D276" s="840">
        <v>40118</v>
      </c>
      <c r="E276" s="840">
        <v>40210</v>
      </c>
      <c r="F276" s="791">
        <v>2009</v>
      </c>
      <c r="G276" s="857" t="s">
        <v>5</v>
      </c>
      <c r="H276" s="790" t="s">
        <v>1451</v>
      </c>
      <c r="I276" s="857" t="s">
        <v>1257</v>
      </c>
      <c r="J276" s="800" t="s">
        <v>2331</v>
      </c>
      <c r="K276" s="817">
        <v>30000</v>
      </c>
      <c r="L276" s="817">
        <v>432589</v>
      </c>
      <c r="M276" s="817">
        <v>430762</v>
      </c>
      <c r="N276" s="817">
        <v>430762</v>
      </c>
      <c r="O276" s="808">
        <f t="shared" si="19"/>
        <v>14.358733333333333</v>
      </c>
      <c r="P276" s="817">
        <v>100</v>
      </c>
      <c r="Q276" s="817">
        <v>3200</v>
      </c>
      <c r="R276" s="817">
        <v>3860</v>
      </c>
      <c r="S276" s="817">
        <v>3860</v>
      </c>
      <c r="T276" s="817" t="s">
        <v>2</v>
      </c>
      <c r="U276" s="817">
        <v>34</v>
      </c>
      <c r="V276" s="817">
        <v>22470</v>
      </c>
      <c r="W276" s="817">
        <v>107299</v>
      </c>
      <c r="X276" s="817">
        <v>107299</v>
      </c>
      <c r="Y276" s="808">
        <f>X276/S276</f>
        <v>27.797668393782384</v>
      </c>
      <c r="Z276" s="817"/>
      <c r="AA276" s="817">
        <v>10000</v>
      </c>
      <c r="AB276" s="817">
        <v>20</v>
      </c>
      <c r="AC276" s="817"/>
      <c r="AD276" s="817"/>
      <c r="AE276" s="817">
        <v>2822</v>
      </c>
      <c r="AF276" s="817"/>
      <c r="AG276" s="817"/>
      <c r="AH276" s="817">
        <v>1298</v>
      </c>
      <c r="AI276" s="817">
        <v>554</v>
      </c>
      <c r="AJ276" s="787">
        <f t="shared" si="20"/>
        <v>11298</v>
      </c>
      <c r="AK276" s="817">
        <v>27408</v>
      </c>
      <c r="AL276" s="817">
        <v>27408</v>
      </c>
      <c r="AM276" s="817"/>
      <c r="AN276" s="817"/>
      <c r="AO276" s="817"/>
      <c r="AP276" s="817"/>
      <c r="AQ276" s="817"/>
      <c r="AR276" s="817"/>
      <c r="AS276" s="817"/>
      <c r="AT276" s="817"/>
      <c r="AU276" s="857" t="s">
        <v>1258</v>
      </c>
    </row>
    <row r="277" spans="1:47" s="857" customFormat="1" ht="12" customHeight="1">
      <c r="A277" s="794">
        <v>275</v>
      </c>
      <c r="B277" s="857" t="s">
        <v>764</v>
      </c>
      <c r="C277" s="857" t="s">
        <v>1299</v>
      </c>
      <c r="D277" s="840">
        <v>39814</v>
      </c>
      <c r="E277" s="840">
        <v>40238</v>
      </c>
      <c r="F277" s="791">
        <v>2009</v>
      </c>
      <c r="G277" s="857" t="s">
        <v>168</v>
      </c>
      <c r="H277" s="790" t="s">
        <v>1449</v>
      </c>
      <c r="I277" s="857" t="s">
        <v>1275</v>
      </c>
      <c r="J277" s="800" t="s">
        <v>2331</v>
      </c>
      <c r="K277" s="817">
        <v>30000</v>
      </c>
      <c r="L277" s="817">
        <v>60939</v>
      </c>
      <c r="M277" s="817">
        <v>60939</v>
      </c>
      <c r="N277" s="817">
        <v>58597</v>
      </c>
      <c r="O277" s="808">
        <f t="shared" si="19"/>
        <v>1.9532333333333334</v>
      </c>
      <c r="P277" s="817">
        <v>100</v>
      </c>
      <c r="Q277" s="817" t="s">
        <v>75</v>
      </c>
      <c r="R277" s="817" t="s">
        <v>75</v>
      </c>
      <c r="S277" s="817" t="s">
        <v>75</v>
      </c>
      <c r="T277" s="817" t="s">
        <v>233</v>
      </c>
      <c r="U277" s="817">
        <v>60</v>
      </c>
      <c r="V277" s="817">
        <v>31100</v>
      </c>
      <c r="W277" s="817">
        <v>0</v>
      </c>
      <c r="X277" s="817">
        <v>29086</v>
      </c>
      <c r="Y277" s="817"/>
      <c r="Z277" s="817"/>
      <c r="AA277" s="817">
        <v>31100</v>
      </c>
      <c r="AB277" s="817">
        <v>60</v>
      </c>
      <c r="AC277" s="817"/>
      <c r="AD277" s="817"/>
      <c r="AE277" s="817"/>
      <c r="AF277" s="817"/>
      <c r="AG277" s="817"/>
      <c r="AH277" s="817"/>
      <c r="AI277" s="817"/>
      <c r="AJ277" s="787">
        <f t="shared" si="20"/>
        <v>31100</v>
      </c>
      <c r="AK277" s="817" t="s">
        <v>66</v>
      </c>
      <c r="AL277" s="817" t="s">
        <v>66</v>
      </c>
      <c r="AM277" s="817"/>
      <c r="AN277" s="817"/>
      <c r="AO277" s="817"/>
      <c r="AP277" s="817"/>
      <c r="AQ277" s="817"/>
      <c r="AR277" s="817"/>
      <c r="AS277" s="817"/>
      <c r="AT277" s="817"/>
      <c r="AU277" s="857" t="s">
        <v>1274</v>
      </c>
    </row>
    <row r="278" spans="1:47" s="857" customFormat="1" ht="15" customHeight="1">
      <c r="A278" s="794">
        <v>276</v>
      </c>
      <c r="B278" s="857" t="s">
        <v>1213</v>
      </c>
      <c r="C278" s="857" t="s">
        <v>1286</v>
      </c>
      <c r="D278" s="840">
        <v>40148</v>
      </c>
      <c r="E278" s="840">
        <v>40360</v>
      </c>
      <c r="F278" s="791">
        <v>2009</v>
      </c>
      <c r="G278" s="857" t="s">
        <v>5</v>
      </c>
      <c r="H278" s="790" t="s">
        <v>1451</v>
      </c>
      <c r="I278" s="857" t="s">
        <v>1250</v>
      </c>
      <c r="J278" s="800" t="s">
        <v>2331</v>
      </c>
      <c r="K278" s="817">
        <v>30618</v>
      </c>
      <c r="L278" s="817">
        <v>230629</v>
      </c>
      <c r="M278" s="817">
        <v>211464</v>
      </c>
      <c r="N278" s="817">
        <v>211464</v>
      </c>
      <c r="O278" s="808">
        <f t="shared" si="19"/>
        <v>6.9065255731922397</v>
      </c>
      <c r="P278" s="817">
        <v>92</v>
      </c>
      <c r="Q278" s="817">
        <v>2970</v>
      </c>
      <c r="R278" s="817">
        <v>2970</v>
      </c>
      <c r="S278" s="817">
        <v>2970</v>
      </c>
      <c r="T278" s="817" t="s">
        <v>233</v>
      </c>
      <c r="U278" s="817">
        <v>60</v>
      </c>
      <c r="V278" s="817">
        <v>1323</v>
      </c>
      <c r="W278" s="817"/>
      <c r="X278" s="817"/>
      <c r="Y278" s="808">
        <f>X278/S278</f>
        <v>0</v>
      </c>
      <c r="Z278" s="817">
        <v>12234</v>
      </c>
      <c r="AA278" s="817">
        <v>5470</v>
      </c>
      <c r="AB278" s="817">
        <v>60</v>
      </c>
      <c r="AC278" s="817"/>
      <c r="AD278" s="817"/>
      <c r="AE278" s="817"/>
      <c r="AF278" s="817"/>
      <c r="AG278" s="817">
        <v>7200</v>
      </c>
      <c r="AH278" s="817"/>
      <c r="AI278" s="817"/>
      <c r="AJ278" s="787">
        <f t="shared" si="20"/>
        <v>17704</v>
      </c>
      <c r="AK278" s="817"/>
      <c r="AL278" s="817"/>
      <c r="AM278" s="817"/>
      <c r="AN278" s="817"/>
      <c r="AO278" s="817"/>
      <c r="AP278" s="817"/>
      <c r="AQ278" s="817"/>
      <c r="AR278" s="817"/>
      <c r="AS278" s="817"/>
      <c r="AT278" s="817"/>
      <c r="AU278" s="857" t="s">
        <v>1251</v>
      </c>
    </row>
    <row r="279" spans="1:47" s="857" customFormat="1" ht="15" customHeight="1">
      <c r="A279" s="794">
        <v>277</v>
      </c>
      <c r="B279" s="888" t="s">
        <v>279</v>
      </c>
      <c r="C279" s="857" t="s">
        <v>1299</v>
      </c>
      <c r="D279" s="840">
        <v>39873</v>
      </c>
      <c r="E279" s="840">
        <v>40026</v>
      </c>
      <c r="F279" s="791">
        <v>2009</v>
      </c>
      <c r="G279" s="857" t="s">
        <v>5</v>
      </c>
      <c r="H279" s="790" t="s">
        <v>1451</v>
      </c>
      <c r="I279" s="857" t="s">
        <v>994</v>
      </c>
      <c r="J279" s="812" t="s">
        <v>2438</v>
      </c>
      <c r="K279" s="817">
        <v>33000</v>
      </c>
      <c r="L279" s="817">
        <v>2121518</v>
      </c>
      <c r="M279" s="817">
        <v>2060174</v>
      </c>
      <c r="N279" s="817">
        <v>1977377</v>
      </c>
      <c r="O279" s="808">
        <f t="shared" si="19"/>
        <v>59.920515151515154</v>
      </c>
      <c r="P279" s="817">
        <v>97</v>
      </c>
      <c r="Q279" s="817">
        <v>20000</v>
      </c>
      <c r="R279" s="817">
        <v>9420</v>
      </c>
      <c r="S279" s="817">
        <v>20000</v>
      </c>
      <c r="T279" s="817" t="s">
        <v>2</v>
      </c>
      <c r="U279" s="817">
        <v>238</v>
      </c>
      <c r="V279" s="817">
        <v>20000</v>
      </c>
      <c r="W279" s="817">
        <v>737289</v>
      </c>
      <c r="X279" s="817">
        <v>128175</v>
      </c>
      <c r="Y279" s="808">
        <f>X279/S279</f>
        <v>6.4087500000000004</v>
      </c>
      <c r="Z279" s="817"/>
      <c r="AA279" s="817"/>
      <c r="AB279" s="817"/>
      <c r="AC279" s="817">
        <v>204</v>
      </c>
      <c r="AD279" s="817" t="s">
        <v>2</v>
      </c>
      <c r="AE279" s="817">
        <v>13611</v>
      </c>
      <c r="AF279" s="817"/>
      <c r="AG279" s="817"/>
      <c r="AH279" s="817"/>
      <c r="AI279" s="817"/>
      <c r="AJ279" s="787">
        <f t="shared" si="20"/>
        <v>0</v>
      </c>
      <c r="AK279" s="817">
        <v>20000</v>
      </c>
      <c r="AL279" s="817">
        <v>17461</v>
      </c>
      <c r="AM279" s="817"/>
      <c r="AN279" s="817"/>
      <c r="AO279" s="817">
        <v>1</v>
      </c>
      <c r="AP279" s="817"/>
      <c r="AQ279" s="817"/>
      <c r="AR279" s="817"/>
      <c r="AS279" s="817"/>
      <c r="AT279" s="817"/>
      <c r="AU279" s="817" t="s">
        <v>1010</v>
      </c>
    </row>
    <row r="280" spans="1:47" s="857" customFormat="1" ht="15.75" customHeight="1">
      <c r="A280" s="794">
        <v>278</v>
      </c>
      <c r="B280" s="857" t="s">
        <v>1</v>
      </c>
      <c r="C280" s="857" t="s">
        <v>1299</v>
      </c>
      <c r="D280" s="840">
        <v>40057</v>
      </c>
      <c r="E280" s="840">
        <v>40148</v>
      </c>
      <c r="F280" s="791">
        <v>2009</v>
      </c>
      <c r="G280" s="857" t="s">
        <v>5</v>
      </c>
      <c r="H280" s="790" t="s">
        <v>1451</v>
      </c>
      <c r="I280" s="857" t="s">
        <v>1019</v>
      </c>
      <c r="J280" s="800" t="s">
        <v>2331</v>
      </c>
      <c r="K280" s="817">
        <v>37650</v>
      </c>
      <c r="L280" s="817">
        <v>246521</v>
      </c>
      <c r="M280" s="817">
        <v>246522</v>
      </c>
      <c r="N280" s="817">
        <v>246255</v>
      </c>
      <c r="O280" s="808">
        <f t="shared" si="19"/>
        <v>6.5406374501992035</v>
      </c>
      <c r="P280" s="817">
        <v>100</v>
      </c>
      <c r="Q280" s="848">
        <v>5680</v>
      </c>
      <c r="R280" s="817">
        <v>480</v>
      </c>
      <c r="S280" s="817">
        <v>5680</v>
      </c>
      <c r="T280" s="817" t="s">
        <v>2</v>
      </c>
      <c r="U280" s="817">
        <v>11</v>
      </c>
      <c r="V280" s="817">
        <v>5680</v>
      </c>
      <c r="W280" s="817">
        <v>80900</v>
      </c>
      <c r="X280" s="817">
        <v>44651</v>
      </c>
      <c r="Y280" s="808">
        <f>X280/S280</f>
        <v>7.8610915492957743</v>
      </c>
      <c r="Z280" s="817"/>
      <c r="AA280" s="817"/>
      <c r="AB280" s="817"/>
      <c r="AC280" s="817"/>
      <c r="AD280" s="817"/>
      <c r="AE280" s="817">
        <v>2139</v>
      </c>
      <c r="AF280" s="817"/>
      <c r="AG280" s="817"/>
      <c r="AH280" s="817"/>
      <c r="AI280" s="817"/>
      <c r="AJ280" s="787">
        <f t="shared" si="20"/>
        <v>0</v>
      </c>
      <c r="AK280" s="817" t="s">
        <v>66</v>
      </c>
      <c r="AL280" s="817" t="s">
        <v>66</v>
      </c>
      <c r="AM280" s="817"/>
      <c r="AN280" s="817"/>
      <c r="AO280" s="817"/>
      <c r="AP280" s="817"/>
      <c r="AQ280" s="817"/>
      <c r="AR280" s="817"/>
      <c r="AS280" s="817"/>
      <c r="AT280" s="817"/>
      <c r="AU280" s="817" t="s">
        <v>1020</v>
      </c>
    </row>
    <row r="281" spans="1:47" s="857" customFormat="1" ht="12.75" customHeight="1">
      <c r="A281" s="794">
        <v>279</v>
      </c>
      <c r="B281" s="785" t="s">
        <v>28</v>
      </c>
      <c r="C281" s="785" t="s">
        <v>1261</v>
      </c>
      <c r="D281" s="792">
        <v>40115</v>
      </c>
      <c r="E281" s="792">
        <v>39951</v>
      </c>
      <c r="F281" s="791">
        <v>2009</v>
      </c>
      <c r="G281" s="789" t="s">
        <v>695</v>
      </c>
      <c r="H281" s="790" t="s">
        <v>1454</v>
      </c>
      <c r="I281" s="785" t="s">
        <v>694</v>
      </c>
      <c r="J281" s="812" t="s">
        <v>2438</v>
      </c>
      <c r="K281" s="842">
        <v>40000</v>
      </c>
      <c r="L281" s="842">
        <v>2499553</v>
      </c>
      <c r="M281" s="842">
        <v>1215637</v>
      </c>
      <c r="N281" s="842">
        <v>1215637</v>
      </c>
      <c r="O281" s="808">
        <f t="shared" si="19"/>
        <v>30.390924999999999</v>
      </c>
      <c r="P281" s="842">
        <v>49</v>
      </c>
      <c r="Q281" s="842" t="s">
        <v>75</v>
      </c>
      <c r="R281" s="842" t="s">
        <v>339</v>
      </c>
      <c r="S281" s="842">
        <v>37930</v>
      </c>
      <c r="T281" s="842" t="s">
        <v>95</v>
      </c>
      <c r="U281" s="842" t="s">
        <v>75</v>
      </c>
      <c r="V281" s="842">
        <v>37930</v>
      </c>
      <c r="W281" s="842" t="s">
        <v>75</v>
      </c>
      <c r="X281" s="842" t="s">
        <v>75</v>
      </c>
      <c r="Y281" s="808"/>
      <c r="Z281" s="842" t="s">
        <v>75</v>
      </c>
      <c r="AA281" s="842" t="s">
        <v>75</v>
      </c>
      <c r="AB281" s="842" t="s">
        <v>75</v>
      </c>
      <c r="AC281" s="842" t="s">
        <v>75</v>
      </c>
      <c r="AD281" s="842" t="s">
        <v>75</v>
      </c>
      <c r="AE281" s="842" t="s">
        <v>75</v>
      </c>
      <c r="AF281" s="842" t="s">
        <v>75</v>
      </c>
      <c r="AG281" s="842" t="s">
        <v>75</v>
      </c>
      <c r="AH281" s="842" t="s">
        <v>75</v>
      </c>
      <c r="AI281" s="842" t="s">
        <v>75</v>
      </c>
      <c r="AJ281" s="787">
        <f t="shared" si="20"/>
        <v>0</v>
      </c>
      <c r="AK281" s="842">
        <v>242114</v>
      </c>
      <c r="AL281" s="842">
        <v>242114</v>
      </c>
      <c r="AM281" s="842"/>
      <c r="AN281" s="842" t="s">
        <v>75</v>
      </c>
      <c r="AO281" s="842" t="s">
        <v>75</v>
      </c>
      <c r="AP281" s="842" t="s">
        <v>75</v>
      </c>
      <c r="AQ281" s="842" t="s">
        <v>75</v>
      </c>
      <c r="AR281" s="842" t="s">
        <v>75</v>
      </c>
      <c r="AS281" s="842" t="s">
        <v>75</v>
      </c>
      <c r="AT281" s="842" t="s">
        <v>75</v>
      </c>
      <c r="AU281" s="276" t="s">
        <v>693</v>
      </c>
    </row>
    <row r="282" spans="1:47" s="857" customFormat="1" ht="11.25" customHeight="1">
      <c r="A282" s="794">
        <v>280</v>
      </c>
      <c r="B282" s="857" t="s">
        <v>2361</v>
      </c>
      <c r="C282" s="857" t="s">
        <v>1299</v>
      </c>
      <c r="D282" s="840">
        <v>40087</v>
      </c>
      <c r="E282" s="840">
        <v>40148</v>
      </c>
      <c r="F282" s="791">
        <v>2009</v>
      </c>
      <c r="G282" s="857" t="s">
        <v>1016</v>
      </c>
      <c r="H282" s="800" t="s">
        <v>1451</v>
      </c>
      <c r="I282" s="857" t="s">
        <v>1017</v>
      </c>
      <c r="J282" s="812" t="s">
        <v>2438</v>
      </c>
      <c r="K282" s="817">
        <v>53000</v>
      </c>
      <c r="L282" s="817">
        <v>1124682</v>
      </c>
      <c r="M282" s="817">
        <v>197557</v>
      </c>
      <c r="N282" s="817">
        <v>197557</v>
      </c>
      <c r="O282" s="808">
        <f t="shared" si="19"/>
        <v>3.7274905660377358</v>
      </c>
      <c r="P282" s="817">
        <v>18</v>
      </c>
      <c r="Q282" s="817"/>
      <c r="R282" s="817"/>
      <c r="S282" s="817"/>
      <c r="T282" s="817"/>
      <c r="U282" s="817"/>
      <c r="V282" s="817"/>
      <c r="W282" s="817">
        <v>367528</v>
      </c>
      <c r="X282" s="817">
        <v>44635</v>
      </c>
      <c r="Y282" s="817"/>
      <c r="Z282" s="817"/>
      <c r="AA282" s="817"/>
      <c r="AB282" s="817"/>
      <c r="AC282" s="817"/>
      <c r="AD282" s="817"/>
      <c r="AE282" s="817"/>
      <c r="AF282" s="817"/>
      <c r="AG282" s="817"/>
      <c r="AH282" s="817"/>
      <c r="AI282" s="817"/>
      <c r="AJ282" s="787">
        <f t="shared" si="20"/>
        <v>0</v>
      </c>
      <c r="AK282" s="817">
        <v>0</v>
      </c>
      <c r="AL282" s="817">
        <v>13644</v>
      </c>
      <c r="AM282" s="817"/>
      <c r="AN282" s="817"/>
      <c r="AO282" s="817"/>
      <c r="AP282" s="817"/>
      <c r="AQ282" s="817"/>
      <c r="AR282" s="817"/>
      <c r="AS282" s="817"/>
      <c r="AT282" s="817"/>
      <c r="AU282" s="320" t="s">
        <v>1018</v>
      </c>
    </row>
    <row r="283" spans="1:47" s="857" customFormat="1" ht="17.25" customHeight="1">
      <c r="A283" s="794">
        <v>281</v>
      </c>
      <c r="B283" s="857" t="s">
        <v>26</v>
      </c>
      <c r="C283" s="857" t="s">
        <v>1299</v>
      </c>
      <c r="D283" s="840">
        <v>40057</v>
      </c>
      <c r="E283" s="840">
        <v>40238</v>
      </c>
      <c r="F283" s="791">
        <v>2009</v>
      </c>
      <c r="G283" s="857" t="s">
        <v>1013</v>
      </c>
      <c r="H283" s="790" t="s">
        <v>1449</v>
      </c>
      <c r="I283" s="857" t="s">
        <v>1014</v>
      </c>
      <c r="J283" s="812" t="s">
        <v>2438</v>
      </c>
      <c r="K283" s="817">
        <v>60000</v>
      </c>
      <c r="L283" s="817">
        <v>1950241</v>
      </c>
      <c r="M283" s="817">
        <v>480721</v>
      </c>
      <c r="N283" s="817">
        <v>480986</v>
      </c>
      <c r="O283" s="808">
        <f t="shared" si="19"/>
        <v>8.0164333333333335</v>
      </c>
      <c r="P283" s="817">
        <v>25</v>
      </c>
      <c r="Q283" s="848">
        <v>37500</v>
      </c>
      <c r="R283" s="817">
        <v>400</v>
      </c>
      <c r="S283" s="817">
        <v>37500</v>
      </c>
      <c r="T283" s="817" t="s">
        <v>2</v>
      </c>
      <c r="U283" s="817">
        <v>250</v>
      </c>
      <c r="V283" s="817">
        <v>8426</v>
      </c>
      <c r="W283" s="817">
        <v>486900</v>
      </c>
      <c r="X283" s="817">
        <v>121725</v>
      </c>
      <c r="Y283" s="808">
        <f>X283/S283</f>
        <v>3.246</v>
      </c>
      <c r="Z283" s="817"/>
      <c r="AA283" s="817">
        <v>33000</v>
      </c>
      <c r="AB283" s="817">
        <v>460</v>
      </c>
      <c r="AC283" s="817">
        <v>300</v>
      </c>
      <c r="AD283" s="817"/>
      <c r="AE283" s="817">
        <v>5000</v>
      </c>
      <c r="AF283" s="817"/>
      <c r="AG283" s="817"/>
      <c r="AH283" s="817"/>
      <c r="AI283" s="817"/>
      <c r="AJ283" s="787">
        <f t="shared" si="20"/>
        <v>33000</v>
      </c>
      <c r="AK283" s="817">
        <v>32200</v>
      </c>
      <c r="AL283" s="817">
        <v>1441</v>
      </c>
      <c r="AM283" s="817"/>
      <c r="AN283" s="817"/>
      <c r="AO283" s="817"/>
      <c r="AP283" s="817"/>
      <c r="AQ283" s="817"/>
      <c r="AR283" s="817"/>
      <c r="AS283" s="817"/>
      <c r="AT283" s="817"/>
      <c r="AU283" s="817" t="s">
        <v>1015</v>
      </c>
    </row>
    <row r="284" spans="1:47" s="857" customFormat="1" ht="12" customHeight="1">
      <c r="A284" s="794">
        <v>282</v>
      </c>
      <c r="B284" s="857" t="s">
        <v>1123</v>
      </c>
      <c r="C284" s="857" t="s">
        <v>1299</v>
      </c>
      <c r="D284" s="840">
        <v>40118</v>
      </c>
      <c r="E284" s="840">
        <v>40210</v>
      </c>
      <c r="F284" s="791">
        <v>2009</v>
      </c>
      <c r="G284" s="857" t="s">
        <v>1126</v>
      </c>
      <c r="H284" s="790" t="s">
        <v>1449</v>
      </c>
      <c r="I284" s="857" t="s">
        <v>1125</v>
      </c>
      <c r="J284" s="800" t="s">
        <v>2331</v>
      </c>
      <c r="K284" s="817">
        <v>75000</v>
      </c>
      <c r="L284" s="817">
        <v>153987</v>
      </c>
      <c r="M284" s="817">
        <v>153951</v>
      </c>
      <c r="N284" s="817">
        <v>151841</v>
      </c>
      <c r="O284" s="808">
        <f t="shared" si="19"/>
        <v>2.0245466666666667</v>
      </c>
      <c r="P284" s="817">
        <v>100</v>
      </c>
      <c r="Q284" s="817"/>
      <c r="R284" s="817" t="s">
        <v>75</v>
      </c>
      <c r="S284" s="817"/>
      <c r="T284" s="817" t="s">
        <v>233</v>
      </c>
      <c r="U284" s="817">
        <v>664</v>
      </c>
      <c r="V284" s="817">
        <v>150000</v>
      </c>
      <c r="W284" s="817" t="s">
        <v>66</v>
      </c>
      <c r="X284" s="817" t="s">
        <v>66</v>
      </c>
      <c r="Y284" s="817"/>
      <c r="Z284" s="817"/>
      <c r="AA284" s="817">
        <v>150000</v>
      </c>
      <c r="AB284" s="817">
        <v>664</v>
      </c>
      <c r="AC284" s="817"/>
      <c r="AD284" s="817"/>
      <c r="AE284" s="817">
        <v>1000</v>
      </c>
      <c r="AF284" s="817"/>
      <c r="AG284" s="817"/>
      <c r="AH284" s="817"/>
      <c r="AI284" s="817"/>
      <c r="AJ284" s="787">
        <f t="shared" si="20"/>
        <v>150000</v>
      </c>
      <c r="AK284" s="817">
        <v>108458</v>
      </c>
      <c r="AL284" s="817">
        <v>108458</v>
      </c>
      <c r="AM284" s="817"/>
      <c r="AN284" s="817"/>
      <c r="AO284" s="817"/>
      <c r="AP284" s="817"/>
      <c r="AQ284" s="817"/>
      <c r="AR284" s="817"/>
      <c r="AS284" s="817"/>
      <c r="AT284" s="817"/>
      <c r="AU284" s="857" t="s">
        <v>1124</v>
      </c>
    </row>
    <row r="285" spans="1:47" s="857" customFormat="1" ht="15" customHeight="1">
      <c r="A285" s="794">
        <v>283</v>
      </c>
      <c r="B285" s="857" t="s">
        <v>373</v>
      </c>
      <c r="C285" s="857" t="s">
        <v>1261</v>
      </c>
      <c r="D285" s="840">
        <v>40087</v>
      </c>
      <c r="E285" s="840">
        <v>40210</v>
      </c>
      <c r="F285" s="791">
        <v>2009</v>
      </c>
      <c r="G285" s="857" t="s">
        <v>5</v>
      </c>
      <c r="H285" s="790" t="s">
        <v>1451</v>
      </c>
      <c r="I285" s="857" t="s">
        <v>1238</v>
      </c>
      <c r="J285" s="800" t="s">
        <v>2331</v>
      </c>
      <c r="K285" s="817">
        <v>95000</v>
      </c>
      <c r="L285" s="817">
        <v>59241</v>
      </c>
      <c r="M285" s="817">
        <v>59241</v>
      </c>
      <c r="N285" s="817">
        <v>22853</v>
      </c>
      <c r="O285" s="808">
        <f t="shared" si="19"/>
        <v>0.24055789473684211</v>
      </c>
      <c r="P285" s="817">
        <v>100</v>
      </c>
      <c r="Q285" s="817"/>
      <c r="R285" s="817"/>
      <c r="S285" s="817">
        <v>60000</v>
      </c>
      <c r="T285" s="817"/>
      <c r="U285" s="817"/>
      <c r="V285" s="817">
        <v>60000</v>
      </c>
      <c r="W285" s="817"/>
      <c r="X285" s="817"/>
      <c r="Y285" s="808">
        <f t="shared" ref="Y285:Y291" si="21">X285/S285</f>
        <v>0</v>
      </c>
      <c r="Z285" s="817"/>
      <c r="AA285" s="817"/>
      <c r="AB285" s="817"/>
      <c r="AC285" s="817"/>
      <c r="AD285" s="817"/>
      <c r="AE285" s="817">
        <v>20000</v>
      </c>
      <c r="AF285" s="817"/>
      <c r="AG285" s="817"/>
      <c r="AH285" s="817"/>
      <c r="AI285" s="817"/>
      <c r="AJ285" s="787">
        <f t="shared" si="20"/>
        <v>0</v>
      </c>
      <c r="AK285" s="817"/>
      <c r="AL285" s="817"/>
      <c r="AM285" s="817"/>
      <c r="AN285" s="817"/>
      <c r="AO285" s="817"/>
      <c r="AP285" s="817"/>
      <c r="AQ285" s="817"/>
      <c r="AR285" s="817"/>
      <c r="AS285" s="817"/>
      <c r="AT285" s="817"/>
      <c r="AU285" s="857" t="s">
        <v>1239</v>
      </c>
    </row>
    <row r="286" spans="1:47" s="857" customFormat="1" ht="14.25" customHeight="1">
      <c r="A286" s="794">
        <v>284</v>
      </c>
      <c r="B286" s="785" t="s">
        <v>85</v>
      </c>
      <c r="C286" s="785" t="s">
        <v>1261</v>
      </c>
      <c r="D286" s="792">
        <v>40057</v>
      </c>
      <c r="E286" s="792">
        <v>40787</v>
      </c>
      <c r="F286" s="791">
        <v>2009</v>
      </c>
      <c r="G286" s="785" t="s">
        <v>84</v>
      </c>
      <c r="H286" s="790" t="s">
        <v>1454</v>
      </c>
      <c r="I286" s="785" t="s">
        <v>435</v>
      </c>
      <c r="J286" s="812" t="s">
        <v>2438</v>
      </c>
      <c r="K286" s="842">
        <v>100000</v>
      </c>
      <c r="L286" s="842">
        <v>14219542</v>
      </c>
      <c r="M286" s="842">
        <v>14604948</v>
      </c>
      <c r="N286" s="842">
        <v>12701675</v>
      </c>
      <c r="O286" s="808">
        <f t="shared" si="19"/>
        <v>127.01675</v>
      </c>
      <c r="P286" s="842">
        <v>103</v>
      </c>
      <c r="Q286" s="842"/>
      <c r="R286" s="842"/>
      <c r="S286" s="842">
        <v>50000</v>
      </c>
      <c r="T286" s="842"/>
      <c r="U286" s="842"/>
      <c r="V286" s="842">
        <v>12340</v>
      </c>
      <c r="W286" s="842">
        <v>327706</v>
      </c>
      <c r="X286" s="842">
        <v>266907</v>
      </c>
      <c r="Y286" s="808">
        <f t="shared" si="21"/>
        <v>5.3381400000000001</v>
      </c>
      <c r="Z286" s="842">
        <v>141</v>
      </c>
      <c r="AA286" s="842"/>
      <c r="AB286" s="842">
        <v>300</v>
      </c>
      <c r="AC286" s="842"/>
      <c r="AD286" s="842"/>
      <c r="AE286" s="842">
        <v>50000</v>
      </c>
      <c r="AF286" s="842"/>
      <c r="AG286" s="842"/>
      <c r="AH286" s="842"/>
      <c r="AI286" s="842"/>
      <c r="AJ286" s="787">
        <f t="shared" si="20"/>
        <v>141</v>
      </c>
      <c r="AK286" s="842"/>
      <c r="AL286" s="842"/>
      <c r="AM286" s="842"/>
      <c r="AN286" s="842"/>
      <c r="AO286" s="842"/>
      <c r="AP286" s="842"/>
      <c r="AQ286" s="842"/>
      <c r="AR286" s="842"/>
      <c r="AS286" s="842"/>
      <c r="AT286" s="842"/>
      <c r="AU286" s="265" t="s">
        <v>90</v>
      </c>
    </row>
    <row r="287" spans="1:47" s="785" customFormat="1" ht="16.5" customHeight="1">
      <c r="A287" s="794">
        <v>285</v>
      </c>
      <c r="B287" s="798" t="s">
        <v>270</v>
      </c>
      <c r="C287" s="857" t="s">
        <v>1299</v>
      </c>
      <c r="D287" s="805">
        <v>40087</v>
      </c>
      <c r="E287" s="805">
        <v>40210</v>
      </c>
      <c r="F287" s="791">
        <v>2009</v>
      </c>
      <c r="G287" s="798" t="s">
        <v>1212</v>
      </c>
      <c r="H287" s="790" t="s">
        <v>1449</v>
      </c>
      <c r="I287" s="798" t="s">
        <v>1211</v>
      </c>
      <c r="J287" s="800" t="s">
        <v>2331</v>
      </c>
      <c r="K287" s="839">
        <v>163000</v>
      </c>
      <c r="L287" s="839">
        <v>58604</v>
      </c>
      <c r="M287" s="839">
        <v>57970</v>
      </c>
      <c r="N287" s="839">
        <v>57970</v>
      </c>
      <c r="O287" s="808">
        <f t="shared" si="19"/>
        <v>0.35564417177914109</v>
      </c>
      <c r="P287" s="839">
        <v>99</v>
      </c>
      <c r="Q287" s="839">
        <v>100000</v>
      </c>
      <c r="R287" s="839">
        <v>35500</v>
      </c>
      <c r="S287" s="839">
        <v>100000</v>
      </c>
      <c r="T287" s="839" t="s">
        <v>233</v>
      </c>
      <c r="U287" s="839">
        <v>120</v>
      </c>
      <c r="V287" s="839">
        <v>178500</v>
      </c>
      <c r="W287" s="839">
        <v>14199</v>
      </c>
      <c r="X287" s="839">
        <v>15228</v>
      </c>
      <c r="Y287" s="808">
        <f t="shared" si="21"/>
        <v>0.15228</v>
      </c>
      <c r="Z287" s="839"/>
      <c r="AA287" s="839">
        <v>315000</v>
      </c>
      <c r="AB287" s="839">
        <v>120</v>
      </c>
      <c r="AC287" s="839"/>
      <c r="AD287" s="839"/>
      <c r="AE287" s="839"/>
      <c r="AF287" s="839"/>
      <c r="AG287" s="839"/>
      <c r="AH287" s="817">
        <v>500</v>
      </c>
      <c r="AI287" s="839"/>
      <c r="AJ287" s="787">
        <f t="shared" si="20"/>
        <v>315500</v>
      </c>
      <c r="AK287" s="839" t="s">
        <v>66</v>
      </c>
      <c r="AL287" s="839" t="s">
        <v>66</v>
      </c>
      <c r="AM287" s="839"/>
      <c r="AN287" s="839"/>
      <c r="AO287" s="839"/>
      <c r="AP287" s="839"/>
      <c r="AQ287" s="839"/>
      <c r="AR287" s="839"/>
      <c r="AS287" s="839"/>
      <c r="AT287" s="839"/>
      <c r="AU287" s="798" t="s">
        <v>1210</v>
      </c>
    </row>
    <row r="288" spans="1:47" s="785" customFormat="1" ht="16.5" customHeight="1">
      <c r="A288" s="794">
        <v>286</v>
      </c>
      <c r="B288" s="857" t="s">
        <v>332</v>
      </c>
      <c r="C288" s="857" t="s">
        <v>1299</v>
      </c>
      <c r="D288" s="840">
        <v>39873</v>
      </c>
      <c r="E288" s="840">
        <v>40238</v>
      </c>
      <c r="F288" s="791">
        <v>2009</v>
      </c>
      <c r="G288" s="857" t="s">
        <v>5</v>
      </c>
      <c r="H288" s="790" t="s">
        <v>1451</v>
      </c>
      <c r="I288" s="857" t="s">
        <v>1280</v>
      </c>
      <c r="J288" s="800" t="s">
        <v>2331</v>
      </c>
      <c r="K288" s="817">
        <v>168000</v>
      </c>
      <c r="L288" s="817">
        <v>388966</v>
      </c>
      <c r="M288" s="817">
        <v>388966</v>
      </c>
      <c r="N288" s="817">
        <v>370602</v>
      </c>
      <c r="O288" s="808">
        <f t="shared" si="19"/>
        <v>2.2059642857142858</v>
      </c>
      <c r="P288" s="817">
        <v>100</v>
      </c>
      <c r="Q288" s="817">
        <v>20000</v>
      </c>
      <c r="R288" s="817">
        <v>8400</v>
      </c>
      <c r="S288" s="817">
        <v>20000</v>
      </c>
      <c r="T288" s="817" t="s">
        <v>233</v>
      </c>
      <c r="U288" s="817">
        <v>250</v>
      </c>
      <c r="V288" s="817">
        <v>80000</v>
      </c>
      <c r="W288" s="817">
        <v>30103</v>
      </c>
      <c r="X288" s="817">
        <v>38081</v>
      </c>
      <c r="Y288" s="808">
        <f t="shared" si="21"/>
        <v>1.90405</v>
      </c>
      <c r="Z288" s="817"/>
      <c r="AA288" s="817">
        <v>80000</v>
      </c>
      <c r="AB288" s="817">
        <v>220</v>
      </c>
      <c r="AC288" s="817">
        <v>250</v>
      </c>
      <c r="AD288" s="817"/>
      <c r="AE288" s="817">
        <v>3000</v>
      </c>
      <c r="AF288" s="817"/>
      <c r="AG288" s="817"/>
      <c r="AH288" s="817"/>
      <c r="AI288" s="817"/>
      <c r="AJ288" s="787">
        <f t="shared" si="20"/>
        <v>80000</v>
      </c>
      <c r="AK288" s="817">
        <v>33600</v>
      </c>
      <c r="AL288" s="817">
        <v>11103</v>
      </c>
      <c r="AM288" s="817"/>
      <c r="AN288" s="817"/>
      <c r="AO288" s="817"/>
      <c r="AP288" s="817"/>
      <c r="AQ288" s="817"/>
      <c r="AR288" s="817"/>
      <c r="AS288" s="817"/>
      <c r="AT288" s="817"/>
      <c r="AU288" s="857" t="s">
        <v>1279</v>
      </c>
    </row>
    <row r="289" spans="1:47" s="785" customFormat="1" ht="18" customHeight="1">
      <c r="A289" s="794">
        <v>287</v>
      </c>
      <c r="B289" s="857" t="s">
        <v>6</v>
      </c>
      <c r="C289" s="857" t="s">
        <v>1261</v>
      </c>
      <c r="D289" s="840">
        <v>39965</v>
      </c>
      <c r="E289" s="840">
        <v>40238</v>
      </c>
      <c r="F289" s="791">
        <v>2009</v>
      </c>
      <c r="G289" s="857" t="s">
        <v>975</v>
      </c>
      <c r="H289" s="800" t="s">
        <v>1450</v>
      </c>
      <c r="I289" s="857" t="s">
        <v>976</v>
      </c>
      <c r="J289" s="812" t="s">
        <v>2438</v>
      </c>
      <c r="K289" s="817">
        <v>178550</v>
      </c>
      <c r="L289" s="817">
        <v>1153737</v>
      </c>
      <c r="M289" s="817">
        <v>991334</v>
      </c>
      <c r="N289" s="817">
        <v>991334</v>
      </c>
      <c r="O289" s="808">
        <f t="shared" si="19"/>
        <v>5.5521366563987682</v>
      </c>
      <c r="P289" s="817">
        <v>86</v>
      </c>
      <c r="Q289" s="817">
        <v>35000</v>
      </c>
      <c r="R289" s="817"/>
      <c r="S289" s="817">
        <v>35000</v>
      </c>
      <c r="T289" s="817" t="s">
        <v>233</v>
      </c>
      <c r="U289" s="817" t="s">
        <v>134</v>
      </c>
      <c r="V289" s="817"/>
      <c r="W289" s="817"/>
      <c r="X289" s="817"/>
      <c r="Y289" s="808">
        <f t="shared" si="21"/>
        <v>0</v>
      </c>
      <c r="Z289" s="817"/>
      <c r="AA289" s="817"/>
      <c r="AB289" s="817">
        <v>32</v>
      </c>
      <c r="AC289" s="817"/>
      <c r="AD289" s="817"/>
      <c r="AE289" s="817"/>
      <c r="AF289" s="817"/>
      <c r="AG289" s="817"/>
      <c r="AH289" s="817"/>
      <c r="AI289" s="817"/>
      <c r="AJ289" s="787">
        <f t="shared" si="20"/>
        <v>0</v>
      </c>
      <c r="AK289" s="817">
        <v>5190</v>
      </c>
      <c r="AL289" s="817">
        <v>4463.3999999999996</v>
      </c>
      <c r="AM289" s="817"/>
      <c r="AN289" s="817"/>
      <c r="AO289" s="817"/>
      <c r="AP289" s="817"/>
      <c r="AQ289" s="817"/>
      <c r="AR289" s="817"/>
      <c r="AS289" s="817"/>
      <c r="AT289" s="817"/>
      <c r="AU289" s="320" t="s">
        <v>977</v>
      </c>
    </row>
    <row r="290" spans="1:47" s="785" customFormat="1" ht="19.5" customHeight="1">
      <c r="A290" s="794">
        <v>288</v>
      </c>
      <c r="B290" s="910" t="s">
        <v>8</v>
      </c>
      <c r="C290" s="790" t="s">
        <v>1261</v>
      </c>
      <c r="D290" s="824">
        <v>40087</v>
      </c>
      <c r="E290" s="824">
        <v>40848</v>
      </c>
      <c r="F290" s="791">
        <v>2009</v>
      </c>
      <c r="G290" s="790" t="s">
        <v>1075</v>
      </c>
      <c r="H290" s="790" t="s">
        <v>1450</v>
      </c>
      <c r="I290" s="790" t="s">
        <v>1078</v>
      </c>
      <c r="J290" s="812" t="s">
        <v>2438</v>
      </c>
      <c r="K290" s="787">
        <v>233500</v>
      </c>
      <c r="L290" s="787">
        <v>12724570</v>
      </c>
      <c r="M290" s="787">
        <v>11031565</v>
      </c>
      <c r="N290" s="787">
        <v>10765209</v>
      </c>
      <c r="O290" s="808">
        <f t="shared" si="19"/>
        <v>46.103678800856528</v>
      </c>
      <c r="P290" s="787">
        <v>87</v>
      </c>
      <c r="Q290" s="787">
        <v>69600</v>
      </c>
      <c r="R290" s="787">
        <v>35000</v>
      </c>
      <c r="S290" s="787">
        <v>69600</v>
      </c>
      <c r="T290" s="787" t="s">
        <v>2</v>
      </c>
      <c r="U290" s="787">
        <v>620</v>
      </c>
      <c r="V290" s="787">
        <v>233500</v>
      </c>
      <c r="W290" s="787">
        <v>823272</v>
      </c>
      <c r="X290" s="787">
        <v>788003</v>
      </c>
      <c r="Y290" s="808">
        <f t="shared" si="21"/>
        <v>11.321882183908047</v>
      </c>
      <c r="Z290" s="787">
        <v>4000</v>
      </c>
      <c r="AA290" s="787">
        <v>233500</v>
      </c>
      <c r="AB290" s="787"/>
      <c r="AC290" s="787"/>
      <c r="AD290" s="787"/>
      <c r="AE290" s="787"/>
      <c r="AF290" s="787"/>
      <c r="AG290" s="787"/>
      <c r="AH290" s="808">
        <v>4000</v>
      </c>
      <c r="AI290" s="787"/>
      <c r="AJ290" s="787">
        <f t="shared" si="20"/>
        <v>241500</v>
      </c>
      <c r="AK290" s="787">
        <v>7930</v>
      </c>
      <c r="AL290" s="787">
        <v>4414</v>
      </c>
      <c r="AM290" s="787"/>
      <c r="AN290" s="787"/>
      <c r="AO290" s="787"/>
      <c r="AP290" s="787"/>
      <c r="AQ290" s="787"/>
      <c r="AR290" s="787"/>
      <c r="AS290" s="787"/>
      <c r="AT290" s="787"/>
      <c r="AU290" s="352" t="s">
        <v>1098</v>
      </c>
    </row>
    <row r="291" spans="1:47" s="785" customFormat="1" ht="15.75" customHeight="1">
      <c r="A291" s="794">
        <v>289</v>
      </c>
      <c r="B291" s="906" t="s">
        <v>1484</v>
      </c>
      <c r="C291" s="906" t="s">
        <v>1261</v>
      </c>
      <c r="D291" s="909">
        <v>40087</v>
      </c>
      <c r="E291" s="909">
        <v>40452</v>
      </c>
      <c r="F291" s="791">
        <v>2009</v>
      </c>
      <c r="G291" s="846" t="s">
        <v>1495</v>
      </c>
      <c r="H291" s="800" t="s">
        <v>1458</v>
      </c>
      <c r="I291" s="906" t="s">
        <v>1496</v>
      </c>
      <c r="J291" s="812" t="s">
        <v>2438</v>
      </c>
      <c r="K291" s="907">
        <v>270000</v>
      </c>
      <c r="L291" s="907">
        <v>4464332</v>
      </c>
      <c r="M291" s="907">
        <v>4529948</v>
      </c>
      <c r="N291" s="907">
        <v>4185583</v>
      </c>
      <c r="O291" s="808">
        <f t="shared" si="19"/>
        <v>15.50215925925926</v>
      </c>
      <c r="P291" s="907">
        <v>101</v>
      </c>
      <c r="Q291" s="907">
        <v>46745</v>
      </c>
      <c r="R291" s="907"/>
      <c r="S291" s="907">
        <v>46745</v>
      </c>
      <c r="T291" s="907"/>
      <c r="U291" s="907"/>
      <c r="V291" s="907"/>
      <c r="W291" s="907">
        <v>32790</v>
      </c>
      <c r="X291" s="907">
        <v>32790</v>
      </c>
      <c r="Y291" s="808">
        <f t="shared" si="21"/>
        <v>0.7014653973687025</v>
      </c>
      <c r="Z291" s="907"/>
      <c r="AA291" s="907"/>
      <c r="AB291" s="907"/>
      <c r="AC291" s="907"/>
      <c r="AD291" s="907"/>
      <c r="AE291" s="907"/>
      <c r="AF291" s="907"/>
      <c r="AG291" s="907"/>
      <c r="AH291" s="907"/>
      <c r="AI291" s="907"/>
      <c r="AJ291" s="787">
        <f t="shared" si="20"/>
        <v>0</v>
      </c>
      <c r="AK291" s="907"/>
      <c r="AL291" s="907"/>
      <c r="AM291" s="907"/>
      <c r="AN291" s="907"/>
      <c r="AO291" s="907"/>
      <c r="AP291" s="907"/>
      <c r="AQ291" s="907"/>
      <c r="AR291" s="907"/>
      <c r="AS291" s="907"/>
      <c r="AT291" s="907" t="s">
        <v>460</v>
      </c>
      <c r="AU291" s="276" t="s">
        <v>1492</v>
      </c>
    </row>
    <row r="292" spans="1:47" s="785" customFormat="1" ht="18.75" customHeight="1">
      <c r="A292" s="794">
        <v>290</v>
      </c>
      <c r="B292" s="906" t="s">
        <v>1395</v>
      </c>
      <c r="C292" s="906" t="s">
        <v>1278</v>
      </c>
      <c r="D292" s="909">
        <v>40026</v>
      </c>
      <c r="E292" s="909">
        <v>40513</v>
      </c>
      <c r="F292" s="791">
        <v>2009</v>
      </c>
      <c r="G292" s="846" t="s">
        <v>79</v>
      </c>
      <c r="H292" s="800" t="s">
        <v>1453</v>
      </c>
      <c r="I292" s="906" t="s">
        <v>1494</v>
      </c>
      <c r="J292" s="812" t="s">
        <v>2438</v>
      </c>
      <c r="K292" s="907">
        <v>280000</v>
      </c>
      <c r="L292" s="907">
        <v>3255615</v>
      </c>
      <c r="M292" s="907">
        <v>870572</v>
      </c>
      <c r="N292" s="907">
        <v>870572</v>
      </c>
      <c r="O292" s="808">
        <f t="shared" si="19"/>
        <v>3.1091857142857142</v>
      </c>
      <c r="P292" s="907">
        <v>62</v>
      </c>
      <c r="Q292" s="907"/>
      <c r="R292" s="907"/>
      <c r="S292" s="907"/>
      <c r="T292" s="907"/>
      <c r="U292" s="907"/>
      <c r="V292" s="907">
        <v>80210</v>
      </c>
      <c r="W292" s="907">
        <v>917195</v>
      </c>
      <c r="X292" s="907">
        <v>568660.9</v>
      </c>
      <c r="Y292" s="907"/>
      <c r="Z292" s="907"/>
      <c r="AA292" s="907"/>
      <c r="AB292" s="907">
        <v>112</v>
      </c>
      <c r="AC292" s="907"/>
      <c r="AD292" s="907"/>
      <c r="AE292" s="907"/>
      <c r="AF292" s="907"/>
      <c r="AG292" s="907"/>
      <c r="AH292" s="907">
        <v>109960</v>
      </c>
      <c r="AI292" s="907"/>
      <c r="AJ292" s="787">
        <f t="shared" si="20"/>
        <v>109960</v>
      </c>
      <c r="AK292" s="907">
        <v>70000</v>
      </c>
      <c r="AL292" s="907">
        <v>43400</v>
      </c>
      <c r="AM292" s="907"/>
      <c r="AN292" s="907"/>
      <c r="AO292" s="907"/>
      <c r="AP292" s="907"/>
      <c r="AQ292" s="907"/>
      <c r="AR292" s="907"/>
      <c r="AS292" s="907"/>
      <c r="AT292" s="907"/>
      <c r="AU292" s="276" t="s">
        <v>1491</v>
      </c>
    </row>
    <row r="293" spans="1:47" s="785" customFormat="1" ht="13.5" customHeight="1">
      <c r="A293" s="794">
        <v>291</v>
      </c>
      <c r="B293" s="857" t="s">
        <v>562</v>
      </c>
      <c r="C293" s="857" t="s">
        <v>1261</v>
      </c>
      <c r="D293" s="840">
        <v>40057</v>
      </c>
      <c r="E293" s="840">
        <v>40330</v>
      </c>
      <c r="F293" s="791">
        <v>2009</v>
      </c>
      <c r="G293" s="857" t="s">
        <v>914</v>
      </c>
      <c r="H293" s="800" t="s">
        <v>1449</v>
      </c>
      <c r="I293" s="857" t="s">
        <v>962</v>
      </c>
      <c r="J293" s="800" t="s">
        <v>2331</v>
      </c>
      <c r="K293" s="817">
        <v>300000</v>
      </c>
      <c r="L293" s="817">
        <v>99412</v>
      </c>
      <c r="M293" s="817">
        <v>99412</v>
      </c>
      <c r="N293" s="817">
        <v>93015</v>
      </c>
      <c r="O293" s="808">
        <f t="shared" si="19"/>
        <v>0.31004999999999999</v>
      </c>
      <c r="P293" s="817">
        <v>100</v>
      </c>
      <c r="Q293" s="817"/>
      <c r="R293" s="817"/>
      <c r="S293" s="817"/>
      <c r="T293" s="817"/>
      <c r="U293" s="817"/>
      <c r="V293" s="817"/>
      <c r="W293" s="817">
        <v>25000</v>
      </c>
      <c r="X293" s="817">
        <v>25000</v>
      </c>
      <c r="Y293" s="817"/>
      <c r="Z293" s="817"/>
      <c r="AA293" s="817">
        <v>43000</v>
      </c>
      <c r="AB293" s="817">
        <v>300</v>
      </c>
      <c r="AC293" s="817"/>
      <c r="AD293" s="817"/>
      <c r="AE293" s="817"/>
      <c r="AF293" s="817"/>
      <c r="AG293" s="817"/>
      <c r="AH293" s="817"/>
      <c r="AI293" s="817"/>
      <c r="AJ293" s="787">
        <f t="shared" si="20"/>
        <v>43000</v>
      </c>
      <c r="AK293" s="817"/>
      <c r="AL293" s="817">
        <v>2428</v>
      </c>
      <c r="AM293" s="817"/>
      <c r="AN293" s="817"/>
      <c r="AO293" s="817"/>
      <c r="AP293" s="817"/>
      <c r="AQ293" s="817"/>
      <c r="AR293" s="817"/>
      <c r="AS293" s="817"/>
      <c r="AT293" s="817"/>
      <c r="AU293" s="320" t="s">
        <v>963</v>
      </c>
    </row>
    <row r="294" spans="1:47" s="785" customFormat="1" ht="15" customHeight="1">
      <c r="A294" s="794">
        <v>292</v>
      </c>
      <c r="B294" s="785" t="s">
        <v>353</v>
      </c>
      <c r="C294" s="785" t="s">
        <v>1299</v>
      </c>
      <c r="D294" s="792">
        <v>39814</v>
      </c>
      <c r="E294" s="792">
        <v>39904</v>
      </c>
      <c r="F294" s="791">
        <v>2009</v>
      </c>
      <c r="G294" s="789" t="s">
        <v>626</v>
      </c>
      <c r="H294" s="800" t="s">
        <v>1449</v>
      </c>
      <c r="I294" s="785" t="s">
        <v>632</v>
      </c>
      <c r="J294" s="800" t="s">
        <v>2331</v>
      </c>
      <c r="K294" s="842">
        <v>300000</v>
      </c>
      <c r="L294" s="842">
        <v>30100</v>
      </c>
      <c r="M294" s="842">
        <v>28462</v>
      </c>
      <c r="N294" s="842">
        <v>28462</v>
      </c>
      <c r="O294" s="808">
        <f t="shared" si="19"/>
        <v>9.4873333333333337E-2</v>
      </c>
      <c r="P294" s="842">
        <v>95</v>
      </c>
      <c r="Q294" s="842" t="s">
        <v>75</v>
      </c>
      <c r="R294" s="842"/>
      <c r="S294" s="842" t="s">
        <v>339</v>
      </c>
      <c r="T294" s="842" t="s">
        <v>95</v>
      </c>
      <c r="U294" s="842">
        <v>200</v>
      </c>
      <c r="V294" s="842">
        <v>303335</v>
      </c>
      <c r="W294" s="842" t="s">
        <v>75</v>
      </c>
      <c r="X294" s="842" t="s">
        <v>75</v>
      </c>
      <c r="Y294" s="842"/>
      <c r="Z294" s="842" t="s">
        <v>75</v>
      </c>
      <c r="AA294" s="842">
        <v>258492</v>
      </c>
      <c r="AB294" s="842">
        <v>200</v>
      </c>
      <c r="AC294" s="842" t="s">
        <v>75</v>
      </c>
      <c r="AD294" s="842" t="s">
        <v>75</v>
      </c>
      <c r="AE294" s="842" t="s">
        <v>75</v>
      </c>
      <c r="AF294" s="842" t="s">
        <v>75</v>
      </c>
      <c r="AG294" s="842" t="s">
        <v>75</v>
      </c>
      <c r="AH294" s="842" t="s">
        <v>75</v>
      </c>
      <c r="AI294" s="842" t="s">
        <v>75</v>
      </c>
      <c r="AJ294" s="787">
        <f t="shared" si="20"/>
        <v>258492</v>
      </c>
      <c r="AK294" s="842" t="s">
        <v>75</v>
      </c>
      <c r="AL294" s="842" t="s">
        <v>75</v>
      </c>
      <c r="AM294" s="842"/>
      <c r="AN294" s="842" t="s">
        <v>75</v>
      </c>
      <c r="AO294" s="842" t="s">
        <v>75</v>
      </c>
      <c r="AP294" s="842" t="s">
        <v>75</v>
      </c>
      <c r="AQ294" s="842" t="s">
        <v>75</v>
      </c>
      <c r="AR294" s="842" t="s">
        <v>75</v>
      </c>
      <c r="AS294" s="842" t="s">
        <v>75</v>
      </c>
      <c r="AT294" s="842" t="s">
        <v>75</v>
      </c>
      <c r="AU294" s="276" t="s">
        <v>631</v>
      </c>
    </row>
    <row r="295" spans="1:47" s="785" customFormat="1" ht="14.1" customHeight="1">
      <c r="A295" s="794">
        <v>293</v>
      </c>
      <c r="B295" s="785" t="s">
        <v>502</v>
      </c>
      <c r="C295" s="785" t="s">
        <v>1299</v>
      </c>
      <c r="D295" s="792">
        <v>39825</v>
      </c>
      <c r="E295" s="792">
        <v>39995</v>
      </c>
      <c r="F295" s="791">
        <v>2009</v>
      </c>
      <c r="G295" s="789" t="s">
        <v>168</v>
      </c>
      <c r="H295" s="800" t="s">
        <v>1449</v>
      </c>
      <c r="I295" s="785" t="s">
        <v>662</v>
      </c>
      <c r="J295" s="800" t="s">
        <v>2331</v>
      </c>
      <c r="K295" s="842">
        <v>353120</v>
      </c>
      <c r="L295" s="842">
        <v>75422</v>
      </c>
      <c r="M295" s="842">
        <v>71119</v>
      </c>
      <c r="N295" s="842">
        <v>71119</v>
      </c>
      <c r="O295" s="808">
        <f t="shared" si="19"/>
        <v>0.20140178975985501</v>
      </c>
      <c r="P295" s="842">
        <v>94</v>
      </c>
      <c r="Q295" s="842">
        <v>40000</v>
      </c>
      <c r="R295" s="842" t="s">
        <v>339</v>
      </c>
      <c r="S295" s="842">
        <v>40000</v>
      </c>
      <c r="T295" s="842" t="s">
        <v>95</v>
      </c>
      <c r="U295" s="842">
        <v>65</v>
      </c>
      <c r="V295" s="842">
        <v>2000</v>
      </c>
      <c r="W295" s="842" t="s">
        <v>75</v>
      </c>
      <c r="X295" s="842" t="s">
        <v>75</v>
      </c>
      <c r="Y295" s="808"/>
      <c r="Z295" s="842" t="s">
        <v>75</v>
      </c>
      <c r="AA295" s="842">
        <v>40000</v>
      </c>
      <c r="AB295" s="842" t="s">
        <v>75</v>
      </c>
      <c r="AC295" s="842">
        <v>285</v>
      </c>
      <c r="AD295" s="842" t="s">
        <v>75</v>
      </c>
      <c r="AE295" s="842" t="s">
        <v>75</v>
      </c>
      <c r="AF295" s="842" t="s">
        <v>75</v>
      </c>
      <c r="AG295" s="842" t="s">
        <v>75</v>
      </c>
      <c r="AH295" s="842" t="s">
        <v>75</v>
      </c>
      <c r="AI295" s="842" t="s">
        <v>75</v>
      </c>
      <c r="AJ295" s="787">
        <f t="shared" si="20"/>
        <v>40000</v>
      </c>
      <c r="AK295" s="842">
        <v>1000</v>
      </c>
      <c r="AL295" s="842">
        <v>839</v>
      </c>
      <c r="AM295" s="842"/>
      <c r="AN295" s="842" t="s">
        <v>75</v>
      </c>
      <c r="AO295" s="842" t="s">
        <v>75</v>
      </c>
      <c r="AP295" s="842" t="s">
        <v>75</v>
      </c>
      <c r="AQ295" s="842" t="s">
        <v>75</v>
      </c>
      <c r="AR295" s="842" t="s">
        <v>75</v>
      </c>
      <c r="AS295" s="842" t="s">
        <v>75</v>
      </c>
      <c r="AT295" s="842" t="s">
        <v>75</v>
      </c>
      <c r="AU295" s="344" t="s">
        <v>661</v>
      </c>
    </row>
    <row r="296" spans="1:47" s="785" customFormat="1" ht="15.75" customHeight="1">
      <c r="A296" s="794">
        <v>294</v>
      </c>
      <c r="B296" s="785" t="s">
        <v>270</v>
      </c>
      <c r="C296" s="785" t="s">
        <v>1299</v>
      </c>
      <c r="D296" s="792">
        <v>39918</v>
      </c>
      <c r="E296" s="792"/>
      <c r="F296" s="791">
        <v>2009</v>
      </c>
      <c r="G296" s="789" t="s">
        <v>709</v>
      </c>
      <c r="H296" s="800" t="s">
        <v>1454</v>
      </c>
      <c r="I296" s="785" t="s">
        <v>708</v>
      </c>
      <c r="J296" s="800" t="s">
        <v>2331</v>
      </c>
      <c r="K296" s="842">
        <v>500000</v>
      </c>
      <c r="L296" s="842">
        <v>63777</v>
      </c>
      <c r="M296" s="842">
        <v>63679</v>
      </c>
      <c r="N296" s="842">
        <v>63679</v>
      </c>
      <c r="O296" s="808">
        <f t="shared" si="19"/>
        <v>0.127358</v>
      </c>
      <c r="P296" s="842">
        <v>100</v>
      </c>
      <c r="Q296" s="842" t="s">
        <v>339</v>
      </c>
      <c r="R296" s="842" t="s">
        <v>339</v>
      </c>
      <c r="S296" s="842">
        <v>7500</v>
      </c>
      <c r="T296" s="842" t="s">
        <v>95</v>
      </c>
      <c r="U296" s="842" t="s">
        <v>75</v>
      </c>
      <c r="V296" s="842" t="s">
        <v>75</v>
      </c>
      <c r="W296" s="842">
        <v>1155</v>
      </c>
      <c r="X296" s="842">
        <v>1086</v>
      </c>
      <c r="Y296" s="808">
        <f>X296/S296</f>
        <v>0.14480000000000001</v>
      </c>
      <c r="Z296" s="842" t="s">
        <v>75</v>
      </c>
      <c r="AA296" s="842" t="s">
        <v>75</v>
      </c>
      <c r="AB296" s="842" t="s">
        <v>75</v>
      </c>
      <c r="AC296" s="842" t="s">
        <v>75</v>
      </c>
      <c r="AD296" s="842" t="s">
        <v>75</v>
      </c>
      <c r="AE296" s="842" t="s">
        <v>75</v>
      </c>
      <c r="AF296" s="842" t="s">
        <v>75</v>
      </c>
      <c r="AG296" s="842" t="s">
        <v>75</v>
      </c>
      <c r="AH296" s="842" t="s">
        <v>75</v>
      </c>
      <c r="AI296" s="842" t="s">
        <v>75</v>
      </c>
      <c r="AJ296" s="787">
        <f t="shared" si="20"/>
        <v>0</v>
      </c>
      <c r="AK296" s="842" t="s">
        <v>75</v>
      </c>
      <c r="AL296" s="842" t="s">
        <v>75</v>
      </c>
      <c r="AM296" s="842"/>
      <c r="AN296" s="842" t="s">
        <v>75</v>
      </c>
      <c r="AO296" s="842" t="s">
        <v>75</v>
      </c>
      <c r="AP296" s="842" t="s">
        <v>75</v>
      </c>
      <c r="AQ296" s="842" t="s">
        <v>75</v>
      </c>
      <c r="AR296" s="842" t="s">
        <v>75</v>
      </c>
      <c r="AS296" s="842" t="s">
        <v>75</v>
      </c>
      <c r="AT296" s="842" t="s">
        <v>75</v>
      </c>
      <c r="AU296" s="344" t="s">
        <v>707</v>
      </c>
    </row>
    <row r="297" spans="1:47" s="785" customFormat="1" ht="16.5" customHeight="1">
      <c r="A297" s="794">
        <v>295</v>
      </c>
      <c r="B297" s="857" t="s">
        <v>607</v>
      </c>
      <c r="C297" s="857" t="s">
        <v>1299</v>
      </c>
      <c r="D297" s="840">
        <v>40026</v>
      </c>
      <c r="E297" s="840">
        <v>40210</v>
      </c>
      <c r="F297" s="791">
        <v>2009</v>
      </c>
      <c r="G297" s="857" t="s">
        <v>1243</v>
      </c>
      <c r="H297" s="800" t="s">
        <v>1449</v>
      </c>
      <c r="I297" s="857" t="s">
        <v>1242</v>
      </c>
      <c r="J297" s="800" t="s">
        <v>2331</v>
      </c>
      <c r="K297" s="817">
        <v>750000</v>
      </c>
      <c r="L297" s="817">
        <v>226225</v>
      </c>
      <c r="M297" s="817">
        <v>226225</v>
      </c>
      <c r="N297" s="817">
        <v>226178</v>
      </c>
      <c r="O297" s="808">
        <f t="shared" si="19"/>
        <v>0.30157066666666665</v>
      </c>
      <c r="P297" s="817">
        <v>100</v>
      </c>
      <c r="Q297" s="848">
        <v>750000</v>
      </c>
      <c r="R297" s="817"/>
      <c r="S297" s="848">
        <v>750000</v>
      </c>
      <c r="T297" s="817" t="s">
        <v>2</v>
      </c>
      <c r="U297" s="817">
        <v>42</v>
      </c>
      <c r="V297" s="817">
        <v>750000</v>
      </c>
      <c r="W297" s="817">
        <v>38638</v>
      </c>
      <c r="X297" s="817">
        <v>607</v>
      </c>
      <c r="Y297" s="808">
        <f>X297/S297</f>
        <v>8.0933333333333335E-4</v>
      </c>
      <c r="Z297" s="817"/>
      <c r="AA297" s="817">
        <v>175000</v>
      </c>
      <c r="AB297" s="817"/>
      <c r="AC297" s="817">
        <v>29</v>
      </c>
      <c r="AD297" s="817"/>
      <c r="AE297" s="817"/>
      <c r="AF297" s="817"/>
      <c r="AG297" s="817"/>
      <c r="AH297" s="817"/>
      <c r="AI297" s="817"/>
      <c r="AJ297" s="787">
        <f t="shared" si="20"/>
        <v>175000</v>
      </c>
      <c r="AK297" s="817">
        <v>57270</v>
      </c>
      <c r="AL297" s="817">
        <v>13695</v>
      </c>
      <c r="AM297" s="817"/>
      <c r="AN297" s="817"/>
      <c r="AO297" s="817"/>
      <c r="AP297" s="817"/>
      <c r="AQ297" s="817"/>
      <c r="AR297" s="817"/>
      <c r="AS297" s="817"/>
      <c r="AT297" s="817"/>
      <c r="AU297" s="343" t="s">
        <v>1244</v>
      </c>
    </row>
    <row r="298" spans="1:47" s="785" customFormat="1" ht="14.25" customHeight="1">
      <c r="A298" s="794">
        <v>296</v>
      </c>
      <c r="B298" s="906" t="s">
        <v>244</v>
      </c>
      <c r="C298" s="906" t="s">
        <v>1299</v>
      </c>
      <c r="D298" s="909">
        <v>40087</v>
      </c>
      <c r="E298" s="909">
        <v>40269</v>
      </c>
      <c r="F298" s="791">
        <v>2009</v>
      </c>
      <c r="G298" s="846" t="s">
        <v>168</v>
      </c>
      <c r="H298" s="800" t="s">
        <v>1449</v>
      </c>
      <c r="I298" s="906" t="s">
        <v>1618</v>
      </c>
      <c r="J298" s="800" t="s">
        <v>2331</v>
      </c>
      <c r="K298" s="907">
        <v>800000</v>
      </c>
      <c r="L298" s="907">
        <v>203420</v>
      </c>
      <c r="M298" s="907">
        <v>203272</v>
      </c>
      <c r="N298" s="907">
        <v>203272</v>
      </c>
      <c r="O298" s="808">
        <f t="shared" si="19"/>
        <v>0.25408999999999998</v>
      </c>
      <c r="P298" s="907">
        <v>100</v>
      </c>
      <c r="Q298" s="907">
        <v>800000</v>
      </c>
      <c r="R298" s="907">
        <v>525420</v>
      </c>
      <c r="S298" s="907">
        <v>800000</v>
      </c>
      <c r="T298" s="907"/>
      <c r="U298" s="907"/>
      <c r="V298" s="907">
        <v>362606</v>
      </c>
      <c r="W298" s="907">
        <v>59267</v>
      </c>
      <c r="X298" s="907">
        <v>4277</v>
      </c>
      <c r="Y298" s="808">
        <f>X298/S298</f>
        <v>5.3462500000000003E-3</v>
      </c>
      <c r="Z298" s="907"/>
      <c r="AA298" s="907">
        <v>362606</v>
      </c>
      <c r="AB298" s="907">
        <v>515</v>
      </c>
      <c r="AC298" s="907">
        <v>224</v>
      </c>
      <c r="AD298" s="907"/>
      <c r="AE298" s="907"/>
      <c r="AF298" s="907"/>
      <c r="AG298" s="907"/>
      <c r="AH298" s="907">
        <v>53</v>
      </c>
      <c r="AI298" s="907"/>
      <c r="AJ298" s="787">
        <f t="shared" si="20"/>
        <v>362659</v>
      </c>
      <c r="AK298" s="907">
        <v>31413</v>
      </c>
      <c r="AL298" s="907">
        <v>11648</v>
      </c>
      <c r="AM298" s="907"/>
      <c r="AN298" s="907"/>
      <c r="AO298" s="907"/>
      <c r="AP298" s="907"/>
      <c r="AQ298" s="907"/>
      <c r="AR298" s="907"/>
      <c r="AS298" s="907"/>
      <c r="AT298" s="907"/>
      <c r="AU298" s="276" t="s">
        <v>1489</v>
      </c>
    </row>
    <row r="299" spans="1:47" s="785" customFormat="1" ht="15" customHeight="1">
      <c r="A299" s="794">
        <v>297</v>
      </c>
      <c r="B299" s="785" t="s">
        <v>732</v>
      </c>
      <c r="C299" s="785" t="s">
        <v>1559</v>
      </c>
      <c r="D299" s="792">
        <v>39933</v>
      </c>
      <c r="E299" s="792">
        <v>40117</v>
      </c>
      <c r="F299" s="791">
        <v>2009</v>
      </c>
      <c r="G299" s="789" t="s">
        <v>731</v>
      </c>
      <c r="H299" s="800" t="s">
        <v>1449</v>
      </c>
      <c r="I299" s="785" t="s">
        <v>730</v>
      </c>
      <c r="J299" s="812" t="s">
        <v>2438</v>
      </c>
      <c r="K299" s="842">
        <v>976000</v>
      </c>
      <c r="L299" s="842">
        <v>1800000</v>
      </c>
      <c r="M299" s="842"/>
      <c r="N299" s="842"/>
      <c r="O299" s="808">
        <f t="shared" si="19"/>
        <v>0</v>
      </c>
      <c r="P299" s="842"/>
      <c r="Q299" s="842" t="s">
        <v>75</v>
      </c>
      <c r="R299" s="842" t="s">
        <v>75</v>
      </c>
      <c r="S299" s="842" t="s">
        <v>75</v>
      </c>
      <c r="T299" s="842" t="s">
        <v>95</v>
      </c>
      <c r="U299" s="842" t="s">
        <v>339</v>
      </c>
      <c r="V299" s="842" t="s">
        <v>339</v>
      </c>
      <c r="W299" s="842" t="s">
        <v>75</v>
      </c>
      <c r="X299" s="842" t="s">
        <v>75</v>
      </c>
      <c r="Y299" s="842"/>
      <c r="Z299" s="842" t="s">
        <v>75</v>
      </c>
      <c r="AA299" s="842" t="s">
        <v>75</v>
      </c>
      <c r="AB299" s="842" t="s">
        <v>75</v>
      </c>
      <c r="AC299" s="842" t="s">
        <v>75</v>
      </c>
      <c r="AD299" s="842" t="s">
        <v>75</v>
      </c>
      <c r="AE299" s="842" t="s">
        <v>75</v>
      </c>
      <c r="AF299" s="842" t="s">
        <v>75</v>
      </c>
      <c r="AG299" s="842" t="s">
        <v>75</v>
      </c>
      <c r="AH299" s="842" t="s">
        <v>75</v>
      </c>
      <c r="AI299" s="842" t="s">
        <v>75</v>
      </c>
      <c r="AJ299" s="787">
        <f t="shared" si="20"/>
        <v>0</v>
      </c>
      <c r="AK299" s="842" t="s">
        <v>75</v>
      </c>
      <c r="AL299" s="842" t="s">
        <v>75</v>
      </c>
      <c r="AM299" s="842"/>
      <c r="AN299" s="842" t="s">
        <v>75</v>
      </c>
      <c r="AO299" s="842" t="s">
        <v>75</v>
      </c>
      <c r="AP299" s="842" t="s">
        <v>75</v>
      </c>
      <c r="AQ299" s="842" t="s">
        <v>75</v>
      </c>
      <c r="AR299" s="842" t="s">
        <v>75</v>
      </c>
      <c r="AS299" s="842" t="s">
        <v>75</v>
      </c>
      <c r="AT299" s="842" t="s">
        <v>75</v>
      </c>
      <c r="AU299" s="344" t="s">
        <v>729</v>
      </c>
    </row>
    <row r="300" spans="1:47" s="906" customFormat="1" ht="15.75" customHeight="1">
      <c r="A300" s="794">
        <v>298</v>
      </c>
      <c r="B300" s="785" t="s">
        <v>119</v>
      </c>
      <c r="C300" s="785" t="s">
        <v>1299</v>
      </c>
      <c r="D300" s="792">
        <v>39845</v>
      </c>
      <c r="E300" s="792">
        <v>40087</v>
      </c>
      <c r="F300" s="791">
        <v>2009</v>
      </c>
      <c r="G300" s="789" t="s">
        <v>1486</v>
      </c>
      <c r="H300" s="800" t="s">
        <v>1449</v>
      </c>
      <c r="I300" s="785" t="s">
        <v>1487</v>
      </c>
      <c r="J300" s="800" t="s">
        <v>2331</v>
      </c>
      <c r="K300" s="842">
        <v>3000000</v>
      </c>
      <c r="L300" s="842">
        <v>99400</v>
      </c>
      <c r="M300" s="842">
        <v>89929</v>
      </c>
      <c r="N300" s="842">
        <v>89929</v>
      </c>
      <c r="O300" s="808">
        <f t="shared" si="19"/>
        <v>2.9976333333333334E-2</v>
      </c>
      <c r="P300" s="842">
        <v>90</v>
      </c>
      <c r="Q300" s="842"/>
      <c r="R300" s="842"/>
      <c r="S300" s="842"/>
      <c r="T300" s="842"/>
      <c r="U300" s="842"/>
      <c r="V300" s="907"/>
      <c r="W300" s="842"/>
      <c r="X300" s="842"/>
      <c r="Y300" s="842"/>
      <c r="Z300" s="842"/>
      <c r="AA300" s="842">
        <v>394953</v>
      </c>
      <c r="AB300" s="842">
        <v>835</v>
      </c>
      <c r="AC300" s="842"/>
      <c r="AD300" s="842"/>
      <c r="AE300" s="842"/>
      <c r="AF300" s="842"/>
      <c r="AG300" s="842"/>
      <c r="AH300" s="842"/>
      <c r="AI300" s="842"/>
      <c r="AJ300" s="787">
        <f t="shared" si="20"/>
        <v>394953</v>
      </c>
      <c r="AK300" s="842"/>
      <c r="AL300" s="842"/>
      <c r="AM300" s="842"/>
      <c r="AN300" s="842"/>
      <c r="AO300" s="842"/>
      <c r="AP300" s="842"/>
      <c r="AQ300" s="842"/>
      <c r="AR300" s="842"/>
      <c r="AS300" s="842"/>
      <c r="AT300" s="842"/>
      <c r="AU300" s="276" t="s">
        <v>1488</v>
      </c>
    </row>
    <row r="301" spans="1:47" s="906" customFormat="1" ht="15.75" customHeight="1">
      <c r="A301" s="794">
        <v>299</v>
      </c>
      <c r="B301" s="906" t="s">
        <v>97</v>
      </c>
      <c r="C301" s="906" t="s">
        <v>1299</v>
      </c>
      <c r="D301" s="909">
        <v>39873</v>
      </c>
      <c r="E301" s="909">
        <v>39965</v>
      </c>
      <c r="F301" s="791">
        <v>2009</v>
      </c>
      <c r="G301" s="846" t="s">
        <v>569</v>
      </c>
      <c r="H301" s="800" t="s">
        <v>1449</v>
      </c>
      <c r="I301" s="906" t="s">
        <v>1493</v>
      </c>
      <c r="J301" s="800" t="s">
        <v>2331</v>
      </c>
      <c r="K301" s="907">
        <v>3960000</v>
      </c>
      <c r="L301" s="907">
        <v>68828</v>
      </c>
      <c r="M301" s="907">
        <v>66731</v>
      </c>
      <c r="N301" s="907">
        <v>66731</v>
      </c>
      <c r="O301" s="808">
        <f t="shared" si="19"/>
        <v>1.6851262626262627E-2</v>
      </c>
      <c r="P301" s="907">
        <v>97</v>
      </c>
      <c r="Q301" s="907"/>
      <c r="R301" s="907"/>
      <c r="S301" s="907"/>
      <c r="T301" s="907"/>
      <c r="U301" s="907"/>
      <c r="V301" s="907"/>
      <c r="W301" s="907"/>
      <c r="X301" s="907"/>
      <c r="Y301" s="907"/>
      <c r="Z301" s="907"/>
      <c r="AA301" s="907">
        <v>562196</v>
      </c>
      <c r="AB301" s="907">
        <v>660</v>
      </c>
      <c r="AC301" s="907"/>
      <c r="AD301" s="907"/>
      <c r="AE301" s="907"/>
      <c r="AF301" s="907"/>
      <c r="AG301" s="907"/>
      <c r="AH301" s="907"/>
      <c r="AI301" s="907"/>
      <c r="AJ301" s="787">
        <f t="shared" si="20"/>
        <v>562196</v>
      </c>
      <c r="AK301" s="907"/>
      <c r="AL301" s="907"/>
      <c r="AM301" s="907"/>
      <c r="AN301" s="907"/>
      <c r="AO301" s="907"/>
      <c r="AP301" s="907"/>
      <c r="AQ301" s="907"/>
      <c r="AR301" s="907"/>
      <c r="AS301" s="907"/>
      <c r="AT301" s="907"/>
      <c r="AU301" s="276" t="s">
        <v>1490</v>
      </c>
    </row>
    <row r="302" spans="1:47" s="906" customFormat="1" ht="13.5" customHeight="1">
      <c r="A302" s="794">
        <v>300</v>
      </c>
      <c r="B302" s="857" t="s">
        <v>972</v>
      </c>
      <c r="C302" s="857" t="s">
        <v>1299</v>
      </c>
      <c r="D302" s="840">
        <v>40148</v>
      </c>
      <c r="E302" s="840">
        <v>40210</v>
      </c>
      <c r="F302" s="791">
        <v>2009</v>
      </c>
      <c r="G302" s="857" t="s">
        <v>863</v>
      </c>
      <c r="H302" s="800" t="s">
        <v>1449</v>
      </c>
      <c r="I302" s="857" t="s">
        <v>973</v>
      </c>
      <c r="J302" s="812" t="s">
        <v>2438</v>
      </c>
      <c r="K302" s="817">
        <v>25000000</v>
      </c>
      <c r="L302" s="817">
        <v>2588533</v>
      </c>
      <c r="M302" s="817">
        <f>735587+657161+80245</f>
        <v>1472993</v>
      </c>
      <c r="N302" s="817">
        <v>1419206</v>
      </c>
      <c r="O302" s="808">
        <f t="shared" si="19"/>
        <v>5.6768239999999998E-2</v>
      </c>
      <c r="P302" s="817">
        <f>(N302*100)/L302</f>
        <v>54.826652779779124</v>
      </c>
      <c r="Q302" s="817"/>
      <c r="R302" s="817"/>
      <c r="S302" s="817"/>
      <c r="T302" s="817"/>
      <c r="U302" s="817"/>
      <c r="V302" s="817"/>
      <c r="W302" s="817"/>
      <c r="X302" s="817">
        <v>456</v>
      </c>
      <c r="Y302" s="817"/>
      <c r="Z302" s="817"/>
      <c r="AA302" s="817">
        <v>8932994</v>
      </c>
      <c r="AB302" s="817">
        <v>18981</v>
      </c>
      <c r="AC302" s="817"/>
      <c r="AD302" s="817"/>
      <c r="AE302" s="817"/>
      <c r="AF302" s="817"/>
      <c r="AG302" s="817"/>
      <c r="AH302" s="817"/>
      <c r="AI302" s="817"/>
      <c r="AJ302" s="787">
        <f t="shared" si="20"/>
        <v>8932994</v>
      </c>
      <c r="AK302" s="817">
        <v>78427</v>
      </c>
      <c r="AL302" s="817">
        <v>3937</v>
      </c>
      <c r="AM302" s="817"/>
      <c r="AN302" s="817"/>
      <c r="AO302" s="817"/>
      <c r="AP302" s="817"/>
      <c r="AQ302" s="817"/>
      <c r="AR302" s="817"/>
      <c r="AS302" s="817"/>
      <c r="AT302" s="817"/>
      <c r="AU302" s="320" t="s">
        <v>974</v>
      </c>
    </row>
    <row r="303" spans="1:47" s="906" customFormat="1" ht="15" customHeight="1">
      <c r="A303" s="794">
        <v>301</v>
      </c>
      <c r="B303" s="857" t="s">
        <v>1040</v>
      </c>
      <c r="C303" s="857" t="s">
        <v>1286</v>
      </c>
      <c r="D303" s="840">
        <v>40057</v>
      </c>
      <c r="E303" s="840">
        <v>40238</v>
      </c>
      <c r="F303" s="791">
        <v>2009</v>
      </c>
      <c r="G303" s="857" t="s">
        <v>1161</v>
      </c>
      <c r="H303" s="800" t="s">
        <v>1452</v>
      </c>
      <c r="I303" s="857" t="s">
        <v>1246</v>
      </c>
      <c r="J303" s="800" t="s">
        <v>2331</v>
      </c>
      <c r="K303" s="817" t="s">
        <v>134</v>
      </c>
      <c r="L303" s="817">
        <v>150000</v>
      </c>
      <c r="M303" s="817">
        <v>128349</v>
      </c>
      <c r="N303" s="817">
        <v>128349</v>
      </c>
      <c r="O303" s="808"/>
      <c r="P303" s="817">
        <v>86</v>
      </c>
      <c r="Q303" s="817"/>
      <c r="R303" s="817"/>
      <c r="S303" s="817"/>
      <c r="T303" s="817"/>
      <c r="U303" s="817"/>
      <c r="V303" s="817"/>
      <c r="W303" s="817"/>
      <c r="X303" s="817"/>
      <c r="Y303" s="817"/>
      <c r="Z303" s="817"/>
      <c r="AA303" s="817"/>
      <c r="AB303" s="817">
        <v>50</v>
      </c>
      <c r="AC303" s="817"/>
      <c r="AD303" s="817"/>
      <c r="AE303" s="817"/>
      <c r="AF303" s="817"/>
      <c r="AG303" s="817"/>
      <c r="AH303" s="817">
        <v>150</v>
      </c>
      <c r="AI303" s="817"/>
      <c r="AJ303" s="787">
        <f t="shared" si="20"/>
        <v>150</v>
      </c>
      <c r="AK303" s="817">
        <v>74783</v>
      </c>
      <c r="AL303" s="817">
        <v>71917</v>
      </c>
      <c r="AM303" s="817"/>
      <c r="AN303" s="817"/>
      <c r="AO303" s="817"/>
      <c r="AP303" s="817"/>
      <c r="AQ303" s="817"/>
      <c r="AR303" s="817"/>
      <c r="AS303" s="817"/>
      <c r="AT303" s="817"/>
      <c r="AU303" s="857" t="s">
        <v>1245</v>
      </c>
    </row>
    <row r="304" spans="1:47" s="906" customFormat="1" ht="15" customHeight="1">
      <c r="A304" s="794">
        <v>302</v>
      </c>
      <c r="B304" s="857" t="s">
        <v>1213</v>
      </c>
      <c r="C304" s="857" t="s">
        <v>1286</v>
      </c>
      <c r="D304" s="840">
        <v>39845</v>
      </c>
      <c r="E304" s="840">
        <v>40087</v>
      </c>
      <c r="F304" s="791">
        <v>2009</v>
      </c>
      <c r="G304" s="857" t="s">
        <v>1572</v>
      </c>
      <c r="H304" s="800" t="s">
        <v>1451</v>
      </c>
      <c r="I304" s="857" t="s">
        <v>1571</v>
      </c>
      <c r="J304" s="800" t="s">
        <v>2331</v>
      </c>
      <c r="K304" s="817">
        <v>5000</v>
      </c>
      <c r="L304" s="817">
        <v>164000</v>
      </c>
      <c r="M304" s="817">
        <v>148670</v>
      </c>
      <c r="N304" s="817">
        <v>148670</v>
      </c>
      <c r="O304" s="808">
        <f t="shared" ref="O304:O320" si="22">N304/K304</f>
        <v>29.734000000000002</v>
      </c>
      <c r="P304" s="817">
        <v>91</v>
      </c>
      <c r="Q304" s="817">
        <v>3000</v>
      </c>
      <c r="R304" s="817">
        <v>3000</v>
      </c>
      <c r="S304" s="817">
        <v>3000</v>
      </c>
      <c r="T304" s="817"/>
      <c r="U304" s="817"/>
      <c r="V304" s="817">
        <v>1758</v>
      </c>
      <c r="W304" s="817">
        <v>10200</v>
      </c>
      <c r="X304" s="817">
        <v>3627</v>
      </c>
      <c r="Y304" s="808">
        <f>X304/S304</f>
        <v>1.2090000000000001</v>
      </c>
      <c r="Z304" s="817">
        <v>2300</v>
      </c>
      <c r="AA304" s="817">
        <v>5000</v>
      </c>
      <c r="AB304" s="817"/>
      <c r="AC304" s="817"/>
      <c r="AD304" s="817"/>
      <c r="AE304" s="817"/>
      <c r="AF304" s="817"/>
      <c r="AG304" s="817"/>
      <c r="AH304" s="817"/>
      <c r="AI304" s="817"/>
      <c r="AJ304" s="787">
        <f t="shared" si="20"/>
        <v>7300</v>
      </c>
      <c r="AK304" s="817"/>
      <c r="AL304" s="817"/>
      <c r="AM304" s="817"/>
      <c r="AN304" s="817"/>
      <c r="AO304" s="817"/>
      <c r="AP304" s="817"/>
      <c r="AQ304" s="817"/>
      <c r="AR304" s="817"/>
      <c r="AS304" s="817"/>
      <c r="AT304" s="817"/>
      <c r="AU304" s="343" t="s">
        <v>1570</v>
      </c>
    </row>
    <row r="305" spans="1:47" s="906" customFormat="1" ht="15" customHeight="1">
      <c r="A305" s="794">
        <v>303</v>
      </c>
      <c r="B305" s="857" t="s">
        <v>1213</v>
      </c>
      <c r="C305" s="857" t="s">
        <v>1286</v>
      </c>
      <c r="D305" s="840">
        <v>39814</v>
      </c>
      <c r="E305" s="840">
        <v>40148</v>
      </c>
      <c r="F305" s="791">
        <v>2009</v>
      </c>
      <c r="G305" s="857" t="s">
        <v>1001</v>
      </c>
      <c r="H305" s="800" t="s">
        <v>1449</v>
      </c>
      <c r="I305" s="857" t="s">
        <v>1621</v>
      </c>
      <c r="J305" s="800" t="s">
        <v>2331</v>
      </c>
      <c r="K305" s="817">
        <v>120000</v>
      </c>
      <c r="L305" s="817">
        <v>184012</v>
      </c>
      <c r="M305" s="817">
        <v>128084</v>
      </c>
      <c r="N305" s="817">
        <v>128084</v>
      </c>
      <c r="O305" s="808">
        <f t="shared" si="22"/>
        <v>1.0673666666666666</v>
      </c>
      <c r="P305" s="817">
        <v>70</v>
      </c>
      <c r="Q305" s="817"/>
      <c r="R305" s="817"/>
      <c r="S305" s="817"/>
      <c r="T305" s="817"/>
      <c r="U305" s="817"/>
      <c r="V305" s="817">
        <v>1680000</v>
      </c>
      <c r="W305" s="817">
        <v>6128</v>
      </c>
      <c r="X305" s="817">
        <v>9931</v>
      </c>
      <c r="Y305" s="817"/>
      <c r="Z305" s="817"/>
      <c r="AA305" s="817">
        <v>120000</v>
      </c>
      <c r="AB305" s="817">
        <v>446</v>
      </c>
      <c r="AC305" s="817"/>
      <c r="AD305" s="817"/>
      <c r="AE305" s="817"/>
      <c r="AF305" s="817"/>
      <c r="AG305" s="817"/>
      <c r="AH305" s="817"/>
      <c r="AI305" s="817"/>
      <c r="AJ305" s="787">
        <f t="shared" si="20"/>
        <v>120000</v>
      </c>
      <c r="AK305" s="817"/>
      <c r="AL305" s="817"/>
      <c r="AM305" s="817"/>
      <c r="AN305" s="817"/>
      <c r="AO305" s="817"/>
      <c r="AP305" s="817"/>
      <c r="AQ305" s="817"/>
      <c r="AR305" s="817"/>
      <c r="AS305" s="817"/>
      <c r="AT305" s="817"/>
      <c r="AU305" s="343" t="s">
        <v>1619</v>
      </c>
    </row>
    <row r="306" spans="1:47" s="906" customFormat="1" ht="15" customHeight="1">
      <c r="A306" s="794">
        <v>304</v>
      </c>
      <c r="B306" s="812" t="s">
        <v>354</v>
      </c>
      <c r="C306" s="857" t="s">
        <v>1260</v>
      </c>
      <c r="D306" s="840">
        <v>39814</v>
      </c>
      <c r="E306" s="840">
        <v>39845</v>
      </c>
      <c r="F306" s="791">
        <v>2009</v>
      </c>
      <c r="G306" s="857" t="s">
        <v>834</v>
      </c>
      <c r="H306" s="800" t="s">
        <v>1453</v>
      </c>
      <c r="I306" s="857" t="s">
        <v>1623</v>
      </c>
      <c r="J306" s="800" t="s">
        <v>2331</v>
      </c>
      <c r="K306" s="817">
        <v>5000</v>
      </c>
      <c r="L306" s="817">
        <v>166370</v>
      </c>
      <c r="M306" s="817">
        <v>166370</v>
      </c>
      <c r="N306" s="817">
        <v>120843</v>
      </c>
      <c r="O306" s="808">
        <f t="shared" si="22"/>
        <v>24.168600000000001</v>
      </c>
      <c r="P306" s="817">
        <v>100</v>
      </c>
      <c r="Q306" s="817"/>
      <c r="R306" s="817"/>
      <c r="S306" s="817"/>
      <c r="T306" s="817"/>
      <c r="U306" s="817"/>
      <c r="V306" s="817"/>
      <c r="W306" s="817"/>
      <c r="X306" s="817"/>
      <c r="Y306" s="817"/>
      <c r="Z306" s="817"/>
      <c r="AA306" s="817"/>
      <c r="AB306" s="817"/>
      <c r="AC306" s="817"/>
      <c r="AD306" s="817"/>
      <c r="AE306" s="817"/>
      <c r="AF306" s="817"/>
      <c r="AG306" s="817"/>
      <c r="AH306" s="817"/>
      <c r="AI306" s="817"/>
      <c r="AJ306" s="787">
        <f t="shared" si="20"/>
        <v>0</v>
      </c>
      <c r="AK306" s="817"/>
      <c r="AL306" s="817"/>
      <c r="AM306" s="817"/>
      <c r="AN306" s="817"/>
      <c r="AO306" s="817"/>
      <c r="AP306" s="817"/>
      <c r="AQ306" s="817"/>
      <c r="AR306" s="817"/>
      <c r="AS306" s="817"/>
      <c r="AT306" s="817"/>
      <c r="AU306" s="343" t="s">
        <v>1622</v>
      </c>
    </row>
    <row r="307" spans="1:47" s="906" customFormat="1" ht="15" customHeight="1">
      <c r="A307" s="794">
        <v>305</v>
      </c>
      <c r="B307" s="812" t="s">
        <v>354</v>
      </c>
      <c r="C307" s="857" t="s">
        <v>1260</v>
      </c>
      <c r="D307" s="840">
        <v>39845</v>
      </c>
      <c r="E307" s="840">
        <v>39934</v>
      </c>
      <c r="F307" s="791">
        <v>2009</v>
      </c>
      <c r="G307" s="857" t="s">
        <v>5</v>
      </c>
      <c r="H307" s="800" t="s">
        <v>1451</v>
      </c>
      <c r="I307" s="857" t="s">
        <v>1625</v>
      </c>
      <c r="J307" s="800" t="s">
        <v>2331</v>
      </c>
      <c r="K307" s="817">
        <v>2630</v>
      </c>
      <c r="L307" s="817">
        <v>100000</v>
      </c>
      <c r="M307" s="817">
        <v>100000</v>
      </c>
      <c r="N307" s="817">
        <v>94972</v>
      </c>
      <c r="O307" s="808">
        <f t="shared" si="22"/>
        <v>36.111026615969578</v>
      </c>
      <c r="P307" s="817">
        <v>100</v>
      </c>
      <c r="Q307" s="817">
        <v>3825</v>
      </c>
      <c r="R307" s="817"/>
      <c r="S307" s="817">
        <v>3825</v>
      </c>
      <c r="T307" s="817"/>
      <c r="U307" s="817"/>
      <c r="V307" s="817">
        <v>7000</v>
      </c>
      <c r="W307" s="817">
        <v>8000</v>
      </c>
      <c r="X307" s="817">
        <v>28638</v>
      </c>
      <c r="Y307" s="808">
        <f>X307/S307</f>
        <v>7.487058823529412</v>
      </c>
      <c r="Z307" s="817"/>
      <c r="AA307" s="817"/>
      <c r="AB307" s="817"/>
      <c r="AC307" s="817"/>
      <c r="AD307" s="817"/>
      <c r="AE307" s="817"/>
      <c r="AF307" s="817"/>
      <c r="AG307" s="817"/>
      <c r="AH307" s="817"/>
      <c r="AI307" s="817"/>
      <c r="AJ307" s="787">
        <f t="shared" si="20"/>
        <v>0</v>
      </c>
      <c r="AK307" s="817"/>
      <c r="AL307" s="817"/>
      <c r="AM307" s="817"/>
      <c r="AN307" s="817"/>
      <c r="AO307" s="817"/>
      <c r="AP307" s="817"/>
      <c r="AQ307" s="817"/>
      <c r="AR307" s="817"/>
      <c r="AS307" s="817"/>
      <c r="AT307" s="817"/>
      <c r="AU307" s="343" t="s">
        <v>1624</v>
      </c>
    </row>
    <row r="308" spans="1:47" s="906" customFormat="1" ht="15" customHeight="1">
      <c r="A308" s="794">
        <v>306</v>
      </c>
      <c r="B308" s="812" t="s">
        <v>354</v>
      </c>
      <c r="C308" s="857" t="s">
        <v>1260</v>
      </c>
      <c r="D308" s="840">
        <v>39995</v>
      </c>
      <c r="E308" s="840">
        <v>40026</v>
      </c>
      <c r="F308" s="791">
        <v>2009</v>
      </c>
      <c r="G308" s="857" t="s">
        <v>5</v>
      </c>
      <c r="H308" s="800" t="s">
        <v>1451</v>
      </c>
      <c r="I308" s="857" t="s">
        <v>1627</v>
      </c>
      <c r="J308" s="800" t="s">
        <v>2331</v>
      </c>
      <c r="K308" s="817">
        <v>800</v>
      </c>
      <c r="L308" s="817">
        <v>43929</v>
      </c>
      <c r="M308" s="817">
        <v>43929</v>
      </c>
      <c r="N308" s="817">
        <v>42612</v>
      </c>
      <c r="O308" s="808">
        <f t="shared" si="22"/>
        <v>53.265000000000001</v>
      </c>
      <c r="P308" s="817">
        <v>100</v>
      </c>
      <c r="Q308" s="817"/>
      <c r="R308" s="817"/>
      <c r="S308" s="817"/>
      <c r="T308" s="817"/>
      <c r="U308" s="817"/>
      <c r="V308" s="817"/>
      <c r="W308" s="817">
        <v>2427</v>
      </c>
      <c r="X308" s="817">
        <v>2427</v>
      </c>
      <c r="Y308" s="817"/>
      <c r="Z308" s="817"/>
      <c r="AA308" s="817"/>
      <c r="AB308" s="817"/>
      <c r="AC308" s="817"/>
      <c r="AD308" s="817"/>
      <c r="AE308" s="817"/>
      <c r="AF308" s="817"/>
      <c r="AG308" s="817"/>
      <c r="AH308" s="817"/>
      <c r="AI308" s="817"/>
      <c r="AJ308" s="787">
        <f t="shared" si="20"/>
        <v>0</v>
      </c>
      <c r="AK308" s="817"/>
      <c r="AL308" s="817"/>
      <c r="AM308" s="817"/>
      <c r="AN308" s="817"/>
      <c r="AO308" s="817"/>
      <c r="AP308" s="817"/>
      <c r="AQ308" s="817"/>
      <c r="AR308" s="817"/>
      <c r="AS308" s="817"/>
      <c r="AT308" s="817"/>
      <c r="AU308" s="343" t="s">
        <v>1626</v>
      </c>
    </row>
    <row r="309" spans="1:47" s="906" customFormat="1" ht="15" customHeight="1">
      <c r="A309" s="794">
        <v>307</v>
      </c>
      <c r="B309" s="857" t="s">
        <v>119</v>
      </c>
      <c r="C309" s="857" t="s">
        <v>1299</v>
      </c>
      <c r="D309" s="840">
        <v>40057</v>
      </c>
      <c r="E309" s="840">
        <v>40422</v>
      </c>
      <c r="F309" s="791">
        <v>2009</v>
      </c>
      <c r="G309" s="857" t="s">
        <v>5</v>
      </c>
      <c r="H309" s="800" t="s">
        <v>1451</v>
      </c>
      <c r="I309" s="857" t="s">
        <v>1629</v>
      </c>
      <c r="J309" s="812" t="s">
        <v>2438</v>
      </c>
      <c r="K309" s="817">
        <v>40000</v>
      </c>
      <c r="L309" s="817">
        <v>3500000</v>
      </c>
      <c r="M309" s="817">
        <v>2612304</v>
      </c>
      <c r="N309" s="817">
        <v>2586130</v>
      </c>
      <c r="O309" s="808">
        <f t="shared" si="22"/>
        <v>64.65325</v>
      </c>
      <c r="P309" s="817">
        <v>75</v>
      </c>
      <c r="Q309" s="817">
        <v>8000</v>
      </c>
      <c r="R309" s="817">
        <v>2000</v>
      </c>
      <c r="S309" s="817">
        <v>8000</v>
      </c>
      <c r="T309" s="817"/>
      <c r="U309" s="817"/>
      <c r="V309" s="817">
        <v>15295</v>
      </c>
      <c r="W309" s="817">
        <v>188000</v>
      </c>
      <c r="X309" s="817">
        <v>318992</v>
      </c>
      <c r="Y309" s="808">
        <f>X309/S309</f>
        <v>39.874000000000002</v>
      </c>
      <c r="Z309" s="817"/>
      <c r="AA309" s="817">
        <v>15295</v>
      </c>
      <c r="AB309" s="817">
        <v>140</v>
      </c>
      <c r="AC309" s="817"/>
      <c r="AD309" s="817"/>
      <c r="AE309" s="817">
        <v>1600</v>
      </c>
      <c r="AF309" s="817"/>
      <c r="AG309" s="817"/>
      <c r="AH309" s="817"/>
      <c r="AI309" s="817"/>
      <c r="AJ309" s="787">
        <f t="shared" si="20"/>
        <v>15295</v>
      </c>
      <c r="AK309" s="817">
        <v>0</v>
      </c>
      <c r="AL309" s="817">
        <v>1925</v>
      </c>
      <c r="AM309" s="817"/>
      <c r="AN309" s="817"/>
      <c r="AO309" s="817"/>
      <c r="AP309" s="817"/>
      <c r="AQ309" s="817"/>
      <c r="AR309" s="817"/>
      <c r="AS309" s="817"/>
      <c r="AT309" s="817"/>
      <c r="AU309" s="343" t="s">
        <v>1628</v>
      </c>
    </row>
    <row r="310" spans="1:47" s="906" customFormat="1" ht="15" customHeight="1">
      <c r="A310" s="794">
        <v>308</v>
      </c>
      <c r="B310" s="857" t="s">
        <v>477</v>
      </c>
      <c r="C310" s="857" t="s">
        <v>1299</v>
      </c>
      <c r="D310" s="840">
        <v>39934</v>
      </c>
      <c r="E310" s="840">
        <v>40057</v>
      </c>
      <c r="F310" s="791">
        <v>2009</v>
      </c>
      <c r="G310" s="857" t="s">
        <v>1630</v>
      </c>
      <c r="H310" s="800" t="s">
        <v>1450</v>
      </c>
      <c r="I310" s="857" t="s">
        <v>1632</v>
      </c>
      <c r="J310" s="800" t="s">
        <v>2331</v>
      </c>
      <c r="K310" s="817">
        <v>300</v>
      </c>
      <c r="L310" s="817">
        <v>21010</v>
      </c>
      <c r="M310" s="817">
        <v>17443</v>
      </c>
      <c r="N310" s="817">
        <v>17443</v>
      </c>
      <c r="O310" s="808">
        <f t="shared" si="22"/>
        <v>58.143333333333331</v>
      </c>
      <c r="P310" s="817">
        <v>83</v>
      </c>
      <c r="Q310" s="817"/>
      <c r="R310" s="817"/>
      <c r="S310" s="817"/>
      <c r="T310" s="817"/>
      <c r="U310" s="817"/>
      <c r="V310" s="817">
        <v>18000</v>
      </c>
      <c r="W310" s="817"/>
      <c r="X310" s="817"/>
      <c r="Y310" s="817"/>
      <c r="Z310" s="817"/>
      <c r="AA310" s="817"/>
      <c r="AB310" s="817"/>
      <c r="AC310" s="817"/>
      <c r="AD310" s="817"/>
      <c r="AE310" s="817"/>
      <c r="AF310" s="817"/>
      <c r="AG310" s="817"/>
      <c r="AH310" s="817"/>
      <c r="AI310" s="817"/>
      <c r="AJ310" s="787">
        <f t="shared" si="20"/>
        <v>0</v>
      </c>
      <c r="AK310" s="817"/>
      <c r="AL310" s="817"/>
      <c r="AM310" s="817"/>
      <c r="AN310" s="817"/>
      <c r="AO310" s="817"/>
      <c r="AP310" s="817"/>
      <c r="AQ310" s="817"/>
      <c r="AR310" s="817"/>
      <c r="AS310" s="817"/>
      <c r="AT310" s="817"/>
      <c r="AU310" s="343" t="s">
        <v>1631</v>
      </c>
    </row>
    <row r="311" spans="1:47" s="906" customFormat="1" ht="15" customHeight="1">
      <c r="A311" s="794">
        <v>309</v>
      </c>
      <c r="B311" s="857" t="s">
        <v>547</v>
      </c>
      <c r="C311" s="857" t="s">
        <v>1286</v>
      </c>
      <c r="D311" s="840">
        <v>39873</v>
      </c>
      <c r="E311" s="840">
        <v>39965</v>
      </c>
      <c r="F311" s="791">
        <v>2009</v>
      </c>
      <c r="G311" s="857" t="s">
        <v>468</v>
      </c>
      <c r="H311" s="800" t="s">
        <v>1449</v>
      </c>
      <c r="I311" s="857" t="s">
        <v>1634</v>
      </c>
      <c r="J311" s="800" t="s">
        <v>2331</v>
      </c>
      <c r="K311" s="817">
        <v>7100</v>
      </c>
      <c r="L311" s="817">
        <v>140437</v>
      </c>
      <c r="M311" s="817">
        <v>124561</v>
      </c>
      <c r="N311" s="817">
        <v>124561</v>
      </c>
      <c r="O311" s="808">
        <f t="shared" si="22"/>
        <v>17.543802816901408</v>
      </c>
      <c r="P311" s="817">
        <v>89</v>
      </c>
      <c r="Q311" s="817"/>
      <c r="R311" s="848">
        <v>44000</v>
      </c>
      <c r="S311" s="817"/>
      <c r="T311" s="817"/>
      <c r="U311" s="817"/>
      <c r="V311" s="817">
        <v>44000</v>
      </c>
      <c r="W311" s="817"/>
      <c r="X311" s="817"/>
      <c r="Y311" s="817"/>
      <c r="Z311" s="817"/>
      <c r="AA311" s="817">
        <v>9100</v>
      </c>
      <c r="AB311" s="817">
        <v>30</v>
      </c>
      <c r="AC311" s="817"/>
      <c r="AD311" s="817"/>
      <c r="AE311" s="817">
        <v>1200</v>
      </c>
      <c r="AF311" s="817"/>
      <c r="AG311" s="817"/>
      <c r="AH311" s="817"/>
      <c r="AI311" s="817"/>
      <c r="AJ311" s="787">
        <f t="shared" si="20"/>
        <v>9100</v>
      </c>
      <c r="AK311" s="817"/>
      <c r="AL311" s="817"/>
      <c r="AM311" s="817"/>
      <c r="AN311" s="817"/>
      <c r="AO311" s="817"/>
      <c r="AP311" s="817"/>
      <c r="AQ311" s="817"/>
      <c r="AR311" s="817"/>
      <c r="AS311" s="817"/>
      <c r="AT311" s="817"/>
      <c r="AU311" s="343" t="s">
        <v>1633</v>
      </c>
    </row>
    <row r="312" spans="1:47" s="906" customFormat="1" ht="15" customHeight="1">
      <c r="A312" s="794">
        <v>310</v>
      </c>
      <c r="B312" s="857" t="s">
        <v>536</v>
      </c>
      <c r="C312" s="857" t="s">
        <v>1286</v>
      </c>
      <c r="D312" s="840">
        <v>39814</v>
      </c>
      <c r="E312" s="840">
        <v>39904</v>
      </c>
      <c r="F312" s="791">
        <v>2009</v>
      </c>
      <c r="G312" s="857" t="s">
        <v>24</v>
      </c>
      <c r="H312" s="800" t="s">
        <v>1454</v>
      </c>
      <c r="I312" s="857" t="s">
        <v>1636</v>
      </c>
      <c r="J312" s="800" t="s">
        <v>2331</v>
      </c>
      <c r="K312" s="817">
        <v>2500</v>
      </c>
      <c r="L312" s="817">
        <v>115000</v>
      </c>
      <c r="M312" s="817">
        <v>101995</v>
      </c>
      <c r="N312" s="817">
        <v>101995</v>
      </c>
      <c r="O312" s="808">
        <f t="shared" si="22"/>
        <v>40.798000000000002</v>
      </c>
      <c r="P312" s="817">
        <v>89</v>
      </c>
      <c r="Q312" s="817"/>
      <c r="R312" s="817"/>
      <c r="S312" s="817"/>
      <c r="T312" s="817"/>
      <c r="U312" s="817"/>
      <c r="V312" s="817"/>
      <c r="W312" s="817"/>
      <c r="X312" s="817"/>
      <c r="Y312" s="817"/>
      <c r="Z312" s="817"/>
      <c r="AA312" s="817"/>
      <c r="AB312" s="817"/>
      <c r="AC312" s="817"/>
      <c r="AD312" s="817"/>
      <c r="AE312" s="817">
        <v>400</v>
      </c>
      <c r="AF312" s="817"/>
      <c r="AG312" s="817"/>
      <c r="AH312" s="817"/>
      <c r="AI312" s="817"/>
      <c r="AJ312" s="787">
        <f t="shared" si="20"/>
        <v>0</v>
      </c>
      <c r="AK312" s="817"/>
      <c r="AL312" s="817"/>
      <c r="AM312" s="817"/>
      <c r="AN312" s="817"/>
      <c r="AO312" s="817"/>
      <c r="AP312" s="817"/>
      <c r="AQ312" s="817"/>
      <c r="AR312" s="817"/>
      <c r="AS312" s="817"/>
      <c r="AT312" s="817" t="s">
        <v>94</v>
      </c>
      <c r="AU312" s="343" t="s">
        <v>1635</v>
      </c>
    </row>
    <row r="313" spans="1:47" s="906" customFormat="1" ht="15" customHeight="1">
      <c r="A313" s="794">
        <v>311</v>
      </c>
      <c r="B313" s="857" t="s">
        <v>1040</v>
      </c>
      <c r="C313" s="857" t="s">
        <v>1286</v>
      </c>
      <c r="D313" s="840">
        <v>39965</v>
      </c>
      <c r="E313" s="840">
        <v>40118</v>
      </c>
      <c r="F313" s="791">
        <v>2009</v>
      </c>
      <c r="G313" s="857" t="s">
        <v>24</v>
      </c>
      <c r="H313" s="800" t="s">
        <v>1454</v>
      </c>
      <c r="I313" s="857" t="s">
        <v>1638</v>
      </c>
      <c r="J313" s="800" t="s">
        <v>2331</v>
      </c>
      <c r="K313" s="817">
        <v>4000</v>
      </c>
      <c r="L313" s="817">
        <v>179946</v>
      </c>
      <c r="M313" s="817">
        <v>108737</v>
      </c>
      <c r="N313" s="817">
        <v>108737</v>
      </c>
      <c r="O313" s="808">
        <f t="shared" si="22"/>
        <v>27.184249999999999</v>
      </c>
      <c r="P313" s="817">
        <v>60</v>
      </c>
      <c r="Q313" s="817"/>
      <c r="R313" s="817"/>
      <c r="S313" s="817"/>
      <c r="T313" s="817"/>
      <c r="U313" s="817"/>
      <c r="V313" s="817"/>
      <c r="W313" s="817">
        <v>446</v>
      </c>
      <c r="X313" s="817">
        <v>515</v>
      </c>
      <c r="Y313" s="817"/>
      <c r="Z313" s="817"/>
      <c r="AA313" s="817"/>
      <c r="AB313" s="817"/>
      <c r="AC313" s="817"/>
      <c r="AD313" s="817"/>
      <c r="AE313" s="817"/>
      <c r="AF313" s="817"/>
      <c r="AG313" s="817"/>
      <c r="AH313" s="817"/>
      <c r="AI313" s="817"/>
      <c r="AJ313" s="787">
        <f t="shared" si="20"/>
        <v>0</v>
      </c>
      <c r="AK313" s="817"/>
      <c r="AL313" s="817"/>
      <c r="AM313" s="817"/>
      <c r="AN313" s="817"/>
      <c r="AO313" s="817"/>
      <c r="AP313" s="817"/>
      <c r="AQ313" s="817"/>
      <c r="AR313" s="817"/>
      <c r="AS313" s="817"/>
      <c r="AT313" s="817"/>
      <c r="AU313" s="343" t="s">
        <v>1637</v>
      </c>
    </row>
    <row r="314" spans="1:47" s="906" customFormat="1" ht="15" customHeight="1">
      <c r="A314" s="794">
        <v>312</v>
      </c>
      <c r="B314" s="857" t="s">
        <v>1639</v>
      </c>
      <c r="C314" s="857" t="s">
        <v>1260</v>
      </c>
      <c r="D314" s="840">
        <v>39904</v>
      </c>
      <c r="E314" s="840">
        <v>40057</v>
      </c>
      <c r="F314" s="791">
        <v>2009</v>
      </c>
      <c r="G314" s="857" t="s">
        <v>24</v>
      </c>
      <c r="H314" s="800" t="s">
        <v>1454</v>
      </c>
      <c r="I314" s="857" t="s">
        <v>1642</v>
      </c>
      <c r="J314" s="800" t="s">
        <v>2331</v>
      </c>
      <c r="K314" s="817">
        <v>22000</v>
      </c>
      <c r="L314" s="817">
        <v>700000</v>
      </c>
      <c r="M314" s="817">
        <v>700000</v>
      </c>
      <c r="N314" s="817">
        <v>700000</v>
      </c>
      <c r="O314" s="808">
        <f t="shared" si="22"/>
        <v>31.818181818181817</v>
      </c>
      <c r="P314" s="817">
        <v>100</v>
      </c>
      <c r="Q314" s="817"/>
      <c r="R314" s="817"/>
      <c r="S314" s="817"/>
      <c r="T314" s="817"/>
      <c r="U314" s="817"/>
      <c r="V314" s="817"/>
      <c r="W314" s="817"/>
      <c r="X314" s="817"/>
      <c r="Y314" s="817"/>
      <c r="Z314" s="817">
        <v>1155</v>
      </c>
      <c r="AA314" s="817"/>
      <c r="AB314" s="817">
        <v>10000</v>
      </c>
      <c r="AC314" s="817"/>
      <c r="AD314" s="817"/>
      <c r="AE314" s="817"/>
      <c r="AF314" s="817"/>
      <c r="AG314" s="817"/>
      <c r="AH314" s="817"/>
      <c r="AI314" s="817"/>
      <c r="AJ314" s="787">
        <f t="shared" si="20"/>
        <v>1155</v>
      </c>
      <c r="AK314" s="817"/>
      <c r="AL314" s="817"/>
      <c r="AM314" s="817"/>
      <c r="AN314" s="817"/>
      <c r="AO314" s="817"/>
      <c r="AP314" s="817"/>
      <c r="AQ314" s="817"/>
      <c r="AR314" s="817"/>
      <c r="AS314" s="817"/>
      <c r="AT314" s="817"/>
      <c r="AU314" s="343" t="s">
        <v>1640</v>
      </c>
    </row>
    <row r="315" spans="1:47" s="906" customFormat="1" ht="15" customHeight="1">
      <c r="A315" s="794">
        <v>313</v>
      </c>
      <c r="B315" s="857" t="s">
        <v>12</v>
      </c>
      <c r="C315" s="857" t="s">
        <v>1299</v>
      </c>
      <c r="D315" s="840">
        <v>39845</v>
      </c>
      <c r="E315" s="840">
        <v>39965</v>
      </c>
      <c r="F315" s="791">
        <v>2009</v>
      </c>
      <c r="G315" s="857" t="s">
        <v>937</v>
      </c>
      <c r="H315" s="800" t="s">
        <v>1464</v>
      </c>
      <c r="I315" s="857" t="s">
        <v>1645</v>
      </c>
      <c r="J315" s="800" t="s">
        <v>2331</v>
      </c>
      <c r="K315" s="817">
        <v>1000</v>
      </c>
      <c r="L315" s="817">
        <v>150572</v>
      </c>
      <c r="M315" s="817">
        <v>150572</v>
      </c>
      <c r="N315" s="817">
        <v>150572</v>
      </c>
      <c r="O315" s="808">
        <f t="shared" si="22"/>
        <v>150.572</v>
      </c>
      <c r="P315" s="817">
        <v>100</v>
      </c>
      <c r="Q315" s="817"/>
      <c r="R315" s="817"/>
      <c r="S315" s="817"/>
      <c r="T315" s="817"/>
      <c r="U315" s="817"/>
      <c r="V315" s="817"/>
      <c r="W315" s="817"/>
      <c r="X315" s="817"/>
      <c r="Y315" s="817"/>
      <c r="Z315" s="817">
        <v>500</v>
      </c>
      <c r="AA315" s="817"/>
      <c r="AB315" s="817">
        <v>17</v>
      </c>
      <c r="AC315" s="817"/>
      <c r="AD315" s="817"/>
      <c r="AE315" s="817"/>
      <c r="AF315" s="817"/>
      <c r="AG315" s="817"/>
      <c r="AH315" s="817">
        <v>135</v>
      </c>
      <c r="AI315" s="817"/>
      <c r="AJ315" s="787">
        <f t="shared" si="20"/>
        <v>635</v>
      </c>
      <c r="AK315" s="817">
        <v>75000</v>
      </c>
      <c r="AL315" s="817">
        <v>75000</v>
      </c>
      <c r="AM315" s="817"/>
      <c r="AN315" s="817"/>
      <c r="AO315" s="817"/>
      <c r="AP315" s="817"/>
      <c r="AQ315" s="817"/>
      <c r="AR315" s="817"/>
      <c r="AS315" s="817"/>
      <c r="AT315" s="817"/>
      <c r="AU315" s="343" t="s">
        <v>1644</v>
      </c>
    </row>
    <row r="316" spans="1:47" s="906" customFormat="1" ht="15" customHeight="1">
      <c r="A316" s="794">
        <v>314</v>
      </c>
      <c r="B316" s="857" t="s">
        <v>1641</v>
      </c>
      <c r="C316" s="857" t="s">
        <v>1299</v>
      </c>
      <c r="D316" s="840">
        <v>39995</v>
      </c>
      <c r="E316" s="840">
        <v>40087</v>
      </c>
      <c r="F316" s="791">
        <v>2009</v>
      </c>
      <c r="G316" s="857" t="s">
        <v>1648</v>
      </c>
      <c r="H316" s="800" t="s">
        <v>1463</v>
      </c>
      <c r="I316" s="857" t="s">
        <v>1647</v>
      </c>
      <c r="J316" s="800" t="s">
        <v>2331</v>
      </c>
      <c r="K316" s="817">
        <v>994</v>
      </c>
      <c r="L316" s="817">
        <v>24654</v>
      </c>
      <c r="M316" s="817">
        <v>24652</v>
      </c>
      <c r="N316" s="817">
        <v>24652</v>
      </c>
      <c r="O316" s="808">
        <f t="shared" si="22"/>
        <v>24.800804828973842</v>
      </c>
      <c r="P316" s="817">
        <v>100</v>
      </c>
      <c r="Q316" s="817"/>
      <c r="R316" s="817"/>
      <c r="S316" s="817"/>
      <c r="T316" s="817"/>
      <c r="U316" s="817"/>
      <c r="V316" s="817"/>
      <c r="W316" s="817"/>
      <c r="X316" s="817"/>
      <c r="Y316" s="817"/>
      <c r="Z316" s="817">
        <v>994</v>
      </c>
      <c r="AA316" s="817"/>
      <c r="AB316" s="817">
        <v>4</v>
      </c>
      <c r="AC316" s="817"/>
      <c r="AD316" s="817"/>
      <c r="AE316" s="817"/>
      <c r="AF316" s="817"/>
      <c r="AG316" s="817"/>
      <c r="AH316" s="817"/>
      <c r="AI316" s="817"/>
      <c r="AJ316" s="787">
        <f t="shared" si="20"/>
        <v>994</v>
      </c>
      <c r="AK316" s="817"/>
      <c r="AL316" s="817">
        <v>462</v>
      </c>
      <c r="AM316" s="817"/>
      <c r="AN316" s="817"/>
      <c r="AO316" s="817"/>
      <c r="AP316" s="817"/>
      <c r="AQ316" s="817"/>
      <c r="AR316" s="817"/>
      <c r="AS316" s="817"/>
      <c r="AT316" s="817"/>
      <c r="AU316" s="343" t="s">
        <v>1646</v>
      </c>
    </row>
    <row r="317" spans="1:47" s="906" customFormat="1" ht="15" customHeight="1">
      <c r="A317" s="794">
        <v>315</v>
      </c>
      <c r="B317" s="857" t="s">
        <v>485</v>
      </c>
      <c r="C317" s="857" t="s">
        <v>1299</v>
      </c>
      <c r="D317" s="840">
        <v>39845</v>
      </c>
      <c r="E317" s="840">
        <v>40087</v>
      </c>
      <c r="F317" s="791">
        <v>2009</v>
      </c>
      <c r="G317" s="857" t="s">
        <v>1651</v>
      </c>
      <c r="H317" s="800" t="s">
        <v>1450</v>
      </c>
      <c r="I317" s="857" t="s">
        <v>1650</v>
      </c>
      <c r="J317" s="800" t="s">
        <v>2331</v>
      </c>
      <c r="K317" s="817">
        <v>25000</v>
      </c>
      <c r="L317" s="817">
        <v>244043</v>
      </c>
      <c r="M317" s="817">
        <v>181478</v>
      </c>
      <c r="N317" s="817">
        <v>181478</v>
      </c>
      <c r="O317" s="808">
        <f t="shared" si="22"/>
        <v>7.2591200000000002</v>
      </c>
      <c r="P317" s="817">
        <v>74</v>
      </c>
      <c r="Q317" s="817">
        <v>6100</v>
      </c>
      <c r="R317" s="817"/>
      <c r="S317" s="817">
        <v>6100</v>
      </c>
      <c r="T317" s="817"/>
      <c r="U317" s="817"/>
      <c r="V317" s="817">
        <v>6100</v>
      </c>
      <c r="W317" s="817"/>
      <c r="X317" s="817">
        <v>38290</v>
      </c>
      <c r="Y317" s="808">
        <f>X317/S317</f>
        <v>6.277049180327869</v>
      </c>
      <c r="Z317" s="817"/>
      <c r="AA317" s="817"/>
      <c r="AB317" s="817">
        <v>274</v>
      </c>
      <c r="AC317" s="817"/>
      <c r="AD317" s="817"/>
      <c r="AE317" s="817">
        <v>4961</v>
      </c>
      <c r="AF317" s="817"/>
      <c r="AG317" s="817"/>
      <c r="AH317" s="817"/>
      <c r="AI317" s="817"/>
      <c r="AJ317" s="787">
        <f t="shared" si="20"/>
        <v>0</v>
      </c>
      <c r="AK317" s="817"/>
      <c r="AL317" s="817"/>
      <c r="AM317" s="817"/>
      <c r="AN317" s="817"/>
      <c r="AO317" s="817"/>
      <c r="AP317" s="817"/>
      <c r="AQ317" s="817"/>
      <c r="AR317" s="817"/>
      <c r="AS317" s="817"/>
      <c r="AT317" s="817"/>
      <c r="AU317" s="343" t="s">
        <v>1649</v>
      </c>
    </row>
    <row r="318" spans="1:47" s="906" customFormat="1" ht="15" customHeight="1">
      <c r="A318" s="794">
        <v>316</v>
      </c>
      <c r="B318" s="857" t="s">
        <v>140</v>
      </c>
      <c r="C318" s="857" t="s">
        <v>1299</v>
      </c>
      <c r="D318" s="840">
        <v>39814</v>
      </c>
      <c r="E318" s="840">
        <v>39995</v>
      </c>
      <c r="F318" s="791">
        <v>2009</v>
      </c>
      <c r="G318" s="857" t="s">
        <v>1652</v>
      </c>
      <c r="H318" s="800" t="s">
        <v>1653</v>
      </c>
      <c r="I318" s="857" t="s">
        <v>1655</v>
      </c>
      <c r="J318" s="800" t="s">
        <v>2331</v>
      </c>
      <c r="K318" s="817">
        <v>18625</v>
      </c>
      <c r="L318" s="817">
        <v>71050</v>
      </c>
      <c r="M318" s="817">
        <v>71022</v>
      </c>
      <c r="N318" s="817">
        <v>69960</v>
      </c>
      <c r="O318" s="808">
        <f t="shared" si="22"/>
        <v>3.7562416107382552</v>
      </c>
      <c r="P318" s="817">
        <v>100</v>
      </c>
      <c r="Q318" s="817"/>
      <c r="R318" s="817"/>
      <c r="S318" s="817"/>
      <c r="T318" s="817"/>
      <c r="U318" s="817"/>
      <c r="V318" s="817" t="s">
        <v>134</v>
      </c>
      <c r="W318" s="817"/>
      <c r="X318" s="817"/>
      <c r="Y318" s="817"/>
      <c r="Z318" s="817"/>
      <c r="AA318" s="817"/>
      <c r="AB318" s="817"/>
      <c r="AC318" s="817"/>
      <c r="AD318" s="817"/>
      <c r="AE318" s="817">
        <v>100</v>
      </c>
      <c r="AF318" s="817"/>
      <c r="AG318" s="817"/>
      <c r="AH318" s="817"/>
      <c r="AI318" s="817"/>
      <c r="AJ318" s="787">
        <f t="shared" si="20"/>
        <v>0</v>
      </c>
      <c r="AK318" s="817"/>
      <c r="AL318" s="817">
        <v>8536</v>
      </c>
      <c r="AM318" s="817"/>
      <c r="AN318" s="817"/>
      <c r="AO318" s="817"/>
      <c r="AP318" s="817"/>
      <c r="AQ318" s="817"/>
      <c r="AR318" s="817"/>
      <c r="AS318" s="817"/>
      <c r="AT318" s="817"/>
      <c r="AU318" s="343" t="s">
        <v>1654</v>
      </c>
    </row>
    <row r="319" spans="1:47" s="906" customFormat="1" ht="15" customHeight="1">
      <c r="A319" s="794">
        <v>317</v>
      </c>
      <c r="B319" s="857" t="s">
        <v>1475</v>
      </c>
      <c r="C319" s="857" t="s">
        <v>1286</v>
      </c>
      <c r="D319" s="908">
        <v>39873</v>
      </c>
      <c r="E319" s="908">
        <v>39965</v>
      </c>
      <c r="F319" s="791">
        <v>2009</v>
      </c>
      <c r="G319" s="857" t="s">
        <v>468</v>
      </c>
      <c r="H319" s="800" t="s">
        <v>1449</v>
      </c>
      <c r="I319" s="857" t="s">
        <v>1660</v>
      </c>
      <c r="J319" s="800" t="s">
        <v>2331</v>
      </c>
      <c r="K319" s="817">
        <v>25000</v>
      </c>
      <c r="L319" s="817">
        <v>151145</v>
      </c>
      <c r="M319" s="817">
        <v>136059</v>
      </c>
      <c r="N319" s="817">
        <v>136059</v>
      </c>
      <c r="O319" s="808">
        <f t="shared" si="22"/>
        <v>5.4423599999999999</v>
      </c>
      <c r="P319" s="817">
        <v>90</v>
      </c>
      <c r="Q319" s="817"/>
      <c r="R319" s="817"/>
      <c r="S319" s="817"/>
      <c r="T319" s="817"/>
      <c r="U319" s="817"/>
      <c r="V319" s="817">
        <v>9537</v>
      </c>
      <c r="W319" s="817"/>
      <c r="X319" s="817"/>
      <c r="Y319" s="817"/>
      <c r="Z319" s="817"/>
      <c r="AA319" s="817">
        <v>20964</v>
      </c>
      <c r="AB319" s="817">
        <v>217</v>
      </c>
      <c r="AC319" s="817"/>
      <c r="AD319" s="817"/>
      <c r="AE319" s="817"/>
      <c r="AF319" s="817"/>
      <c r="AG319" s="817"/>
      <c r="AH319" s="817"/>
      <c r="AI319" s="817"/>
      <c r="AJ319" s="787">
        <f t="shared" si="20"/>
        <v>20964</v>
      </c>
      <c r="AK319" s="817"/>
      <c r="AL319" s="817"/>
      <c r="AM319" s="817"/>
      <c r="AN319" s="817"/>
      <c r="AO319" s="817"/>
      <c r="AP319" s="817"/>
      <c r="AQ319" s="817"/>
      <c r="AR319" s="817"/>
      <c r="AS319" s="817"/>
      <c r="AT319" s="817"/>
      <c r="AU319" s="343" t="s">
        <v>1659</v>
      </c>
    </row>
    <row r="320" spans="1:47" s="906" customFormat="1" ht="15" customHeight="1">
      <c r="A320" s="794">
        <v>318</v>
      </c>
      <c r="B320" s="857" t="s">
        <v>1475</v>
      </c>
      <c r="C320" s="857" t="s">
        <v>1286</v>
      </c>
      <c r="D320" s="908">
        <v>39934</v>
      </c>
      <c r="E320" s="908">
        <v>40026</v>
      </c>
      <c r="F320" s="791">
        <v>2009</v>
      </c>
      <c r="G320" s="857" t="s">
        <v>79</v>
      </c>
      <c r="H320" s="800" t="s">
        <v>1453</v>
      </c>
      <c r="I320" s="906" t="s">
        <v>1662</v>
      </c>
      <c r="J320" s="800" t="s">
        <v>2331</v>
      </c>
      <c r="K320" s="817">
        <v>8715</v>
      </c>
      <c r="L320" s="817">
        <v>237515</v>
      </c>
      <c r="M320" s="817">
        <v>231623</v>
      </c>
      <c r="N320" s="817">
        <v>231623</v>
      </c>
      <c r="O320" s="808">
        <f t="shared" si="22"/>
        <v>26.577510040160643</v>
      </c>
      <c r="P320" s="817">
        <v>98</v>
      </c>
      <c r="Q320" s="817"/>
      <c r="R320" s="817"/>
      <c r="S320" s="817"/>
      <c r="T320" s="817"/>
      <c r="U320" s="817"/>
      <c r="V320" s="817"/>
      <c r="W320" s="817"/>
      <c r="X320" s="817"/>
      <c r="Y320" s="817"/>
      <c r="Z320" s="817"/>
      <c r="AA320" s="817"/>
      <c r="AB320" s="817"/>
      <c r="AC320" s="817"/>
      <c r="AD320" s="817"/>
      <c r="AE320" s="817"/>
      <c r="AF320" s="817"/>
      <c r="AG320" s="817"/>
      <c r="AH320" s="817"/>
      <c r="AI320" s="817"/>
      <c r="AJ320" s="787">
        <f t="shared" si="20"/>
        <v>0</v>
      </c>
      <c r="AK320" s="817"/>
      <c r="AL320" s="817"/>
      <c r="AM320" s="817"/>
      <c r="AN320" s="817"/>
      <c r="AO320" s="817"/>
      <c r="AP320" s="817"/>
      <c r="AQ320" s="817"/>
      <c r="AR320" s="817"/>
      <c r="AS320" s="817"/>
      <c r="AT320" s="817"/>
      <c r="AU320" s="343" t="s">
        <v>1661</v>
      </c>
    </row>
    <row r="321" spans="1:65" s="906" customFormat="1" ht="15" customHeight="1">
      <c r="A321" s="794">
        <v>319</v>
      </c>
      <c r="B321" s="857" t="s">
        <v>26</v>
      </c>
      <c r="C321" s="857" t="s">
        <v>1299</v>
      </c>
      <c r="D321" s="908">
        <v>39904</v>
      </c>
      <c r="E321" s="908">
        <v>39904</v>
      </c>
      <c r="F321" s="791">
        <v>2009</v>
      </c>
      <c r="G321" s="857" t="s">
        <v>1656</v>
      </c>
      <c r="H321" s="800" t="s">
        <v>1452</v>
      </c>
      <c r="I321" s="857" t="s">
        <v>1664</v>
      </c>
      <c r="J321" s="800" t="s">
        <v>2331</v>
      </c>
      <c r="K321" s="817" t="s">
        <v>134</v>
      </c>
      <c r="L321" s="817">
        <v>107354</v>
      </c>
      <c r="M321" s="817">
        <v>76858</v>
      </c>
      <c r="N321" s="817">
        <v>76858</v>
      </c>
      <c r="O321" s="808"/>
      <c r="P321" s="817">
        <v>72</v>
      </c>
      <c r="Q321" s="817"/>
      <c r="R321" s="817"/>
      <c r="S321" s="817"/>
      <c r="T321" s="817"/>
      <c r="U321" s="817"/>
      <c r="V321" s="817"/>
      <c r="W321" s="817"/>
      <c r="X321" s="817"/>
      <c r="Y321" s="817"/>
      <c r="Z321" s="817"/>
      <c r="AA321" s="817"/>
      <c r="AB321" s="817"/>
      <c r="AC321" s="817"/>
      <c r="AD321" s="817"/>
      <c r="AE321" s="817"/>
      <c r="AF321" s="817"/>
      <c r="AG321" s="817"/>
      <c r="AH321" s="817"/>
      <c r="AI321" s="817"/>
      <c r="AJ321" s="787">
        <f t="shared" si="20"/>
        <v>0</v>
      </c>
      <c r="AK321" s="817"/>
      <c r="AL321" s="817"/>
      <c r="AM321" s="817"/>
      <c r="AN321" s="817"/>
      <c r="AO321" s="817"/>
      <c r="AP321" s="817"/>
      <c r="AQ321" s="817"/>
      <c r="AR321" s="817"/>
      <c r="AS321" s="817"/>
      <c r="AT321" s="817"/>
      <c r="AU321" s="343" t="s">
        <v>1663</v>
      </c>
    </row>
    <row r="322" spans="1:65" s="906" customFormat="1" ht="15" customHeight="1">
      <c r="A322" s="794">
        <v>320</v>
      </c>
      <c r="B322" s="857" t="s">
        <v>1169</v>
      </c>
      <c r="C322" s="857" t="s">
        <v>1286</v>
      </c>
      <c r="D322" s="908">
        <v>40118</v>
      </c>
      <c r="E322" s="908">
        <v>40513</v>
      </c>
      <c r="F322" s="791">
        <v>2009</v>
      </c>
      <c r="G322" s="857" t="s">
        <v>5</v>
      </c>
      <c r="H322" s="800" t="s">
        <v>1658</v>
      </c>
      <c r="I322" s="857" t="s">
        <v>1666</v>
      </c>
      <c r="J322" s="812" t="s">
        <v>2438</v>
      </c>
      <c r="K322" s="817">
        <v>10000</v>
      </c>
      <c r="L322" s="817">
        <v>1680178</v>
      </c>
      <c r="M322" s="817">
        <v>1540492</v>
      </c>
      <c r="N322" s="817">
        <v>1426642</v>
      </c>
      <c r="O322" s="808">
        <f t="shared" ref="O322:O327" si="23">N322/K322</f>
        <v>142.66419999999999</v>
      </c>
      <c r="P322" s="817">
        <v>92</v>
      </c>
      <c r="Q322" s="817">
        <v>89966</v>
      </c>
      <c r="R322" s="817">
        <v>310</v>
      </c>
      <c r="S322" s="817">
        <v>89966</v>
      </c>
      <c r="T322" s="817"/>
      <c r="U322" s="817"/>
      <c r="V322" s="817"/>
      <c r="W322" s="817">
        <v>377701</v>
      </c>
      <c r="X322" s="817">
        <v>397078</v>
      </c>
      <c r="Y322" s="808">
        <f>X322/S322</f>
        <v>4.4136451548362716</v>
      </c>
      <c r="Z322" s="817">
        <v>9100</v>
      </c>
      <c r="AA322" s="817"/>
      <c r="AB322" s="817">
        <v>350</v>
      </c>
      <c r="AC322" s="817"/>
      <c r="AD322" s="817"/>
      <c r="AE322" s="817"/>
      <c r="AF322" s="817"/>
      <c r="AG322" s="817"/>
      <c r="AH322" s="817"/>
      <c r="AI322" s="817"/>
      <c r="AJ322" s="787">
        <f t="shared" si="20"/>
        <v>9100</v>
      </c>
      <c r="AK322" s="817">
        <v>2472</v>
      </c>
      <c r="AL322" s="817"/>
      <c r="AM322" s="817"/>
      <c r="AN322" s="817"/>
      <c r="AO322" s="817"/>
      <c r="AP322" s="817"/>
      <c r="AQ322" s="817"/>
      <c r="AR322" s="817"/>
      <c r="AS322" s="817"/>
      <c r="AT322" s="817"/>
      <c r="AU322" s="343" t="s">
        <v>1665</v>
      </c>
    </row>
    <row r="323" spans="1:65" s="906" customFormat="1" ht="15" customHeight="1">
      <c r="A323" s="794">
        <v>321</v>
      </c>
      <c r="B323" s="857" t="s">
        <v>171</v>
      </c>
      <c r="C323" s="857" t="s">
        <v>1299</v>
      </c>
      <c r="D323" s="908">
        <v>39814</v>
      </c>
      <c r="E323" s="908">
        <v>39934</v>
      </c>
      <c r="F323" s="791">
        <v>2009</v>
      </c>
      <c r="G323" s="857" t="s">
        <v>1657</v>
      </c>
      <c r="H323" s="800" t="s">
        <v>1450</v>
      </c>
      <c r="I323" s="857" t="s">
        <v>1668</v>
      </c>
      <c r="J323" s="800" t="s">
        <v>2331</v>
      </c>
      <c r="K323" s="817">
        <v>4000</v>
      </c>
      <c r="L323" s="817">
        <v>144171</v>
      </c>
      <c r="M323" s="817">
        <v>133209</v>
      </c>
      <c r="N323" s="817">
        <v>133209</v>
      </c>
      <c r="O323" s="808">
        <f t="shared" si="23"/>
        <v>33.302250000000001</v>
      </c>
      <c r="P323" s="817">
        <v>92</v>
      </c>
      <c r="Q323" s="817"/>
      <c r="R323" s="817"/>
      <c r="S323" s="817"/>
      <c r="T323" s="817"/>
      <c r="U323" s="817"/>
      <c r="V323" s="817"/>
      <c r="W323" s="817">
        <v>300</v>
      </c>
      <c r="X323" s="817">
        <v>276</v>
      </c>
      <c r="Y323" s="817"/>
      <c r="Z323" s="817"/>
      <c r="AA323" s="817">
        <v>12000</v>
      </c>
      <c r="AB323" s="817">
        <v>50</v>
      </c>
      <c r="AC323" s="817">
        <v>50</v>
      </c>
      <c r="AD323" s="817"/>
      <c r="AE323" s="817">
        <v>1800</v>
      </c>
      <c r="AF323" s="817"/>
      <c r="AG323" s="817"/>
      <c r="AH323" s="817"/>
      <c r="AI323" s="817"/>
      <c r="AJ323" s="787">
        <f t="shared" si="20"/>
        <v>12000</v>
      </c>
      <c r="AK323" s="817">
        <v>4000</v>
      </c>
      <c r="AL323" s="817">
        <v>3642</v>
      </c>
      <c r="AM323" s="817"/>
      <c r="AN323" s="817"/>
      <c r="AO323" s="817"/>
      <c r="AP323" s="817"/>
      <c r="AQ323" s="817"/>
      <c r="AR323" s="817"/>
      <c r="AS323" s="817"/>
      <c r="AT323" s="817"/>
      <c r="AU323" s="343" t="s">
        <v>1667</v>
      </c>
    </row>
    <row r="324" spans="1:65" s="906" customFormat="1" ht="15" customHeight="1">
      <c r="A324" s="794">
        <v>322</v>
      </c>
      <c r="B324" s="857" t="s">
        <v>1643</v>
      </c>
      <c r="C324" s="857" t="s">
        <v>1299</v>
      </c>
      <c r="D324" s="908">
        <v>39845</v>
      </c>
      <c r="E324" s="908">
        <v>39904</v>
      </c>
      <c r="F324" s="791">
        <v>2009</v>
      </c>
      <c r="G324" s="857" t="s">
        <v>569</v>
      </c>
      <c r="H324" s="800" t="s">
        <v>1449</v>
      </c>
      <c r="I324" s="857" t="s">
        <v>1670</v>
      </c>
      <c r="J324" s="800" t="s">
        <v>2331</v>
      </c>
      <c r="K324" s="817">
        <f>200000+40576</f>
        <v>240576</v>
      </c>
      <c r="L324" s="817">
        <v>160941</v>
      </c>
      <c r="M324" s="817">
        <v>160941</v>
      </c>
      <c r="N324" s="817">
        <v>160941</v>
      </c>
      <c r="O324" s="808">
        <f t="shared" si="23"/>
        <v>0.66898194333599359</v>
      </c>
      <c r="P324" s="817">
        <v>100</v>
      </c>
      <c r="Q324" s="817"/>
      <c r="R324" s="817"/>
      <c r="S324" s="817"/>
      <c r="T324" s="817"/>
      <c r="U324" s="817"/>
      <c r="V324" s="817"/>
      <c r="W324" s="817"/>
      <c r="X324" s="817"/>
      <c r="Y324" s="817"/>
      <c r="Z324" s="817"/>
      <c r="AA324" s="817">
        <f>200000+40576</f>
        <v>240576</v>
      </c>
      <c r="AB324" s="817">
        <v>150</v>
      </c>
      <c r="AC324" s="817"/>
      <c r="AD324" s="817"/>
      <c r="AE324" s="817"/>
      <c r="AF324" s="817"/>
      <c r="AG324" s="817"/>
      <c r="AH324" s="817"/>
      <c r="AI324" s="817"/>
      <c r="AJ324" s="787">
        <f t="shared" si="20"/>
        <v>240576</v>
      </c>
      <c r="AK324" s="817"/>
      <c r="AL324" s="817"/>
      <c r="AM324" s="817"/>
      <c r="AN324" s="817"/>
      <c r="AO324" s="817"/>
      <c r="AP324" s="817"/>
      <c r="AQ324" s="817"/>
      <c r="AR324" s="817"/>
      <c r="AS324" s="817"/>
      <c r="AT324" s="817"/>
      <c r="AU324" s="343" t="s">
        <v>1669</v>
      </c>
    </row>
    <row r="325" spans="1:65" s="906" customFormat="1" ht="15" customHeight="1">
      <c r="A325" s="794">
        <v>323</v>
      </c>
      <c r="B325" s="857" t="s">
        <v>1643</v>
      </c>
      <c r="C325" s="857" t="s">
        <v>1299</v>
      </c>
      <c r="D325" s="908">
        <v>39904</v>
      </c>
      <c r="E325" s="908">
        <v>39965</v>
      </c>
      <c r="F325" s="791">
        <v>2009</v>
      </c>
      <c r="G325" s="857" t="s">
        <v>284</v>
      </c>
      <c r="H325" s="800" t="s">
        <v>1449</v>
      </c>
      <c r="I325" s="906" t="s">
        <v>1672</v>
      </c>
      <c r="J325" s="800" t="s">
        <v>2331</v>
      </c>
      <c r="K325" s="907">
        <v>18412</v>
      </c>
      <c r="L325" s="817">
        <v>272842</v>
      </c>
      <c r="M325" s="817">
        <v>249251</v>
      </c>
      <c r="N325" s="817">
        <v>249251</v>
      </c>
      <c r="O325" s="808">
        <f t="shared" si="23"/>
        <v>13.537421247012817</v>
      </c>
      <c r="P325" s="817">
        <v>91</v>
      </c>
      <c r="Q325" s="907">
        <v>18412</v>
      </c>
      <c r="R325" s="817">
        <v>2420</v>
      </c>
      <c r="S325" s="907">
        <v>18412</v>
      </c>
      <c r="T325" s="817"/>
      <c r="U325" s="817"/>
      <c r="V325" s="817">
        <v>14000</v>
      </c>
      <c r="W325" s="817">
        <v>133212</v>
      </c>
      <c r="X325" s="817">
        <v>121222</v>
      </c>
      <c r="Y325" s="808">
        <f>X325/S325</f>
        <v>6.5838583532478818</v>
      </c>
      <c r="Z325" s="817"/>
      <c r="AA325" s="817">
        <v>75000</v>
      </c>
      <c r="AB325" s="817">
        <v>330</v>
      </c>
      <c r="AC325" s="817"/>
      <c r="AD325" s="817"/>
      <c r="AE325" s="817"/>
      <c r="AF325" s="817"/>
      <c r="AG325" s="817"/>
      <c r="AH325" s="817">
        <v>259</v>
      </c>
      <c r="AI325" s="817"/>
      <c r="AJ325" s="787">
        <f t="shared" si="20"/>
        <v>75259</v>
      </c>
      <c r="AK325" s="817"/>
      <c r="AL325" s="817"/>
      <c r="AM325" s="817"/>
      <c r="AN325" s="817"/>
      <c r="AO325" s="817"/>
      <c r="AP325" s="817"/>
      <c r="AQ325" s="817"/>
      <c r="AR325" s="817"/>
      <c r="AS325" s="817"/>
      <c r="AT325" s="817"/>
      <c r="AU325" s="343" t="s">
        <v>1671</v>
      </c>
    </row>
    <row r="326" spans="1:65" s="906" customFormat="1" ht="15" customHeight="1">
      <c r="A326" s="794">
        <v>324</v>
      </c>
      <c r="B326" s="857" t="s">
        <v>1585</v>
      </c>
      <c r="C326" s="857" t="s">
        <v>1260</v>
      </c>
      <c r="D326" s="840">
        <v>40057</v>
      </c>
      <c r="E326" s="840">
        <v>40148</v>
      </c>
      <c r="F326" s="791">
        <v>2009</v>
      </c>
      <c r="G326" s="857" t="s">
        <v>5</v>
      </c>
      <c r="H326" s="800" t="s">
        <v>1658</v>
      </c>
      <c r="I326" s="857" t="s">
        <v>1674</v>
      </c>
      <c r="J326" s="800" t="s">
        <v>2331</v>
      </c>
      <c r="K326" s="817">
        <v>1200</v>
      </c>
      <c r="L326" s="817"/>
      <c r="M326" s="817"/>
      <c r="N326" s="817">
        <v>124836</v>
      </c>
      <c r="O326" s="808">
        <f t="shared" si="23"/>
        <v>104.03</v>
      </c>
      <c r="P326" s="817"/>
      <c r="Q326" s="817"/>
      <c r="R326" s="817"/>
      <c r="S326" s="817"/>
      <c r="T326" s="817"/>
      <c r="U326" s="817"/>
      <c r="V326" s="817"/>
      <c r="W326" s="817"/>
      <c r="X326" s="817"/>
      <c r="Y326" s="817"/>
      <c r="Z326" s="817"/>
      <c r="AA326" s="817"/>
      <c r="AB326" s="817"/>
      <c r="AC326" s="817"/>
      <c r="AD326" s="817"/>
      <c r="AE326" s="817"/>
      <c r="AF326" s="817"/>
      <c r="AG326" s="817"/>
      <c r="AH326" s="817"/>
      <c r="AI326" s="817"/>
      <c r="AJ326" s="808">
        <f t="shared" si="20"/>
        <v>0</v>
      </c>
      <c r="AK326" s="817"/>
      <c r="AL326" s="817"/>
      <c r="AM326" s="817"/>
      <c r="AN326" s="817"/>
      <c r="AO326" s="817"/>
      <c r="AP326" s="817"/>
      <c r="AQ326" s="817"/>
      <c r="AR326" s="817"/>
      <c r="AS326" s="817"/>
      <c r="AT326" s="817"/>
      <c r="AU326" s="857" t="s">
        <v>1673</v>
      </c>
    </row>
    <row r="327" spans="1:65" s="906" customFormat="1" ht="15" customHeight="1">
      <c r="A327" s="794">
        <v>325</v>
      </c>
      <c r="B327" s="812" t="s">
        <v>4</v>
      </c>
      <c r="C327" s="857" t="s">
        <v>1260</v>
      </c>
      <c r="D327" s="840">
        <v>40057</v>
      </c>
      <c r="E327" s="840">
        <v>40118</v>
      </c>
      <c r="F327" s="791">
        <v>2009</v>
      </c>
      <c r="G327" s="857" t="s">
        <v>24</v>
      </c>
      <c r="H327" s="800" t="s">
        <v>1454</v>
      </c>
      <c r="I327" s="857" t="s">
        <v>1676</v>
      </c>
      <c r="J327" s="800" t="s">
        <v>2331</v>
      </c>
      <c r="K327" s="817">
        <v>750</v>
      </c>
      <c r="L327" s="817"/>
      <c r="M327" s="817"/>
      <c r="N327" s="817">
        <v>61016</v>
      </c>
      <c r="O327" s="808">
        <f t="shared" si="23"/>
        <v>81.35466666666666</v>
      </c>
      <c r="P327" s="817"/>
      <c r="Q327" s="817"/>
      <c r="R327" s="817"/>
      <c r="S327" s="817"/>
      <c r="T327" s="817"/>
      <c r="U327" s="817"/>
      <c r="V327" s="817"/>
      <c r="W327" s="817"/>
      <c r="X327" s="817"/>
      <c r="Y327" s="817"/>
      <c r="Z327" s="817"/>
      <c r="AA327" s="817"/>
      <c r="AB327" s="817"/>
      <c r="AC327" s="817"/>
      <c r="AD327" s="817"/>
      <c r="AE327" s="817"/>
      <c r="AF327" s="817"/>
      <c r="AG327" s="817"/>
      <c r="AH327" s="817"/>
      <c r="AI327" s="817"/>
      <c r="AJ327" s="808">
        <f t="shared" si="20"/>
        <v>0</v>
      </c>
      <c r="AK327" s="817"/>
      <c r="AL327" s="817"/>
      <c r="AM327" s="817"/>
      <c r="AN327" s="817"/>
      <c r="AO327" s="817"/>
      <c r="AP327" s="817"/>
      <c r="AQ327" s="817"/>
      <c r="AR327" s="817"/>
      <c r="AS327" s="817"/>
      <c r="AT327" s="817"/>
      <c r="AU327" s="857" t="s">
        <v>1675</v>
      </c>
    </row>
    <row r="328" spans="1:65" s="906" customFormat="1" ht="15" customHeight="1">
      <c r="A328" s="794">
        <v>326</v>
      </c>
      <c r="B328" s="857" t="s">
        <v>1073</v>
      </c>
      <c r="C328" s="857" t="s">
        <v>1286</v>
      </c>
      <c r="D328" s="840">
        <v>40057</v>
      </c>
      <c r="E328" s="840">
        <v>40148</v>
      </c>
      <c r="F328" s="791">
        <v>2009</v>
      </c>
      <c r="G328" s="857" t="s">
        <v>1216</v>
      </c>
      <c r="H328" s="800" t="s">
        <v>1452</v>
      </c>
      <c r="I328" s="857" t="s">
        <v>1678</v>
      </c>
      <c r="J328" s="800" t="s">
        <v>2331</v>
      </c>
      <c r="K328" s="817"/>
      <c r="L328" s="817"/>
      <c r="M328" s="817"/>
      <c r="N328" s="817">
        <v>25146.3</v>
      </c>
      <c r="O328" s="808"/>
      <c r="P328" s="817"/>
      <c r="Q328" s="817"/>
      <c r="R328" s="817"/>
      <c r="S328" s="817"/>
      <c r="T328" s="817"/>
      <c r="U328" s="817"/>
      <c r="V328" s="817"/>
      <c r="W328" s="817"/>
      <c r="X328" s="817"/>
      <c r="Y328" s="817"/>
      <c r="Z328" s="817"/>
      <c r="AA328" s="817"/>
      <c r="AB328" s="817"/>
      <c r="AC328" s="817"/>
      <c r="AD328" s="817"/>
      <c r="AE328" s="817"/>
      <c r="AF328" s="817"/>
      <c r="AG328" s="817"/>
      <c r="AH328" s="817"/>
      <c r="AI328" s="817"/>
      <c r="AJ328" s="808">
        <f t="shared" si="20"/>
        <v>0</v>
      </c>
      <c r="AK328" s="817"/>
      <c r="AL328" s="817"/>
      <c r="AM328" s="817"/>
      <c r="AN328" s="817"/>
      <c r="AO328" s="817"/>
      <c r="AP328" s="817"/>
      <c r="AQ328" s="817"/>
      <c r="AR328" s="817"/>
      <c r="AS328" s="817"/>
      <c r="AT328" s="817"/>
      <c r="AU328" s="857" t="s">
        <v>1677</v>
      </c>
    </row>
    <row r="329" spans="1:65" s="906" customFormat="1" ht="15" customHeight="1">
      <c r="A329" s="794">
        <v>327</v>
      </c>
      <c r="B329" s="790" t="s">
        <v>1994</v>
      </c>
      <c r="C329" s="857" t="s">
        <v>1261</v>
      </c>
      <c r="D329" s="840">
        <v>40087</v>
      </c>
      <c r="E329" s="840">
        <v>40148</v>
      </c>
      <c r="F329" s="791">
        <v>2009</v>
      </c>
      <c r="G329" s="857" t="s">
        <v>1680</v>
      </c>
      <c r="H329" s="800" t="s">
        <v>1450</v>
      </c>
      <c r="I329" s="857" t="s">
        <v>1681</v>
      </c>
      <c r="J329" s="800" t="s">
        <v>2331</v>
      </c>
      <c r="K329" s="817">
        <v>6000</v>
      </c>
      <c r="L329" s="817"/>
      <c r="M329" s="817"/>
      <c r="N329" s="817">
        <v>49961.68</v>
      </c>
      <c r="O329" s="808">
        <f t="shared" ref="O329:O360" si="24">N329/K329</f>
        <v>8.3269466666666663</v>
      </c>
      <c r="P329" s="817"/>
      <c r="Q329" s="817"/>
      <c r="R329" s="817"/>
      <c r="S329" s="817"/>
      <c r="T329" s="817"/>
      <c r="U329" s="817"/>
      <c r="V329" s="817"/>
      <c r="W329" s="817"/>
      <c r="X329" s="817"/>
      <c r="Y329" s="817"/>
      <c r="Z329" s="817"/>
      <c r="AA329" s="817"/>
      <c r="AB329" s="817"/>
      <c r="AC329" s="817"/>
      <c r="AD329" s="817"/>
      <c r="AE329" s="817"/>
      <c r="AF329" s="817"/>
      <c r="AG329" s="817"/>
      <c r="AH329" s="817"/>
      <c r="AI329" s="817"/>
      <c r="AJ329" s="808">
        <f t="shared" si="20"/>
        <v>0</v>
      </c>
      <c r="AK329" s="817"/>
      <c r="AL329" s="817"/>
      <c r="AM329" s="817"/>
      <c r="AN329" s="817"/>
      <c r="AO329" s="817"/>
      <c r="AP329" s="817"/>
      <c r="AQ329" s="817"/>
      <c r="AR329" s="817"/>
      <c r="AS329" s="817"/>
      <c r="AT329" s="817"/>
      <c r="AU329" s="857" t="s">
        <v>1679</v>
      </c>
    </row>
    <row r="330" spans="1:65" s="906" customFormat="1" ht="15" customHeight="1">
      <c r="A330" s="794">
        <v>328</v>
      </c>
      <c r="B330" s="857" t="s">
        <v>162</v>
      </c>
      <c r="C330" s="857" t="s">
        <v>1286</v>
      </c>
      <c r="D330" s="840">
        <v>40057</v>
      </c>
      <c r="E330" s="840">
        <v>40148</v>
      </c>
      <c r="F330" s="791">
        <v>2009</v>
      </c>
      <c r="G330" s="857" t="s">
        <v>1683</v>
      </c>
      <c r="H330" s="800" t="s">
        <v>1450</v>
      </c>
      <c r="I330" s="857" t="s">
        <v>1684</v>
      </c>
      <c r="J330" s="800" t="s">
        <v>2331</v>
      </c>
      <c r="K330" s="817">
        <v>15000</v>
      </c>
      <c r="L330" s="817"/>
      <c r="M330" s="817"/>
      <c r="N330" s="817">
        <v>159513.64000000001</v>
      </c>
      <c r="O330" s="808">
        <f t="shared" si="24"/>
        <v>10.634242666666667</v>
      </c>
      <c r="P330" s="817"/>
      <c r="Q330" s="817"/>
      <c r="R330" s="817"/>
      <c r="S330" s="817"/>
      <c r="T330" s="817"/>
      <c r="U330" s="817"/>
      <c r="V330" s="817"/>
      <c r="W330" s="817"/>
      <c r="X330" s="817"/>
      <c r="Y330" s="817"/>
      <c r="Z330" s="817"/>
      <c r="AA330" s="817"/>
      <c r="AB330" s="817"/>
      <c r="AC330" s="817"/>
      <c r="AD330" s="817"/>
      <c r="AE330" s="817"/>
      <c r="AF330" s="817"/>
      <c r="AG330" s="817"/>
      <c r="AH330" s="817"/>
      <c r="AI330" s="817"/>
      <c r="AJ330" s="808">
        <f t="shared" si="20"/>
        <v>0</v>
      </c>
      <c r="AK330" s="817"/>
      <c r="AL330" s="817"/>
      <c r="AM330" s="817"/>
      <c r="AN330" s="817"/>
      <c r="AO330" s="817"/>
      <c r="AP330" s="817"/>
      <c r="AQ330" s="817"/>
      <c r="AR330" s="817"/>
      <c r="AS330" s="817"/>
      <c r="AT330" s="817"/>
      <c r="AU330" s="343" t="s">
        <v>1682</v>
      </c>
    </row>
    <row r="331" spans="1:65" s="906" customFormat="1" ht="15" customHeight="1">
      <c r="A331" s="794">
        <v>329</v>
      </c>
      <c r="B331" s="857" t="s">
        <v>933</v>
      </c>
      <c r="C331" s="857" t="s">
        <v>1286</v>
      </c>
      <c r="D331" s="840">
        <v>40118</v>
      </c>
      <c r="E331" s="840">
        <v>40210</v>
      </c>
      <c r="F331" s="791">
        <v>2009</v>
      </c>
      <c r="G331" s="857" t="s">
        <v>5</v>
      </c>
      <c r="H331" s="800" t="s">
        <v>1658</v>
      </c>
      <c r="I331" s="857" t="s">
        <v>1686</v>
      </c>
      <c r="J331" s="800" t="s">
        <v>2331</v>
      </c>
      <c r="K331" s="817">
        <v>4750</v>
      </c>
      <c r="L331" s="817"/>
      <c r="M331" s="817"/>
      <c r="N331" s="817">
        <v>107272.55</v>
      </c>
      <c r="O331" s="808">
        <f t="shared" si="24"/>
        <v>22.583694736842105</v>
      </c>
      <c r="P331" s="817"/>
      <c r="Q331" s="817"/>
      <c r="R331" s="817"/>
      <c r="S331" s="817"/>
      <c r="T331" s="817"/>
      <c r="U331" s="817"/>
      <c r="V331" s="817"/>
      <c r="W331" s="817"/>
      <c r="X331" s="817"/>
      <c r="Y331" s="817"/>
      <c r="Z331" s="817"/>
      <c r="AA331" s="817"/>
      <c r="AB331" s="817"/>
      <c r="AC331" s="817"/>
      <c r="AD331" s="817"/>
      <c r="AE331" s="817"/>
      <c r="AF331" s="817"/>
      <c r="AG331" s="817"/>
      <c r="AH331" s="817"/>
      <c r="AI331" s="817"/>
      <c r="AJ331" s="808">
        <f t="shared" si="20"/>
        <v>0</v>
      </c>
      <c r="AK331" s="817"/>
      <c r="AL331" s="817"/>
      <c r="AM331" s="817"/>
      <c r="AN331" s="817"/>
      <c r="AO331" s="817"/>
      <c r="AP331" s="817"/>
      <c r="AQ331" s="817"/>
      <c r="AR331" s="817"/>
      <c r="AS331" s="817"/>
      <c r="AT331" s="817"/>
      <c r="AU331" s="857" t="s">
        <v>1685</v>
      </c>
    </row>
    <row r="332" spans="1:65" s="906" customFormat="1" ht="15" customHeight="1">
      <c r="A332" s="794">
        <v>330</v>
      </c>
      <c r="B332" s="857" t="s">
        <v>446</v>
      </c>
      <c r="C332" s="857" t="s">
        <v>1261</v>
      </c>
      <c r="D332" s="840">
        <v>40087</v>
      </c>
      <c r="E332" s="840">
        <v>40269</v>
      </c>
      <c r="F332" s="791">
        <v>2009</v>
      </c>
      <c r="G332" s="857" t="s">
        <v>1469</v>
      </c>
      <c r="H332" s="800" t="s">
        <v>1658</v>
      </c>
      <c r="I332" s="857" t="s">
        <v>1688</v>
      </c>
      <c r="J332" s="800" t="s">
        <v>2331</v>
      </c>
      <c r="K332" s="817">
        <v>20000</v>
      </c>
      <c r="L332" s="817"/>
      <c r="M332" s="817"/>
      <c r="N332" s="817">
        <v>277112.56</v>
      </c>
      <c r="O332" s="808">
        <f t="shared" si="24"/>
        <v>13.855627999999999</v>
      </c>
      <c r="P332" s="817"/>
      <c r="Q332" s="817"/>
      <c r="R332" s="817"/>
      <c r="S332" s="817"/>
      <c r="T332" s="817"/>
      <c r="U332" s="817"/>
      <c r="V332" s="817"/>
      <c r="W332" s="817"/>
      <c r="X332" s="817"/>
      <c r="Y332" s="817"/>
      <c r="Z332" s="817"/>
      <c r="AA332" s="817"/>
      <c r="AB332" s="817"/>
      <c r="AC332" s="817"/>
      <c r="AD332" s="817"/>
      <c r="AE332" s="817"/>
      <c r="AF332" s="817"/>
      <c r="AG332" s="817"/>
      <c r="AH332" s="817"/>
      <c r="AI332" s="817"/>
      <c r="AJ332" s="808">
        <f t="shared" si="20"/>
        <v>0</v>
      </c>
      <c r="AK332" s="817"/>
      <c r="AL332" s="817"/>
      <c r="AM332" s="817"/>
      <c r="AN332" s="817"/>
      <c r="AO332" s="817"/>
      <c r="AP332" s="817"/>
      <c r="AQ332" s="817"/>
      <c r="AR332" s="817"/>
      <c r="AS332" s="817"/>
      <c r="AT332" s="817"/>
      <c r="AU332" s="857" t="s">
        <v>1687</v>
      </c>
    </row>
    <row r="333" spans="1:65" s="906" customFormat="1" ht="15" customHeight="1">
      <c r="A333" s="794">
        <v>331</v>
      </c>
      <c r="B333" s="857" t="s">
        <v>1475</v>
      </c>
      <c r="C333" s="857" t="s">
        <v>1286</v>
      </c>
      <c r="D333" s="840">
        <v>40118</v>
      </c>
      <c r="E333" s="840">
        <v>40210</v>
      </c>
      <c r="F333" s="791">
        <v>2009</v>
      </c>
      <c r="G333" s="857" t="s">
        <v>5</v>
      </c>
      <c r="H333" s="800" t="s">
        <v>1658</v>
      </c>
      <c r="I333" s="857" t="s">
        <v>1690</v>
      </c>
      <c r="J333" s="800" t="s">
        <v>2331</v>
      </c>
      <c r="K333" s="817">
        <v>10680</v>
      </c>
      <c r="L333" s="817"/>
      <c r="M333" s="817"/>
      <c r="N333" s="817">
        <v>242712.41</v>
      </c>
      <c r="O333" s="808">
        <f t="shared" si="24"/>
        <v>22.725881086142323</v>
      </c>
      <c r="P333" s="817"/>
      <c r="Q333" s="817"/>
      <c r="R333" s="817"/>
      <c r="S333" s="817"/>
      <c r="T333" s="817"/>
      <c r="U333" s="817"/>
      <c r="V333" s="817"/>
      <c r="W333" s="817"/>
      <c r="X333" s="817"/>
      <c r="Y333" s="817"/>
      <c r="Z333" s="817"/>
      <c r="AA333" s="817"/>
      <c r="AB333" s="817"/>
      <c r="AC333" s="817"/>
      <c r="AD333" s="817"/>
      <c r="AE333" s="817"/>
      <c r="AF333" s="817"/>
      <c r="AG333" s="817"/>
      <c r="AH333" s="817"/>
      <c r="AI333" s="817"/>
      <c r="AJ333" s="808">
        <f t="shared" si="20"/>
        <v>0</v>
      </c>
      <c r="AK333" s="817"/>
      <c r="AL333" s="817"/>
      <c r="AM333" s="817"/>
      <c r="AN333" s="817"/>
      <c r="AO333" s="817"/>
      <c r="AP333" s="817"/>
      <c r="AQ333" s="817"/>
      <c r="AR333" s="817"/>
      <c r="AS333" s="817"/>
      <c r="AT333" s="817"/>
      <c r="AU333" s="857" t="s">
        <v>1689</v>
      </c>
    </row>
    <row r="334" spans="1:65" s="906" customFormat="1" ht="15" customHeight="1">
      <c r="A334" s="794">
        <v>332</v>
      </c>
      <c r="B334" s="857" t="s">
        <v>452</v>
      </c>
      <c r="C334" s="872" t="s">
        <v>1278</v>
      </c>
      <c r="D334" s="840">
        <v>39814</v>
      </c>
      <c r="E334" s="840">
        <v>39965</v>
      </c>
      <c r="F334" s="791">
        <v>2009</v>
      </c>
      <c r="G334" s="857" t="s">
        <v>1950</v>
      </c>
      <c r="H334" s="800" t="s">
        <v>1452</v>
      </c>
      <c r="I334" s="857" t="s">
        <v>704</v>
      </c>
      <c r="J334" s="800" t="s">
        <v>2331</v>
      </c>
      <c r="K334" s="817">
        <v>800</v>
      </c>
      <c r="L334" s="817">
        <v>446524</v>
      </c>
      <c r="M334" s="817">
        <v>381921</v>
      </c>
      <c r="N334" s="817">
        <v>381921</v>
      </c>
      <c r="O334" s="808">
        <f t="shared" si="24"/>
        <v>477.40125</v>
      </c>
      <c r="P334" s="817">
        <v>86</v>
      </c>
      <c r="Q334" s="817"/>
      <c r="R334" s="817"/>
      <c r="S334" s="817"/>
      <c r="T334" s="817"/>
      <c r="U334" s="817"/>
      <c r="V334" s="817"/>
      <c r="W334" s="817">
        <v>5000</v>
      </c>
      <c r="X334" s="817">
        <f>0.86*W334</f>
        <v>4300</v>
      </c>
      <c r="Y334" s="817"/>
      <c r="Z334" s="817">
        <v>800</v>
      </c>
      <c r="AA334" s="817"/>
      <c r="AB334" s="817">
        <v>100</v>
      </c>
      <c r="AC334" s="817"/>
      <c r="AD334" s="817"/>
      <c r="AE334" s="817"/>
      <c r="AF334" s="817"/>
      <c r="AG334" s="817"/>
      <c r="AH334" s="817">
        <v>967</v>
      </c>
      <c r="AI334" s="817"/>
      <c r="AJ334" s="787">
        <f t="shared" si="20"/>
        <v>1767</v>
      </c>
      <c r="AK334" s="817">
        <v>3500</v>
      </c>
      <c r="AL334" s="817">
        <f>0.86*AK334</f>
        <v>3010</v>
      </c>
      <c r="AM334" s="817"/>
      <c r="AN334" s="817"/>
      <c r="AO334" s="817"/>
      <c r="AP334" s="817"/>
      <c r="AQ334" s="817"/>
      <c r="AR334" s="817"/>
      <c r="AS334" s="817"/>
      <c r="AT334" s="817"/>
      <c r="AU334" s="857" t="s">
        <v>703</v>
      </c>
    </row>
    <row r="335" spans="1:65" s="857" customFormat="1" ht="15.75" customHeight="1">
      <c r="A335" s="794">
        <v>333</v>
      </c>
      <c r="B335" s="789" t="s">
        <v>477</v>
      </c>
      <c r="C335" s="836" t="s">
        <v>1299</v>
      </c>
      <c r="D335" s="840">
        <v>39569</v>
      </c>
      <c r="E335" s="840">
        <v>39783</v>
      </c>
      <c r="F335" s="857">
        <v>2008</v>
      </c>
      <c r="G335" s="789" t="s">
        <v>781</v>
      </c>
      <c r="H335" s="837" t="s">
        <v>1453</v>
      </c>
      <c r="I335" s="789" t="s">
        <v>839</v>
      </c>
      <c r="J335" s="800" t="s">
        <v>2331</v>
      </c>
      <c r="K335" s="817">
        <v>1000</v>
      </c>
      <c r="L335" s="817">
        <v>64000</v>
      </c>
      <c r="M335" s="817">
        <v>57032</v>
      </c>
      <c r="N335" s="817">
        <v>57032</v>
      </c>
      <c r="O335" s="808">
        <f t="shared" si="24"/>
        <v>57.031999999999996</v>
      </c>
      <c r="P335" s="817">
        <v>89</v>
      </c>
      <c r="Q335" s="817" t="s">
        <v>75</v>
      </c>
      <c r="R335" s="817" t="s">
        <v>75</v>
      </c>
      <c r="S335" s="817" t="s">
        <v>75</v>
      </c>
      <c r="T335" s="817" t="s">
        <v>849</v>
      </c>
      <c r="U335" s="817" t="s">
        <v>75</v>
      </c>
      <c r="V335" s="817">
        <v>1000</v>
      </c>
      <c r="W335" s="817">
        <v>12000</v>
      </c>
      <c r="X335" s="817">
        <f>0.89*W335</f>
        <v>10680</v>
      </c>
      <c r="Y335" s="817"/>
      <c r="Z335" s="817">
        <v>1500</v>
      </c>
      <c r="AA335" s="817">
        <v>1500</v>
      </c>
      <c r="AB335" s="817">
        <v>30</v>
      </c>
      <c r="AC335" s="817" t="s">
        <v>75</v>
      </c>
      <c r="AD335" s="817" t="s">
        <v>75</v>
      </c>
      <c r="AE335" s="817" t="s">
        <v>75</v>
      </c>
      <c r="AF335" s="817" t="s">
        <v>75</v>
      </c>
      <c r="AG335" s="817" t="s">
        <v>75</v>
      </c>
      <c r="AH335" s="817">
        <v>32</v>
      </c>
      <c r="AI335" s="817" t="s">
        <v>75</v>
      </c>
      <c r="AJ335" s="787">
        <f t="shared" si="20"/>
        <v>3032</v>
      </c>
      <c r="AK335" s="817" t="s">
        <v>75</v>
      </c>
      <c r="AL335" s="817" t="s">
        <v>75</v>
      </c>
      <c r="AM335" s="817"/>
      <c r="AN335" s="817" t="s">
        <v>75</v>
      </c>
      <c r="AO335" s="817" t="s">
        <v>75</v>
      </c>
      <c r="AP335" s="817" t="s">
        <v>75</v>
      </c>
      <c r="AQ335" s="817" t="s">
        <v>75</v>
      </c>
      <c r="AR335" s="817" t="s">
        <v>75</v>
      </c>
      <c r="AS335" s="817" t="s">
        <v>75</v>
      </c>
      <c r="AT335" s="817" t="s">
        <v>75</v>
      </c>
      <c r="AU335" s="356" t="s">
        <v>838</v>
      </c>
      <c r="AV335" s="845"/>
      <c r="AW335" s="845"/>
      <c r="AX335" s="845"/>
      <c r="AY335" s="845"/>
      <c r="AZ335" s="845"/>
      <c r="BA335" s="845"/>
      <c r="BB335" s="845"/>
      <c r="BC335" s="845"/>
      <c r="BD335" s="845"/>
      <c r="BE335" s="845"/>
      <c r="BF335" s="845"/>
      <c r="BG335" s="845"/>
      <c r="BH335" s="845"/>
      <c r="BI335" s="845"/>
      <c r="BJ335" s="845"/>
      <c r="BK335" s="845"/>
      <c r="BL335" s="845"/>
      <c r="BM335" s="845"/>
    </row>
    <row r="336" spans="1:65" s="857" customFormat="1" ht="14.25" customHeight="1">
      <c r="A336" s="794">
        <v>334</v>
      </c>
      <c r="B336" s="789" t="s">
        <v>145</v>
      </c>
      <c r="C336" s="836" t="s">
        <v>1299</v>
      </c>
      <c r="D336" s="840">
        <v>39479</v>
      </c>
      <c r="E336" s="840">
        <v>39630</v>
      </c>
      <c r="F336" s="857">
        <v>2008</v>
      </c>
      <c r="G336" s="789" t="s">
        <v>615</v>
      </c>
      <c r="H336" s="841" t="s">
        <v>1452</v>
      </c>
      <c r="I336" s="789" t="s">
        <v>801</v>
      </c>
      <c r="J336" s="800" t="s">
        <v>2331</v>
      </c>
      <c r="K336" s="817">
        <v>2000</v>
      </c>
      <c r="L336" s="817">
        <v>70000</v>
      </c>
      <c r="M336" s="817">
        <v>70010</v>
      </c>
      <c r="N336" s="817">
        <v>70010</v>
      </c>
      <c r="O336" s="808">
        <f t="shared" si="24"/>
        <v>35.005000000000003</v>
      </c>
      <c r="P336" s="817">
        <v>100</v>
      </c>
      <c r="Q336" s="817"/>
      <c r="R336" s="817"/>
      <c r="S336" s="817"/>
      <c r="T336" s="817" t="s">
        <v>849</v>
      </c>
      <c r="U336" s="817" t="s">
        <v>75</v>
      </c>
      <c r="V336" s="817">
        <v>2000</v>
      </c>
      <c r="W336" s="817" t="s">
        <v>75</v>
      </c>
      <c r="X336" s="817" t="s">
        <v>75</v>
      </c>
      <c r="Y336" s="817"/>
      <c r="Z336" s="817" t="s">
        <v>75</v>
      </c>
      <c r="AA336" s="817" t="s">
        <v>75</v>
      </c>
      <c r="AB336" s="817" t="s">
        <v>75</v>
      </c>
      <c r="AC336" s="817" t="s">
        <v>75</v>
      </c>
      <c r="AD336" s="817" t="s">
        <v>75</v>
      </c>
      <c r="AE336" s="817">
        <v>800</v>
      </c>
      <c r="AF336" s="817" t="s">
        <v>75</v>
      </c>
      <c r="AG336" s="817" t="s">
        <v>75</v>
      </c>
      <c r="AH336" s="817" t="s">
        <v>75</v>
      </c>
      <c r="AI336" s="817" t="s">
        <v>75</v>
      </c>
      <c r="AJ336" s="808">
        <f t="shared" si="20"/>
        <v>0</v>
      </c>
      <c r="AK336" s="817" t="s">
        <v>75</v>
      </c>
      <c r="AL336" s="817" t="s">
        <v>75</v>
      </c>
      <c r="AM336" s="817"/>
      <c r="AN336" s="817" t="s">
        <v>75</v>
      </c>
      <c r="AO336" s="817" t="s">
        <v>75</v>
      </c>
      <c r="AP336" s="817" t="s">
        <v>75</v>
      </c>
      <c r="AQ336" s="817" t="s">
        <v>75</v>
      </c>
      <c r="AR336" s="817" t="s">
        <v>75</v>
      </c>
      <c r="AS336" s="817" t="s">
        <v>75</v>
      </c>
      <c r="AT336" s="817" t="s">
        <v>75</v>
      </c>
      <c r="AU336" s="356" t="s">
        <v>800</v>
      </c>
      <c r="AV336" s="845"/>
      <c r="AW336" s="845"/>
      <c r="AX336" s="845"/>
      <c r="AY336" s="845"/>
      <c r="AZ336" s="845"/>
      <c r="BA336" s="845"/>
      <c r="BB336" s="845"/>
      <c r="BC336" s="845"/>
      <c r="BD336" s="845"/>
      <c r="BE336" s="845"/>
      <c r="BF336" s="845"/>
      <c r="BG336" s="845"/>
      <c r="BH336" s="845"/>
      <c r="BI336" s="845"/>
      <c r="BJ336" s="845"/>
      <c r="BK336" s="845"/>
      <c r="BL336" s="845"/>
      <c r="BM336" s="845"/>
    </row>
    <row r="337" spans="1:65" s="857" customFormat="1" ht="20.25" customHeight="1">
      <c r="A337" s="794">
        <v>335</v>
      </c>
      <c r="B337" s="785" t="s">
        <v>124</v>
      </c>
      <c r="C337" s="785" t="s">
        <v>1278</v>
      </c>
      <c r="D337" s="792">
        <v>39753</v>
      </c>
      <c r="E337" s="792">
        <v>39845</v>
      </c>
      <c r="F337" s="857">
        <v>2008</v>
      </c>
      <c r="G337" s="789" t="s">
        <v>623</v>
      </c>
      <c r="H337" s="837" t="s">
        <v>1451</v>
      </c>
      <c r="I337" s="785" t="s">
        <v>622</v>
      </c>
      <c r="J337" s="800" t="s">
        <v>2331</v>
      </c>
      <c r="K337" s="842">
        <v>2423</v>
      </c>
      <c r="L337" s="842">
        <v>117783</v>
      </c>
      <c r="M337" s="842">
        <v>117783</v>
      </c>
      <c r="N337" s="842">
        <v>117783</v>
      </c>
      <c r="O337" s="808">
        <f t="shared" si="24"/>
        <v>48.610400330169213</v>
      </c>
      <c r="P337" s="842">
        <v>100</v>
      </c>
      <c r="Q337" s="842" t="s">
        <v>339</v>
      </c>
      <c r="R337" s="842">
        <v>2423</v>
      </c>
      <c r="S337" s="842">
        <v>2423</v>
      </c>
      <c r="T337" s="842" t="s">
        <v>95</v>
      </c>
      <c r="U337" s="842">
        <v>300</v>
      </c>
      <c r="V337" s="842">
        <v>48953</v>
      </c>
      <c r="W337" s="842" t="s">
        <v>75</v>
      </c>
      <c r="X337" s="842" t="s">
        <v>75</v>
      </c>
      <c r="Y337" s="808"/>
      <c r="Z337" s="842" t="s">
        <v>75</v>
      </c>
      <c r="AA337" s="842">
        <v>2423</v>
      </c>
      <c r="AB337" s="842" t="s">
        <v>75</v>
      </c>
      <c r="AC337" s="842" t="s">
        <v>75</v>
      </c>
      <c r="AD337" s="842" t="s">
        <v>75</v>
      </c>
      <c r="AE337" s="842" t="s">
        <v>75</v>
      </c>
      <c r="AF337" s="842" t="s">
        <v>75</v>
      </c>
      <c r="AG337" s="842" t="s">
        <v>75</v>
      </c>
      <c r="AH337" s="842" t="s">
        <v>75</v>
      </c>
      <c r="AI337" s="842" t="s">
        <v>75</v>
      </c>
      <c r="AJ337" s="787">
        <f t="shared" si="20"/>
        <v>2423</v>
      </c>
      <c r="AK337" s="842" t="s">
        <v>75</v>
      </c>
      <c r="AL337" s="842" t="s">
        <v>75</v>
      </c>
      <c r="AM337" s="842"/>
      <c r="AN337" s="842" t="s">
        <v>75</v>
      </c>
      <c r="AO337" s="842" t="s">
        <v>75</v>
      </c>
      <c r="AP337" s="842" t="s">
        <v>75</v>
      </c>
      <c r="AQ337" s="842" t="s">
        <v>75</v>
      </c>
      <c r="AR337" s="842" t="s">
        <v>75</v>
      </c>
      <c r="AS337" s="842" t="s">
        <v>75</v>
      </c>
      <c r="AT337" s="842" t="s">
        <v>75</v>
      </c>
      <c r="AU337" s="344" t="s">
        <v>621</v>
      </c>
      <c r="AV337" s="853"/>
      <c r="AW337" s="853"/>
      <c r="AX337" s="853"/>
      <c r="AY337" s="853"/>
      <c r="AZ337" s="853"/>
      <c r="BA337" s="853"/>
      <c r="BB337" s="853"/>
      <c r="BC337" s="853"/>
      <c r="BD337" s="853"/>
      <c r="BE337" s="853"/>
      <c r="BF337" s="853"/>
      <c r="BG337" s="853"/>
      <c r="BH337" s="853"/>
      <c r="BI337" s="853"/>
      <c r="BJ337" s="853"/>
      <c r="BK337" s="853"/>
      <c r="BL337" s="853"/>
      <c r="BM337" s="853"/>
    </row>
    <row r="338" spans="1:65" s="857" customFormat="1" ht="15" customHeight="1">
      <c r="A338" s="794">
        <v>336</v>
      </c>
      <c r="B338" s="785" t="s">
        <v>145</v>
      </c>
      <c r="C338" s="785" t="s">
        <v>1299</v>
      </c>
      <c r="D338" s="792">
        <v>39762</v>
      </c>
      <c r="E338" s="792">
        <v>39851</v>
      </c>
      <c r="F338" s="857">
        <v>2008</v>
      </c>
      <c r="G338" s="789" t="s">
        <v>615</v>
      </c>
      <c r="H338" s="841" t="s">
        <v>1452</v>
      </c>
      <c r="I338" s="785" t="s">
        <v>1993</v>
      </c>
      <c r="J338" s="812" t="s">
        <v>2438</v>
      </c>
      <c r="K338" s="842">
        <v>2500</v>
      </c>
      <c r="L338" s="842">
        <v>691687</v>
      </c>
      <c r="M338" s="842">
        <v>251620</v>
      </c>
      <c r="N338" s="842">
        <v>251620</v>
      </c>
      <c r="O338" s="808">
        <f t="shared" si="24"/>
        <v>100.648</v>
      </c>
      <c r="P338" s="842">
        <v>36</v>
      </c>
      <c r="Q338" s="842">
        <v>2500</v>
      </c>
      <c r="R338" s="842">
        <v>2500</v>
      </c>
      <c r="S338" s="842">
        <v>2500</v>
      </c>
      <c r="T338" s="842" t="s">
        <v>95</v>
      </c>
      <c r="U338" s="842">
        <v>20</v>
      </c>
      <c r="V338" s="842">
        <v>2500</v>
      </c>
      <c r="W338" s="842">
        <v>149100</v>
      </c>
      <c r="X338" s="842">
        <v>28378</v>
      </c>
      <c r="Y338" s="808">
        <f>X338/S338</f>
        <v>11.3512</v>
      </c>
      <c r="Z338" s="842" t="s">
        <v>75</v>
      </c>
      <c r="AA338" s="842" t="s">
        <v>339</v>
      </c>
      <c r="AB338" s="842">
        <v>40</v>
      </c>
      <c r="AC338" s="842" t="s">
        <v>75</v>
      </c>
      <c r="AD338" s="842" t="s">
        <v>75</v>
      </c>
      <c r="AE338" s="842">
        <v>1400</v>
      </c>
      <c r="AF338" s="842" t="s">
        <v>75</v>
      </c>
      <c r="AG338" s="842" t="s">
        <v>75</v>
      </c>
      <c r="AH338" s="842" t="s">
        <v>75</v>
      </c>
      <c r="AI338" s="842" t="s">
        <v>75</v>
      </c>
      <c r="AJ338" s="808">
        <f t="shared" ref="AJ338:AJ401" si="25">SUM(Z338,AA338,AH338)</f>
        <v>0</v>
      </c>
      <c r="AK338" s="842" t="s">
        <v>75</v>
      </c>
      <c r="AL338" s="842" t="s">
        <v>75</v>
      </c>
      <c r="AM338" s="842"/>
      <c r="AN338" s="842" t="s">
        <v>75</v>
      </c>
      <c r="AO338" s="842" t="s">
        <v>75</v>
      </c>
      <c r="AP338" s="842" t="s">
        <v>75</v>
      </c>
      <c r="AQ338" s="842" t="s">
        <v>75</v>
      </c>
      <c r="AR338" s="842" t="s">
        <v>75</v>
      </c>
      <c r="AS338" s="842" t="s">
        <v>75</v>
      </c>
      <c r="AT338" s="842" t="s">
        <v>75</v>
      </c>
      <c r="AU338" s="293" t="s">
        <v>669</v>
      </c>
      <c r="AV338" s="853"/>
      <c r="AW338" s="853"/>
      <c r="AX338" s="853"/>
      <c r="AY338" s="853"/>
      <c r="AZ338" s="853"/>
      <c r="BA338" s="853"/>
      <c r="BB338" s="853"/>
      <c r="BC338" s="853"/>
      <c r="BD338" s="853"/>
      <c r="BE338" s="853"/>
      <c r="BF338" s="853"/>
      <c r="BG338" s="853"/>
      <c r="BH338" s="853"/>
      <c r="BI338" s="853"/>
      <c r="BJ338" s="853"/>
      <c r="BK338" s="853"/>
      <c r="BL338" s="853"/>
      <c r="BM338" s="853"/>
    </row>
    <row r="339" spans="1:65" s="853" customFormat="1" ht="19.5" customHeight="1">
      <c r="A339" s="794">
        <v>337</v>
      </c>
      <c r="B339" s="785" t="s">
        <v>452</v>
      </c>
      <c r="C339" s="785" t="s">
        <v>1278</v>
      </c>
      <c r="D339" s="792">
        <v>39692</v>
      </c>
      <c r="E339" s="792">
        <v>39753</v>
      </c>
      <c r="F339" s="857">
        <v>2008</v>
      </c>
      <c r="G339" s="789" t="s">
        <v>604</v>
      </c>
      <c r="H339" s="841" t="s">
        <v>1454</v>
      </c>
      <c r="I339" s="785" t="s">
        <v>603</v>
      </c>
      <c r="J339" s="800" t="s">
        <v>2331</v>
      </c>
      <c r="K339" s="842">
        <v>3000</v>
      </c>
      <c r="L339" s="842">
        <v>249198</v>
      </c>
      <c r="M339" s="842">
        <v>249198</v>
      </c>
      <c r="N339" s="842">
        <v>249198</v>
      </c>
      <c r="O339" s="808">
        <f t="shared" si="24"/>
        <v>83.066000000000003</v>
      </c>
      <c r="P339" s="842">
        <v>100</v>
      </c>
      <c r="Q339" s="842">
        <v>1500</v>
      </c>
      <c r="R339" s="842"/>
      <c r="S339" s="842">
        <v>1500</v>
      </c>
      <c r="T339" s="842" t="s">
        <v>95</v>
      </c>
      <c r="U339" s="842" t="s">
        <v>583</v>
      </c>
      <c r="V339" s="842"/>
      <c r="W339" s="842">
        <v>2400</v>
      </c>
      <c r="X339" s="842">
        <v>2400</v>
      </c>
      <c r="Y339" s="808">
        <f>X339/S339</f>
        <v>1.6</v>
      </c>
      <c r="Z339" s="842">
        <v>3000</v>
      </c>
      <c r="AA339" s="842" t="s">
        <v>75</v>
      </c>
      <c r="AB339" s="842">
        <v>200</v>
      </c>
      <c r="AC339" s="842" t="s">
        <v>75</v>
      </c>
      <c r="AD339" s="842" t="s">
        <v>75</v>
      </c>
      <c r="AE339" s="842" t="s">
        <v>75</v>
      </c>
      <c r="AF339" s="842" t="s">
        <v>75</v>
      </c>
      <c r="AG339" s="842" t="s">
        <v>75</v>
      </c>
      <c r="AH339" s="842" t="s">
        <v>75</v>
      </c>
      <c r="AI339" s="842" t="s">
        <v>75</v>
      </c>
      <c r="AJ339" s="808">
        <f t="shared" si="25"/>
        <v>3000</v>
      </c>
      <c r="AK339" s="842" t="s">
        <v>75</v>
      </c>
      <c r="AL339" s="842" t="s">
        <v>75</v>
      </c>
      <c r="AM339" s="842"/>
      <c r="AN339" s="842" t="s">
        <v>75</v>
      </c>
      <c r="AO339" s="842" t="s">
        <v>75</v>
      </c>
      <c r="AP339" s="842" t="s">
        <v>75</v>
      </c>
      <c r="AQ339" s="842" t="s">
        <v>75</v>
      </c>
      <c r="AR339" s="842" t="s">
        <v>75</v>
      </c>
      <c r="AS339" s="842" t="s">
        <v>75</v>
      </c>
      <c r="AT339" s="842" t="s">
        <v>75</v>
      </c>
      <c r="AU339" s="293" t="s">
        <v>602</v>
      </c>
    </row>
    <row r="340" spans="1:65" s="853" customFormat="1" ht="15.75" customHeight="1">
      <c r="A340" s="794">
        <v>338</v>
      </c>
      <c r="B340" s="785" t="s">
        <v>8</v>
      </c>
      <c r="C340" s="785" t="s">
        <v>1261</v>
      </c>
      <c r="D340" s="792">
        <v>39600</v>
      </c>
      <c r="E340" s="792">
        <v>39994</v>
      </c>
      <c r="F340" s="857">
        <v>2008</v>
      </c>
      <c r="G340" s="789" t="s">
        <v>712</v>
      </c>
      <c r="H340" s="837" t="s">
        <v>1450</v>
      </c>
      <c r="I340" s="785" t="s">
        <v>711</v>
      </c>
      <c r="J340" s="812" t="s">
        <v>2438</v>
      </c>
      <c r="K340" s="842">
        <v>5000</v>
      </c>
      <c r="L340" s="842">
        <v>2075697</v>
      </c>
      <c r="M340" s="842">
        <v>2079647</v>
      </c>
      <c r="N340" s="842">
        <v>2079647</v>
      </c>
      <c r="O340" s="808">
        <f t="shared" si="24"/>
        <v>415.92939999999999</v>
      </c>
      <c r="P340" s="842">
        <v>100</v>
      </c>
      <c r="Q340" s="842">
        <v>20000</v>
      </c>
      <c r="R340" s="842">
        <f>(350*5)+5000</f>
        <v>6750</v>
      </c>
      <c r="S340" s="842">
        <v>83250</v>
      </c>
      <c r="T340" s="842" t="s">
        <v>95</v>
      </c>
      <c r="U340" s="842">
        <v>340</v>
      </c>
      <c r="V340" s="842">
        <v>124000</v>
      </c>
      <c r="W340" s="842">
        <v>15031</v>
      </c>
      <c r="X340" s="842">
        <v>50846</v>
      </c>
      <c r="Y340" s="808">
        <f>X340/S340</f>
        <v>0.61076276276276276</v>
      </c>
      <c r="Z340" s="842" t="s">
        <v>75</v>
      </c>
      <c r="AA340" s="842" t="s">
        <v>339</v>
      </c>
      <c r="AB340" s="842" t="s">
        <v>75</v>
      </c>
      <c r="AC340" s="842" t="s">
        <v>75</v>
      </c>
      <c r="AD340" s="842" t="s">
        <v>75</v>
      </c>
      <c r="AE340" s="842">
        <v>7200</v>
      </c>
      <c r="AF340" s="842" t="s">
        <v>75</v>
      </c>
      <c r="AG340" s="842" t="s">
        <v>75</v>
      </c>
      <c r="AH340" s="842" t="s">
        <v>75</v>
      </c>
      <c r="AI340" s="842" t="s">
        <v>75</v>
      </c>
      <c r="AJ340" s="787">
        <f t="shared" si="25"/>
        <v>0</v>
      </c>
      <c r="AK340" s="842" t="s">
        <v>75</v>
      </c>
      <c r="AL340" s="842" t="s">
        <v>75</v>
      </c>
      <c r="AM340" s="842"/>
      <c r="AN340" s="842" t="s">
        <v>75</v>
      </c>
      <c r="AO340" s="842" t="s">
        <v>75</v>
      </c>
      <c r="AP340" s="842">
        <v>1</v>
      </c>
      <c r="AQ340" s="842" t="s">
        <v>75</v>
      </c>
      <c r="AR340" s="842" t="s">
        <v>75</v>
      </c>
      <c r="AS340" s="842" t="s">
        <v>75</v>
      </c>
      <c r="AT340" s="842" t="s">
        <v>75</v>
      </c>
      <c r="AU340" s="293" t="s">
        <v>710</v>
      </c>
    </row>
    <row r="341" spans="1:65" s="853" customFormat="1" ht="19.5" customHeight="1">
      <c r="A341" s="794">
        <v>339</v>
      </c>
      <c r="B341" s="789" t="s">
        <v>196</v>
      </c>
      <c r="C341" s="836" t="s">
        <v>1260</v>
      </c>
      <c r="D341" s="840">
        <v>39508</v>
      </c>
      <c r="E341" s="840">
        <v>39661</v>
      </c>
      <c r="F341" s="857">
        <v>2008</v>
      </c>
      <c r="G341" s="789" t="s">
        <v>834</v>
      </c>
      <c r="H341" s="841" t="s">
        <v>1453</v>
      </c>
      <c r="I341" s="789" t="s">
        <v>833</v>
      </c>
      <c r="J341" s="812" t="s">
        <v>2438</v>
      </c>
      <c r="K341" s="817">
        <v>5097</v>
      </c>
      <c r="L341" s="817">
        <v>572678</v>
      </c>
      <c r="M341" s="817">
        <v>491044</v>
      </c>
      <c r="N341" s="817">
        <v>491044</v>
      </c>
      <c r="O341" s="808">
        <f t="shared" si="24"/>
        <v>96.339807730037279</v>
      </c>
      <c r="P341" s="817">
        <v>86</v>
      </c>
      <c r="Q341" s="817">
        <v>2003</v>
      </c>
      <c r="R341" s="817"/>
      <c r="S341" s="817">
        <v>2003</v>
      </c>
      <c r="T341" s="817" t="s">
        <v>849</v>
      </c>
      <c r="U341" s="817" t="s">
        <v>75</v>
      </c>
      <c r="V341" s="817">
        <v>2003</v>
      </c>
      <c r="W341" s="817">
        <v>159572</v>
      </c>
      <c r="X341" s="817">
        <v>54442</v>
      </c>
      <c r="Y341" s="808">
        <f>X341/S341</f>
        <v>27.180229655516726</v>
      </c>
      <c r="Z341" s="817" t="s">
        <v>75</v>
      </c>
      <c r="AA341" s="817">
        <v>2003</v>
      </c>
      <c r="AB341" s="817">
        <v>42</v>
      </c>
      <c r="AC341" s="817" t="s">
        <v>75</v>
      </c>
      <c r="AD341" s="817" t="s">
        <v>75</v>
      </c>
      <c r="AE341" s="817" t="s">
        <v>75</v>
      </c>
      <c r="AF341" s="817" t="s">
        <v>75</v>
      </c>
      <c r="AG341" s="817" t="s">
        <v>75</v>
      </c>
      <c r="AH341" s="817" t="s">
        <v>75</v>
      </c>
      <c r="AI341" s="817" t="s">
        <v>75</v>
      </c>
      <c r="AJ341" s="787">
        <f t="shared" si="25"/>
        <v>2003</v>
      </c>
      <c r="AK341" s="817">
        <v>1128</v>
      </c>
      <c r="AL341" s="817">
        <v>1487</v>
      </c>
      <c r="AM341" s="817"/>
      <c r="AN341" s="817" t="s">
        <v>75</v>
      </c>
      <c r="AO341" s="817" t="s">
        <v>75</v>
      </c>
      <c r="AP341" s="817" t="s">
        <v>75</v>
      </c>
      <c r="AQ341" s="817" t="s">
        <v>75</v>
      </c>
      <c r="AR341" s="817" t="s">
        <v>75</v>
      </c>
      <c r="AS341" s="817" t="s">
        <v>75</v>
      </c>
      <c r="AT341" s="817" t="s">
        <v>75</v>
      </c>
      <c r="AU341" s="359" t="s">
        <v>832</v>
      </c>
      <c r="AV341" s="845"/>
      <c r="AW341" s="845"/>
      <c r="AX341" s="845"/>
      <c r="AY341" s="845"/>
      <c r="AZ341" s="845"/>
      <c r="BA341" s="845"/>
      <c r="BB341" s="845"/>
      <c r="BC341" s="845"/>
      <c r="BD341" s="845"/>
      <c r="BE341" s="845"/>
      <c r="BF341" s="845"/>
      <c r="BG341" s="845"/>
      <c r="BH341" s="845"/>
      <c r="BI341" s="845"/>
      <c r="BJ341" s="845"/>
      <c r="BK341" s="845"/>
      <c r="BL341" s="845"/>
      <c r="BM341" s="845"/>
    </row>
    <row r="342" spans="1:65" s="853" customFormat="1" ht="15">
      <c r="A342" s="794">
        <v>340</v>
      </c>
      <c r="B342" s="785" t="s">
        <v>1093</v>
      </c>
      <c r="C342" s="785" t="s">
        <v>1261</v>
      </c>
      <c r="D342" s="792">
        <v>39661</v>
      </c>
      <c r="E342" s="792">
        <v>39753</v>
      </c>
      <c r="F342" s="857">
        <v>2008</v>
      </c>
      <c r="G342" s="789" t="s">
        <v>5</v>
      </c>
      <c r="H342" s="837" t="s">
        <v>1451</v>
      </c>
      <c r="I342" s="785" t="s">
        <v>609</v>
      </c>
      <c r="J342" s="800" t="s">
        <v>2331</v>
      </c>
      <c r="K342" s="842">
        <v>8000</v>
      </c>
      <c r="L342" s="842">
        <v>200000</v>
      </c>
      <c r="M342" s="842">
        <v>200000</v>
      </c>
      <c r="N342" s="842">
        <v>174056</v>
      </c>
      <c r="O342" s="808">
        <f t="shared" si="24"/>
        <v>21.757000000000001</v>
      </c>
      <c r="P342" s="842">
        <v>100</v>
      </c>
      <c r="Q342" s="842" t="s">
        <v>75</v>
      </c>
      <c r="R342" s="842" t="s">
        <v>75</v>
      </c>
      <c r="S342" s="842" t="s">
        <v>75</v>
      </c>
      <c r="T342" s="842" t="s">
        <v>95</v>
      </c>
      <c r="U342" s="842" t="s">
        <v>75</v>
      </c>
      <c r="V342" s="842">
        <v>8000</v>
      </c>
      <c r="W342" s="842" t="s">
        <v>75</v>
      </c>
      <c r="X342" s="842" t="s">
        <v>75</v>
      </c>
      <c r="Y342" s="842"/>
      <c r="Z342" s="842" t="s">
        <v>75</v>
      </c>
      <c r="AA342" s="842" t="s">
        <v>75</v>
      </c>
      <c r="AB342" s="842" t="s">
        <v>75</v>
      </c>
      <c r="AC342" s="842" t="s">
        <v>75</v>
      </c>
      <c r="AD342" s="842" t="s">
        <v>75</v>
      </c>
      <c r="AE342" s="842" t="s">
        <v>75</v>
      </c>
      <c r="AF342" s="842" t="s">
        <v>75</v>
      </c>
      <c r="AG342" s="842" t="s">
        <v>75</v>
      </c>
      <c r="AH342" s="842" t="s">
        <v>75</v>
      </c>
      <c r="AI342" s="842" t="s">
        <v>75</v>
      </c>
      <c r="AJ342" s="787">
        <f t="shared" si="25"/>
        <v>0</v>
      </c>
      <c r="AK342" s="842" t="s">
        <v>75</v>
      </c>
      <c r="AL342" s="842" t="s">
        <v>75</v>
      </c>
      <c r="AM342" s="842"/>
      <c r="AN342" s="842" t="s">
        <v>75</v>
      </c>
      <c r="AO342" s="842" t="s">
        <v>75</v>
      </c>
      <c r="AP342" s="842" t="s">
        <v>75</v>
      </c>
      <c r="AQ342" s="842" t="s">
        <v>75</v>
      </c>
      <c r="AR342" s="842" t="s">
        <v>75</v>
      </c>
      <c r="AS342" s="842" t="s">
        <v>75</v>
      </c>
      <c r="AT342" s="842" t="s">
        <v>75</v>
      </c>
      <c r="AU342" s="276" t="s">
        <v>608</v>
      </c>
    </row>
    <row r="343" spans="1:65" s="853" customFormat="1" ht="17.25" customHeight="1">
      <c r="A343" s="794">
        <v>341</v>
      </c>
      <c r="B343" s="785" t="s">
        <v>871</v>
      </c>
      <c r="C343" s="785" t="s">
        <v>1260</v>
      </c>
      <c r="D343" s="792">
        <v>39682</v>
      </c>
      <c r="E343" s="792">
        <v>39940</v>
      </c>
      <c r="F343" s="857">
        <v>2008</v>
      </c>
      <c r="G343" s="905" t="s">
        <v>726</v>
      </c>
      <c r="H343" s="837" t="s">
        <v>1452</v>
      </c>
      <c r="I343" s="785" t="s">
        <v>725</v>
      </c>
      <c r="J343" s="800" t="s">
        <v>2331</v>
      </c>
      <c r="K343" s="842">
        <v>10000</v>
      </c>
      <c r="L343" s="842">
        <v>250000</v>
      </c>
      <c r="M343" s="842">
        <v>250000</v>
      </c>
      <c r="N343" s="842">
        <v>213924</v>
      </c>
      <c r="O343" s="808">
        <f t="shared" si="24"/>
        <v>21.392399999999999</v>
      </c>
      <c r="P343" s="842">
        <v>100</v>
      </c>
      <c r="Q343" s="842" t="s">
        <v>339</v>
      </c>
      <c r="R343" s="842" t="s">
        <v>339</v>
      </c>
      <c r="S343" s="842" t="s">
        <v>339</v>
      </c>
      <c r="T343" s="842" t="s">
        <v>95</v>
      </c>
      <c r="U343" s="842" t="s">
        <v>339</v>
      </c>
      <c r="V343" s="842" t="s">
        <v>339</v>
      </c>
      <c r="W343" s="842" t="s">
        <v>75</v>
      </c>
      <c r="X343" s="842" t="s">
        <v>75</v>
      </c>
      <c r="Y343" s="842"/>
      <c r="Z343" s="842">
        <v>3000</v>
      </c>
      <c r="AA343" s="842" t="s">
        <v>75</v>
      </c>
      <c r="AB343" s="842">
        <v>25</v>
      </c>
      <c r="AC343" s="842" t="s">
        <v>75</v>
      </c>
      <c r="AD343" s="842" t="s">
        <v>75</v>
      </c>
      <c r="AE343" s="842" t="s">
        <v>75</v>
      </c>
      <c r="AF343" s="842" t="s">
        <v>75</v>
      </c>
      <c r="AG343" s="842" t="s">
        <v>75</v>
      </c>
      <c r="AH343" s="842" t="s">
        <v>75</v>
      </c>
      <c r="AI343" s="842" t="s">
        <v>75</v>
      </c>
      <c r="AJ343" s="787">
        <f t="shared" si="25"/>
        <v>3000</v>
      </c>
      <c r="AK343" s="842" t="s">
        <v>75</v>
      </c>
      <c r="AL343" s="842" t="s">
        <v>75</v>
      </c>
      <c r="AM343" s="842"/>
      <c r="AN343" s="842" t="s">
        <v>75</v>
      </c>
      <c r="AO343" s="842" t="s">
        <v>75</v>
      </c>
      <c r="AP343" s="842" t="s">
        <v>75</v>
      </c>
      <c r="AQ343" s="842" t="s">
        <v>75</v>
      </c>
      <c r="AR343" s="842" t="s">
        <v>75</v>
      </c>
      <c r="AS343" s="842" t="s">
        <v>75</v>
      </c>
      <c r="AT343" s="842" t="s">
        <v>75</v>
      </c>
      <c r="AU343" s="344" t="s">
        <v>724</v>
      </c>
    </row>
    <row r="344" spans="1:65" s="853" customFormat="1" ht="15">
      <c r="A344" s="794">
        <v>342</v>
      </c>
      <c r="B344" s="785" t="s">
        <v>333</v>
      </c>
      <c r="C344" s="785" t="s">
        <v>1278</v>
      </c>
      <c r="D344" s="792">
        <v>39759</v>
      </c>
      <c r="E344" s="792">
        <v>39933</v>
      </c>
      <c r="F344" s="857">
        <v>2008</v>
      </c>
      <c r="G344" s="789" t="s">
        <v>5</v>
      </c>
      <c r="H344" s="841" t="s">
        <v>1451</v>
      </c>
      <c r="I344" s="785" t="s">
        <v>706</v>
      </c>
      <c r="J344" s="812" t="s">
        <v>2438</v>
      </c>
      <c r="K344" s="842">
        <v>10000</v>
      </c>
      <c r="L344" s="842">
        <v>1618182</v>
      </c>
      <c r="M344" s="842">
        <v>245551</v>
      </c>
      <c r="N344" s="842">
        <v>245551</v>
      </c>
      <c r="O344" s="808">
        <f t="shared" si="24"/>
        <v>24.555099999999999</v>
      </c>
      <c r="P344" s="842">
        <v>15</v>
      </c>
      <c r="Q344" s="842">
        <v>10000</v>
      </c>
      <c r="R344" s="842"/>
      <c r="S344" s="842">
        <v>10000</v>
      </c>
      <c r="T344" s="842" t="s">
        <v>95</v>
      </c>
      <c r="U344" s="842" t="s">
        <v>75</v>
      </c>
      <c r="V344" s="842">
        <v>10000</v>
      </c>
      <c r="W344" s="842">
        <v>10000</v>
      </c>
      <c r="X344" s="842">
        <v>1500</v>
      </c>
      <c r="Y344" s="808">
        <f>X344/S344</f>
        <v>0.15</v>
      </c>
      <c r="Z344" s="842" t="s">
        <v>75</v>
      </c>
      <c r="AA344" s="842" t="s">
        <v>75</v>
      </c>
      <c r="AB344" s="842" t="s">
        <v>75</v>
      </c>
      <c r="AC344" s="842">
        <v>200</v>
      </c>
      <c r="AD344" s="842" t="s">
        <v>75</v>
      </c>
      <c r="AE344" s="842" t="s">
        <v>75</v>
      </c>
      <c r="AF344" s="842" t="s">
        <v>75</v>
      </c>
      <c r="AG344" s="842" t="s">
        <v>75</v>
      </c>
      <c r="AH344" s="842" t="s">
        <v>75</v>
      </c>
      <c r="AI344" s="842" t="s">
        <v>75</v>
      </c>
      <c r="AJ344" s="787">
        <f t="shared" si="25"/>
        <v>0</v>
      </c>
      <c r="AK344" s="842" t="s">
        <v>75</v>
      </c>
      <c r="AL344" s="842" t="s">
        <v>75</v>
      </c>
      <c r="AM344" s="842"/>
      <c r="AN344" s="842" t="s">
        <v>75</v>
      </c>
      <c r="AO344" s="842" t="s">
        <v>75</v>
      </c>
      <c r="AP344" s="842" t="s">
        <v>75</v>
      </c>
      <c r="AQ344" s="842" t="s">
        <v>75</v>
      </c>
      <c r="AR344" s="842" t="s">
        <v>75</v>
      </c>
      <c r="AS344" s="842" t="s">
        <v>75</v>
      </c>
      <c r="AT344" s="842" t="s">
        <v>75</v>
      </c>
      <c r="AU344" s="293" t="s">
        <v>705</v>
      </c>
    </row>
    <row r="345" spans="1:65" s="853" customFormat="1" ht="15" customHeight="1">
      <c r="A345" s="794">
        <v>343</v>
      </c>
      <c r="B345" s="785" t="s">
        <v>477</v>
      </c>
      <c r="C345" s="785" t="s">
        <v>1299</v>
      </c>
      <c r="D345" s="792">
        <v>39722</v>
      </c>
      <c r="E345" s="792">
        <v>39904</v>
      </c>
      <c r="F345" s="857">
        <v>2008</v>
      </c>
      <c r="G345" s="789" t="s">
        <v>168</v>
      </c>
      <c r="H345" s="837" t="s">
        <v>1449</v>
      </c>
      <c r="I345" s="785" t="s">
        <v>628</v>
      </c>
      <c r="J345" s="800" t="s">
        <v>2331</v>
      </c>
      <c r="K345" s="842">
        <v>10000</v>
      </c>
      <c r="L345" s="842"/>
      <c r="M345" s="842"/>
      <c r="N345" s="842"/>
      <c r="O345" s="808">
        <f t="shared" si="24"/>
        <v>0</v>
      </c>
      <c r="P345" s="842"/>
      <c r="Q345" s="842" t="s">
        <v>339</v>
      </c>
      <c r="R345" s="849"/>
      <c r="S345" s="842">
        <v>14627</v>
      </c>
      <c r="T345" s="842" t="s">
        <v>95</v>
      </c>
      <c r="U345" s="842">
        <v>100</v>
      </c>
      <c r="V345" s="842">
        <v>14627</v>
      </c>
      <c r="W345" s="842"/>
      <c r="X345" s="842"/>
      <c r="Y345" s="808">
        <f>X345/S345</f>
        <v>0</v>
      </c>
      <c r="Z345" s="842" t="s">
        <v>75</v>
      </c>
      <c r="AA345" s="842">
        <v>14627</v>
      </c>
      <c r="AB345" s="842">
        <v>100</v>
      </c>
      <c r="AC345" s="842" t="s">
        <v>75</v>
      </c>
      <c r="AD345" s="842" t="s">
        <v>75</v>
      </c>
      <c r="AE345" s="842" t="s">
        <v>75</v>
      </c>
      <c r="AF345" s="842" t="s">
        <v>75</v>
      </c>
      <c r="AG345" s="842" t="s">
        <v>75</v>
      </c>
      <c r="AH345" s="842">
        <v>58</v>
      </c>
      <c r="AI345" s="842" t="s">
        <v>75</v>
      </c>
      <c r="AJ345" s="787">
        <f t="shared" si="25"/>
        <v>14685</v>
      </c>
      <c r="AK345" s="842"/>
      <c r="AL345" s="842"/>
      <c r="AM345" s="842"/>
      <c r="AN345" s="842" t="s">
        <v>75</v>
      </c>
      <c r="AO345" s="842" t="s">
        <v>75</v>
      </c>
      <c r="AP345" s="842" t="s">
        <v>75</v>
      </c>
      <c r="AQ345" s="842" t="s">
        <v>75</v>
      </c>
      <c r="AR345" s="842" t="s">
        <v>75</v>
      </c>
      <c r="AS345" s="842" t="s">
        <v>75</v>
      </c>
      <c r="AT345" s="842" t="s">
        <v>75</v>
      </c>
      <c r="AU345" s="293" t="s">
        <v>627</v>
      </c>
    </row>
    <row r="346" spans="1:65" s="853" customFormat="1" ht="19.5" customHeight="1">
      <c r="A346" s="794">
        <v>344</v>
      </c>
      <c r="B346" s="785" t="s">
        <v>244</v>
      </c>
      <c r="C346" s="785" t="s">
        <v>1299</v>
      </c>
      <c r="D346" s="792">
        <v>39491</v>
      </c>
      <c r="E346" s="792">
        <v>39873</v>
      </c>
      <c r="F346" s="857">
        <v>2008</v>
      </c>
      <c r="G346" s="789" t="s">
        <v>615</v>
      </c>
      <c r="H346" s="841" t="s">
        <v>1452</v>
      </c>
      <c r="I346" s="785" t="s">
        <v>614</v>
      </c>
      <c r="J346" s="812" t="s">
        <v>2438</v>
      </c>
      <c r="K346" s="842">
        <v>10000</v>
      </c>
      <c r="L346" s="842">
        <v>2640508</v>
      </c>
      <c r="M346" s="842">
        <v>1644846</v>
      </c>
      <c r="N346" s="842">
        <v>1644846</v>
      </c>
      <c r="O346" s="808">
        <f t="shared" si="24"/>
        <v>164.4846</v>
      </c>
      <c r="P346" s="842">
        <v>62</v>
      </c>
      <c r="Q346" s="842">
        <v>4090</v>
      </c>
      <c r="R346" s="842">
        <f>110*20</f>
        <v>2200</v>
      </c>
      <c r="S346" s="842">
        <v>4090</v>
      </c>
      <c r="T346" s="842" t="s">
        <v>95</v>
      </c>
      <c r="U346" s="842">
        <v>30</v>
      </c>
      <c r="V346" s="842">
        <v>5673</v>
      </c>
      <c r="W346" s="842">
        <v>175245</v>
      </c>
      <c r="X346" s="842">
        <v>121652</v>
      </c>
      <c r="Y346" s="808">
        <f>X346/S346</f>
        <v>29.743765281173594</v>
      </c>
      <c r="Z346" s="842" t="s">
        <v>75</v>
      </c>
      <c r="AA346" s="842">
        <v>16970</v>
      </c>
      <c r="AB346" s="842" t="s">
        <v>75</v>
      </c>
      <c r="AC346" s="842" t="s">
        <v>75</v>
      </c>
      <c r="AD346" s="842" t="s">
        <v>75</v>
      </c>
      <c r="AE346" s="842">
        <v>2900</v>
      </c>
      <c r="AF346" s="842" t="s">
        <v>75</v>
      </c>
      <c r="AG346" s="842" t="s">
        <v>75</v>
      </c>
      <c r="AH346" s="842">
        <f>1111*5+1593</f>
        <v>7148</v>
      </c>
      <c r="AI346" s="842">
        <v>201</v>
      </c>
      <c r="AJ346" s="808">
        <f t="shared" si="25"/>
        <v>24118</v>
      </c>
      <c r="AK346" s="842">
        <v>620435</v>
      </c>
      <c r="AL346" s="842">
        <v>49135</v>
      </c>
      <c r="AM346" s="842"/>
      <c r="AN346" s="842" t="s">
        <v>75</v>
      </c>
      <c r="AO346" s="842" t="s">
        <v>75</v>
      </c>
      <c r="AP346" s="842" t="s">
        <v>75</v>
      </c>
      <c r="AQ346" s="842" t="s">
        <v>75</v>
      </c>
      <c r="AR346" s="842">
        <v>1</v>
      </c>
      <c r="AS346" s="842" t="s">
        <v>75</v>
      </c>
      <c r="AT346" s="842" t="s">
        <v>75</v>
      </c>
      <c r="AU346" s="293" t="s">
        <v>613</v>
      </c>
    </row>
    <row r="347" spans="1:65" s="853" customFormat="1" ht="14.25" customHeight="1">
      <c r="A347" s="794">
        <v>345</v>
      </c>
      <c r="B347" s="785" t="s">
        <v>597</v>
      </c>
      <c r="C347" s="785" t="s">
        <v>1299</v>
      </c>
      <c r="D347" s="792">
        <v>39448</v>
      </c>
      <c r="E347" s="792">
        <v>39873</v>
      </c>
      <c r="F347" s="857">
        <v>2008</v>
      </c>
      <c r="G347" s="789" t="s">
        <v>116</v>
      </c>
      <c r="H347" s="837" t="s">
        <v>1452</v>
      </c>
      <c r="I347" s="785" t="s">
        <v>596</v>
      </c>
      <c r="J347" s="800" t="s">
        <v>2331</v>
      </c>
      <c r="K347" s="842">
        <v>10000</v>
      </c>
      <c r="L347" s="842">
        <v>212101</v>
      </c>
      <c r="M347" s="842">
        <v>204300</v>
      </c>
      <c r="N347" s="842">
        <v>204300</v>
      </c>
      <c r="O347" s="808">
        <f t="shared" si="24"/>
        <v>20.43</v>
      </c>
      <c r="P347" s="842">
        <v>96</v>
      </c>
      <c r="Q347" s="842" t="s">
        <v>339</v>
      </c>
      <c r="R347" s="842">
        <v>10000</v>
      </c>
      <c r="S347" s="842">
        <v>10000</v>
      </c>
      <c r="T347" s="842" t="s">
        <v>95</v>
      </c>
      <c r="U347" s="842">
        <v>60</v>
      </c>
      <c r="V347" s="842">
        <v>10000</v>
      </c>
      <c r="W347" s="842">
        <v>81790</v>
      </c>
      <c r="X347" s="842">
        <v>25214</v>
      </c>
      <c r="Y347" s="808">
        <f>X347/S347</f>
        <v>2.5213999999999999</v>
      </c>
      <c r="Z347" s="842" t="s">
        <v>75</v>
      </c>
      <c r="AA347" s="842">
        <v>10000</v>
      </c>
      <c r="AB347" s="842" t="s">
        <v>75</v>
      </c>
      <c r="AC347" s="842" t="s">
        <v>75</v>
      </c>
      <c r="AD347" s="842" t="s">
        <v>75</v>
      </c>
      <c r="AE347" s="842" t="s">
        <v>75</v>
      </c>
      <c r="AF347" s="842" t="s">
        <v>75</v>
      </c>
      <c r="AG347" s="842" t="s">
        <v>75</v>
      </c>
      <c r="AH347" s="842" t="s">
        <v>75</v>
      </c>
      <c r="AI347" s="842" t="s">
        <v>75</v>
      </c>
      <c r="AJ347" s="787">
        <f t="shared" si="25"/>
        <v>10000</v>
      </c>
      <c r="AK347" s="842" t="s">
        <v>75</v>
      </c>
      <c r="AL347" s="842" t="s">
        <v>75</v>
      </c>
      <c r="AM347" s="842"/>
      <c r="AN347" s="842" t="s">
        <v>75</v>
      </c>
      <c r="AO347" s="842" t="s">
        <v>75</v>
      </c>
      <c r="AP347" s="842" t="s">
        <v>75</v>
      </c>
      <c r="AQ347" s="842" t="s">
        <v>75</v>
      </c>
      <c r="AR347" s="842" t="s">
        <v>75</v>
      </c>
      <c r="AS347" s="842" t="s">
        <v>75</v>
      </c>
      <c r="AT347" s="842" t="s">
        <v>75</v>
      </c>
      <c r="AU347" s="344" t="s">
        <v>595</v>
      </c>
    </row>
    <row r="348" spans="1:65" s="853" customFormat="1" ht="16.5" customHeight="1">
      <c r="A348" s="794">
        <v>346</v>
      </c>
      <c r="B348" s="785" t="s">
        <v>362</v>
      </c>
      <c r="C348" s="785" t="s">
        <v>1278</v>
      </c>
      <c r="D348" s="792">
        <v>39738</v>
      </c>
      <c r="E348" s="792">
        <v>39933</v>
      </c>
      <c r="F348" s="857">
        <v>2008</v>
      </c>
      <c r="G348" s="789" t="s">
        <v>682</v>
      </c>
      <c r="H348" s="837" t="s">
        <v>1451</v>
      </c>
      <c r="I348" s="785" t="s">
        <v>681</v>
      </c>
      <c r="J348" s="812" t="s">
        <v>2438</v>
      </c>
      <c r="K348" s="842">
        <v>12000</v>
      </c>
      <c r="L348" s="842">
        <v>809626</v>
      </c>
      <c r="M348" s="842">
        <v>269821</v>
      </c>
      <c r="N348" s="842">
        <v>269821</v>
      </c>
      <c r="O348" s="808">
        <f t="shared" si="24"/>
        <v>22.485083333333332</v>
      </c>
      <c r="P348" s="842">
        <v>33</v>
      </c>
      <c r="Q348" s="842" t="s">
        <v>75</v>
      </c>
      <c r="R348" s="842" t="s">
        <v>75</v>
      </c>
      <c r="S348" s="842" t="s">
        <v>75</v>
      </c>
      <c r="T348" s="842" t="s">
        <v>95</v>
      </c>
      <c r="U348" s="842">
        <v>50</v>
      </c>
      <c r="V348" s="842">
        <v>10000</v>
      </c>
      <c r="W348" s="842">
        <v>34000</v>
      </c>
      <c r="X348" s="842">
        <v>19591</v>
      </c>
      <c r="Y348" s="842"/>
      <c r="Z348" s="842">
        <v>5000</v>
      </c>
      <c r="AA348" s="842" t="s">
        <v>75</v>
      </c>
      <c r="AB348" s="842">
        <v>160</v>
      </c>
      <c r="AC348" s="842" t="s">
        <v>75</v>
      </c>
      <c r="AD348" s="842" t="s">
        <v>75</v>
      </c>
      <c r="AE348" s="842" t="s">
        <v>75</v>
      </c>
      <c r="AF348" s="842" t="s">
        <v>75</v>
      </c>
      <c r="AG348" s="842" t="s">
        <v>75</v>
      </c>
      <c r="AH348" s="842" t="s">
        <v>75</v>
      </c>
      <c r="AI348" s="842" t="s">
        <v>75</v>
      </c>
      <c r="AJ348" s="787">
        <f t="shared" si="25"/>
        <v>5000</v>
      </c>
      <c r="AK348" s="842" t="s">
        <v>75</v>
      </c>
      <c r="AL348" s="842" t="s">
        <v>75</v>
      </c>
      <c r="AM348" s="842"/>
      <c r="AN348" s="842" t="s">
        <v>75</v>
      </c>
      <c r="AO348" s="842" t="s">
        <v>75</v>
      </c>
      <c r="AP348" s="842" t="s">
        <v>75</v>
      </c>
      <c r="AQ348" s="842" t="s">
        <v>75</v>
      </c>
      <c r="AR348" s="842" t="s">
        <v>75</v>
      </c>
      <c r="AS348" s="842" t="s">
        <v>75</v>
      </c>
      <c r="AT348" s="842" t="s">
        <v>94</v>
      </c>
      <c r="AU348" s="344" t="s">
        <v>680</v>
      </c>
    </row>
    <row r="349" spans="1:65" s="853" customFormat="1" ht="19.5" customHeight="1">
      <c r="A349" s="794">
        <v>347</v>
      </c>
      <c r="B349" s="785" t="s">
        <v>273</v>
      </c>
      <c r="C349" s="785" t="s">
        <v>1286</v>
      </c>
      <c r="D349" s="792">
        <v>39626</v>
      </c>
      <c r="E349" s="792">
        <v>39871</v>
      </c>
      <c r="F349" s="857">
        <v>2008</v>
      </c>
      <c r="G349" s="789" t="s">
        <v>5</v>
      </c>
      <c r="H349" s="841" t="s">
        <v>1451</v>
      </c>
      <c r="I349" s="785" t="s">
        <v>689</v>
      </c>
      <c r="J349" s="812" t="s">
        <v>2438</v>
      </c>
      <c r="K349" s="842">
        <v>15000</v>
      </c>
      <c r="L349" s="842">
        <v>911135</v>
      </c>
      <c r="M349" s="842">
        <v>908228</v>
      </c>
      <c r="N349" s="842">
        <v>905533</v>
      </c>
      <c r="O349" s="808">
        <f t="shared" si="24"/>
        <v>60.368866666666669</v>
      </c>
      <c r="P349" s="842">
        <f>(M349*100)/L349</f>
        <v>99.680947389794042</v>
      </c>
      <c r="Q349" s="842"/>
      <c r="R349" s="842"/>
      <c r="S349" s="842"/>
      <c r="T349" s="842" t="s">
        <v>95</v>
      </c>
      <c r="U349" s="842" t="s">
        <v>583</v>
      </c>
      <c r="V349" s="842">
        <v>12770</v>
      </c>
      <c r="W349" s="842" t="s">
        <v>75</v>
      </c>
      <c r="X349" s="842" t="s">
        <v>75</v>
      </c>
      <c r="Y349" s="842"/>
      <c r="Z349" s="842" t="s">
        <v>75</v>
      </c>
      <c r="AA349" s="842" t="s">
        <v>75</v>
      </c>
      <c r="AB349" s="842" t="s">
        <v>75</v>
      </c>
      <c r="AC349" s="842" t="s">
        <v>75</v>
      </c>
      <c r="AD349" s="842" t="s">
        <v>75</v>
      </c>
      <c r="AE349" s="842" t="s">
        <v>75</v>
      </c>
      <c r="AF349" s="842" t="s">
        <v>75</v>
      </c>
      <c r="AG349" s="842" t="s">
        <v>75</v>
      </c>
      <c r="AH349" s="842" t="s">
        <v>75</v>
      </c>
      <c r="AI349" s="842" t="s">
        <v>75</v>
      </c>
      <c r="AJ349" s="787">
        <f t="shared" si="25"/>
        <v>0</v>
      </c>
      <c r="AK349" s="842" t="s">
        <v>339</v>
      </c>
      <c r="AL349" s="842">
        <v>53</v>
      </c>
      <c r="AM349" s="842"/>
      <c r="AN349" s="842" t="s">
        <v>75</v>
      </c>
      <c r="AO349" s="842" t="s">
        <v>75</v>
      </c>
      <c r="AP349" s="842" t="s">
        <v>75</v>
      </c>
      <c r="AQ349" s="842" t="s">
        <v>75</v>
      </c>
      <c r="AR349" s="842" t="s">
        <v>75</v>
      </c>
      <c r="AS349" s="842" t="s">
        <v>94</v>
      </c>
      <c r="AT349" s="842" t="s">
        <v>75</v>
      </c>
      <c r="AU349" s="293" t="s">
        <v>688</v>
      </c>
    </row>
    <row r="350" spans="1:65" s="853" customFormat="1" ht="15" customHeight="1">
      <c r="A350" s="794">
        <v>348</v>
      </c>
      <c r="B350" s="785" t="s">
        <v>22</v>
      </c>
      <c r="C350" s="785" t="s">
        <v>1286</v>
      </c>
      <c r="D350" s="792">
        <v>39700</v>
      </c>
      <c r="E350" s="792">
        <v>40065</v>
      </c>
      <c r="F350" s="857">
        <v>2008</v>
      </c>
      <c r="G350" s="789" t="s">
        <v>740</v>
      </c>
      <c r="H350" s="837" t="s">
        <v>1450</v>
      </c>
      <c r="I350" s="785" t="s">
        <v>739</v>
      </c>
      <c r="J350" s="812" t="s">
        <v>2438</v>
      </c>
      <c r="K350" s="842">
        <v>20000</v>
      </c>
      <c r="L350" s="842">
        <v>2010991</v>
      </c>
      <c r="M350" s="842">
        <v>1747365</v>
      </c>
      <c r="N350" s="842">
        <v>1685768</v>
      </c>
      <c r="O350" s="808">
        <f t="shared" si="24"/>
        <v>84.288399999999996</v>
      </c>
      <c r="P350" s="842">
        <v>87</v>
      </c>
      <c r="Q350" s="842" t="s">
        <v>75</v>
      </c>
      <c r="R350" s="842" t="s">
        <v>75</v>
      </c>
      <c r="S350" s="842" t="s">
        <v>75</v>
      </c>
      <c r="T350" s="842" t="s">
        <v>95</v>
      </c>
      <c r="U350" s="842" t="s">
        <v>75</v>
      </c>
      <c r="V350" s="842" t="s">
        <v>75</v>
      </c>
      <c r="W350" s="842">
        <v>21500</v>
      </c>
      <c r="X350" s="842">
        <v>18705</v>
      </c>
      <c r="Y350" s="842"/>
      <c r="Z350" s="842">
        <v>161</v>
      </c>
      <c r="AA350" s="842" t="s">
        <v>339</v>
      </c>
      <c r="AB350" s="842" t="s">
        <v>75</v>
      </c>
      <c r="AC350" s="842" t="s">
        <v>75</v>
      </c>
      <c r="AD350" s="842" t="s">
        <v>75</v>
      </c>
      <c r="AE350" s="842" t="s">
        <v>75</v>
      </c>
      <c r="AF350" s="842" t="s">
        <v>75</v>
      </c>
      <c r="AG350" s="842" t="s">
        <v>75</v>
      </c>
      <c r="AH350" s="842" t="s">
        <v>75</v>
      </c>
      <c r="AI350" s="842" t="s">
        <v>75</v>
      </c>
      <c r="AJ350" s="787">
        <f t="shared" si="25"/>
        <v>161</v>
      </c>
      <c r="AK350" s="842">
        <v>1925</v>
      </c>
      <c r="AL350" s="842">
        <v>4025</v>
      </c>
      <c r="AM350" s="842"/>
      <c r="AN350" s="842" t="s">
        <v>75</v>
      </c>
      <c r="AO350" s="842" t="s">
        <v>75</v>
      </c>
      <c r="AP350" s="842" t="s">
        <v>75</v>
      </c>
      <c r="AQ350" s="842" t="s">
        <v>75</v>
      </c>
      <c r="AR350" s="842" t="s">
        <v>75</v>
      </c>
      <c r="AS350" s="842" t="s">
        <v>75</v>
      </c>
      <c r="AT350" s="842" t="s">
        <v>75</v>
      </c>
      <c r="AU350" s="276" t="s">
        <v>738</v>
      </c>
    </row>
    <row r="351" spans="1:65" s="853" customFormat="1" ht="15" customHeight="1">
      <c r="A351" s="794">
        <v>349</v>
      </c>
      <c r="B351" s="785" t="s">
        <v>1465</v>
      </c>
      <c r="C351" s="785" t="s">
        <v>1299</v>
      </c>
      <c r="D351" s="792">
        <v>39720</v>
      </c>
      <c r="E351" s="792">
        <v>39903</v>
      </c>
      <c r="F351" s="857">
        <v>2008</v>
      </c>
      <c r="G351" s="789" t="s">
        <v>5</v>
      </c>
      <c r="H351" s="841" t="s">
        <v>1451</v>
      </c>
      <c r="I351" s="785" t="s">
        <v>655</v>
      </c>
      <c r="J351" s="812" t="s">
        <v>2438</v>
      </c>
      <c r="K351" s="842">
        <v>21180</v>
      </c>
      <c r="L351" s="842">
        <v>285379</v>
      </c>
      <c r="M351" s="842">
        <v>104971</v>
      </c>
      <c r="N351" s="842">
        <v>104711</v>
      </c>
      <c r="O351" s="808">
        <f t="shared" si="24"/>
        <v>4.9438621340887634</v>
      </c>
      <c r="P351" s="842">
        <v>37</v>
      </c>
      <c r="Q351" s="842">
        <f>21180/2</f>
        <v>10590</v>
      </c>
      <c r="R351" s="842">
        <f>21180/2</f>
        <v>10590</v>
      </c>
      <c r="S351" s="842">
        <f>21180/2</f>
        <v>10590</v>
      </c>
      <c r="T351" s="842" t="s">
        <v>95</v>
      </c>
      <c r="U351" s="842">
        <v>30</v>
      </c>
      <c r="V351" s="842">
        <v>20000</v>
      </c>
      <c r="W351" s="842">
        <v>13027</v>
      </c>
      <c r="X351" s="842">
        <v>8506</v>
      </c>
      <c r="Y351" s="808">
        <f>X351/S351</f>
        <v>0.80321057601510859</v>
      </c>
      <c r="Z351" s="842" t="s">
        <v>75</v>
      </c>
      <c r="AA351" s="842" t="s">
        <v>75</v>
      </c>
      <c r="AB351" s="842" t="s">
        <v>75</v>
      </c>
      <c r="AC351" s="842" t="s">
        <v>75</v>
      </c>
      <c r="AD351" s="842" t="s">
        <v>75</v>
      </c>
      <c r="AE351" s="842">
        <v>2500</v>
      </c>
      <c r="AF351" s="842" t="s">
        <v>75</v>
      </c>
      <c r="AG351" s="842" t="s">
        <v>75</v>
      </c>
      <c r="AH351" s="842" t="s">
        <v>75</v>
      </c>
      <c r="AI351" s="842" t="s">
        <v>75</v>
      </c>
      <c r="AJ351" s="808">
        <f t="shared" si="25"/>
        <v>0</v>
      </c>
      <c r="AK351" s="842">
        <v>2500</v>
      </c>
      <c r="AL351" s="842">
        <v>925</v>
      </c>
      <c r="AM351" s="842"/>
      <c r="AN351" s="842" t="s">
        <v>75</v>
      </c>
      <c r="AO351" s="842" t="s">
        <v>75</v>
      </c>
      <c r="AP351" s="842" t="s">
        <v>75</v>
      </c>
      <c r="AQ351" s="842" t="s">
        <v>75</v>
      </c>
      <c r="AR351" s="842" t="s">
        <v>75</v>
      </c>
      <c r="AS351" s="842" t="s">
        <v>75</v>
      </c>
      <c r="AT351" s="842" t="s">
        <v>75</v>
      </c>
      <c r="AU351" s="293" t="s">
        <v>654</v>
      </c>
    </row>
    <row r="352" spans="1:65" s="853" customFormat="1" ht="12" customHeight="1">
      <c r="A352" s="794">
        <v>350</v>
      </c>
      <c r="B352" s="785" t="s">
        <v>148</v>
      </c>
      <c r="C352" s="785" t="s">
        <v>1299</v>
      </c>
      <c r="D352" s="792">
        <v>39508</v>
      </c>
      <c r="E352" s="792">
        <v>39600</v>
      </c>
      <c r="F352" s="857">
        <v>2008</v>
      </c>
      <c r="G352" s="789" t="s">
        <v>581</v>
      </c>
      <c r="H352" s="904" t="s">
        <v>1449</v>
      </c>
      <c r="I352" s="785" t="s">
        <v>580</v>
      </c>
      <c r="J352" s="800" t="s">
        <v>2331</v>
      </c>
      <c r="K352" s="842">
        <v>29285</v>
      </c>
      <c r="L352" s="842">
        <v>173401</v>
      </c>
      <c r="M352" s="842">
        <v>168246</v>
      </c>
      <c r="N352" s="842">
        <v>168246</v>
      </c>
      <c r="O352" s="808">
        <f t="shared" si="24"/>
        <v>5.7451254908656306</v>
      </c>
      <c r="P352" s="842">
        <v>97</v>
      </c>
      <c r="Q352" s="842">
        <v>10500</v>
      </c>
      <c r="R352" s="842">
        <f>2600*5</f>
        <v>13000</v>
      </c>
      <c r="S352" s="842">
        <v>10500</v>
      </c>
      <c r="T352" s="842" t="s">
        <v>95</v>
      </c>
      <c r="U352" s="842">
        <v>104</v>
      </c>
      <c r="V352" s="842">
        <v>10500</v>
      </c>
      <c r="W352" s="842" t="s">
        <v>75</v>
      </c>
      <c r="X352" s="842" t="s">
        <v>75</v>
      </c>
      <c r="Y352" s="808"/>
      <c r="Z352" s="842" t="s">
        <v>75</v>
      </c>
      <c r="AA352" s="842" t="s">
        <v>75</v>
      </c>
      <c r="AB352" s="842" t="s">
        <v>75</v>
      </c>
      <c r="AC352" s="842">
        <v>100</v>
      </c>
      <c r="AD352" s="842" t="s">
        <v>75</v>
      </c>
      <c r="AE352" s="842" t="s">
        <v>75</v>
      </c>
      <c r="AF352" s="842" t="s">
        <v>75</v>
      </c>
      <c r="AG352" s="842" t="s">
        <v>75</v>
      </c>
      <c r="AH352" s="842" t="s">
        <v>75</v>
      </c>
      <c r="AI352" s="842" t="s">
        <v>75</v>
      </c>
      <c r="AJ352" s="808">
        <f t="shared" si="25"/>
        <v>0</v>
      </c>
      <c r="AK352" s="842" t="s">
        <v>75</v>
      </c>
      <c r="AL352" s="842" t="s">
        <v>75</v>
      </c>
      <c r="AM352" s="842"/>
      <c r="AN352" s="842" t="s">
        <v>75</v>
      </c>
      <c r="AO352" s="842" t="s">
        <v>75</v>
      </c>
      <c r="AP352" s="842" t="s">
        <v>75</v>
      </c>
      <c r="AQ352" s="842" t="s">
        <v>75</v>
      </c>
      <c r="AR352" s="842" t="s">
        <v>75</v>
      </c>
      <c r="AS352" s="842" t="s">
        <v>75</v>
      </c>
      <c r="AT352" s="842" t="s">
        <v>75</v>
      </c>
      <c r="AU352" s="293" t="s">
        <v>579</v>
      </c>
    </row>
    <row r="353" spans="1:65" s="842" customFormat="1" ht="16.5" customHeight="1">
      <c r="A353" s="794">
        <v>351</v>
      </c>
      <c r="B353" s="838" t="s">
        <v>2306</v>
      </c>
      <c r="C353" s="842" t="s">
        <v>1286</v>
      </c>
      <c r="D353" s="792">
        <v>39722</v>
      </c>
      <c r="E353" s="792">
        <v>40087</v>
      </c>
      <c r="F353" s="857">
        <v>2008</v>
      </c>
      <c r="G353" s="817" t="s">
        <v>5</v>
      </c>
      <c r="H353" s="808" t="s">
        <v>1450</v>
      </c>
      <c r="I353" s="842" t="s">
        <v>723</v>
      </c>
      <c r="J353" s="812" t="s">
        <v>2438</v>
      </c>
      <c r="K353" s="842">
        <v>32000</v>
      </c>
      <c r="L353" s="842">
        <v>1469778</v>
      </c>
      <c r="M353" s="842">
        <v>1216342</v>
      </c>
      <c r="N353" s="842">
        <v>1216342</v>
      </c>
      <c r="O353" s="808">
        <f t="shared" si="24"/>
        <v>38.010687500000003</v>
      </c>
      <c r="P353" s="842">
        <f>(M353*100)/L353</f>
        <v>82.756851715020915</v>
      </c>
      <c r="Q353" s="842">
        <v>1250</v>
      </c>
      <c r="S353" s="842">
        <v>1250</v>
      </c>
      <c r="U353" s="842">
        <v>22</v>
      </c>
      <c r="V353" s="842">
        <v>1250</v>
      </c>
      <c r="Y353" s="808">
        <f>X353/S353</f>
        <v>0</v>
      </c>
      <c r="AJ353" s="808">
        <f t="shared" si="25"/>
        <v>0</v>
      </c>
      <c r="AS353" s="842" t="s">
        <v>2</v>
      </c>
      <c r="AU353" s="275" t="s">
        <v>722</v>
      </c>
    </row>
    <row r="354" spans="1:65" s="853" customFormat="1" ht="15.75" customHeight="1">
      <c r="A354" s="794">
        <v>352</v>
      </c>
      <c r="B354" s="857" t="s">
        <v>375</v>
      </c>
      <c r="C354" s="872" t="s">
        <v>1286</v>
      </c>
      <c r="D354" s="840">
        <v>39692</v>
      </c>
      <c r="E354" s="840">
        <v>40057</v>
      </c>
      <c r="F354" s="857">
        <v>2008</v>
      </c>
      <c r="G354" s="857" t="s">
        <v>740</v>
      </c>
      <c r="H354" s="837" t="s">
        <v>1450</v>
      </c>
      <c r="I354" s="857" t="s">
        <v>1034</v>
      </c>
      <c r="J354" s="812" t="s">
        <v>2438</v>
      </c>
      <c r="K354" s="817">
        <v>35000</v>
      </c>
      <c r="L354" s="817">
        <v>6412000</v>
      </c>
      <c r="M354" s="817">
        <v>6159988</v>
      </c>
      <c r="N354" s="817">
        <v>5988293</v>
      </c>
      <c r="O354" s="808">
        <f t="shared" si="24"/>
        <v>171.09408571428571</v>
      </c>
      <c r="P354" s="817">
        <v>96</v>
      </c>
      <c r="Q354" s="817">
        <v>4950</v>
      </c>
      <c r="R354" s="817"/>
      <c r="S354" s="817">
        <v>4950</v>
      </c>
      <c r="T354" s="817" t="s">
        <v>233</v>
      </c>
      <c r="U354" s="817"/>
      <c r="V354" s="817"/>
      <c r="W354" s="817">
        <v>43560</v>
      </c>
      <c r="X354" s="817">
        <v>37625</v>
      </c>
      <c r="Y354" s="808">
        <f>X354/S354</f>
        <v>7.6010101010101012</v>
      </c>
      <c r="Z354" s="817" t="s">
        <v>2</v>
      </c>
      <c r="AA354" s="817"/>
      <c r="AB354" s="817">
        <v>139</v>
      </c>
      <c r="AC354" s="817"/>
      <c r="AD354" s="817"/>
      <c r="AE354" s="817">
        <v>24000</v>
      </c>
      <c r="AF354" s="817"/>
      <c r="AG354" s="817"/>
      <c r="AH354" s="817"/>
      <c r="AI354" s="817"/>
      <c r="AJ354" s="787">
        <f t="shared" si="25"/>
        <v>0</v>
      </c>
      <c r="AK354" s="817" t="s">
        <v>66</v>
      </c>
      <c r="AL354" s="817" t="s">
        <v>66</v>
      </c>
      <c r="AM354" s="817"/>
      <c r="AN354" s="817"/>
      <c r="AO354" s="817"/>
      <c r="AP354" s="817"/>
      <c r="AQ354" s="817"/>
      <c r="AR354" s="817"/>
      <c r="AS354" s="817"/>
      <c r="AT354" s="817"/>
      <c r="AU354" s="817" t="s">
        <v>1009</v>
      </c>
      <c r="AV354" s="857"/>
      <c r="AW354" s="857"/>
      <c r="AX354" s="857"/>
      <c r="AY354" s="857"/>
      <c r="AZ354" s="857"/>
      <c r="BA354" s="857"/>
      <c r="BB354" s="857"/>
      <c r="BC354" s="857"/>
      <c r="BD354" s="857"/>
      <c r="BE354" s="857"/>
      <c r="BF354" s="857"/>
      <c r="BG354" s="857"/>
      <c r="BH354" s="857"/>
      <c r="BI354" s="857"/>
      <c r="BJ354" s="857"/>
      <c r="BK354" s="857"/>
      <c r="BL354" s="857"/>
      <c r="BM354" s="857"/>
    </row>
    <row r="355" spans="1:65" s="853" customFormat="1" ht="13.5" customHeight="1">
      <c r="A355" s="794">
        <v>353</v>
      </c>
      <c r="B355" s="785" t="s">
        <v>2379</v>
      </c>
      <c r="C355" s="785" t="s">
        <v>1299</v>
      </c>
      <c r="D355" s="792">
        <v>39770</v>
      </c>
      <c r="E355" s="792">
        <v>39963</v>
      </c>
      <c r="F355" s="857">
        <v>2008</v>
      </c>
      <c r="G355" s="836" t="s">
        <v>692</v>
      </c>
      <c r="H355" s="837" t="s">
        <v>1451</v>
      </c>
      <c r="I355" s="785" t="s">
        <v>691</v>
      </c>
      <c r="J355" s="812" t="s">
        <v>2438</v>
      </c>
      <c r="K355" s="842">
        <v>47500</v>
      </c>
      <c r="L355" s="842">
        <v>1729787</v>
      </c>
      <c r="M355" s="842">
        <v>1729667</v>
      </c>
      <c r="N355" s="842">
        <v>1729667</v>
      </c>
      <c r="O355" s="808">
        <f t="shared" si="24"/>
        <v>36.414042105263157</v>
      </c>
      <c r="P355" s="842">
        <v>100</v>
      </c>
      <c r="Q355" s="842" t="s">
        <v>75</v>
      </c>
      <c r="R355" s="842" t="s">
        <v>339</v>
      </c>
      <c r="S355" s="842">
        <v>44875</v>
      </c>
      <c r="T355" s="842" t="s">
        <v>95</v>
      </c>
      <c r="U355" s="842" t="s">
        <v>75</v>
      </c>
      <c r="V355" s="842">
        <v>3400</v>
      </c>
      <c r="W355" s="842">
        <v>383396</v>
      </c>
      <c r="X355" s="842">
        <v>73269</v>
      </c>
      <c r="Y355" s="808">
        <f>X355/S355</f>
        <v>1.6327353760445682</v>
      </c>
      <c r="Z355" s="842" t="s">
        <v>75</v>
      </c>
      <c r="AA355" s="842" t="s">
        <v>75</v>
      </c>
      <c r="AB355" s="842" t="s">
        <v>75</v>
      </c>
      <c r="AC355" s="842" t="s">
        <v>75</v>
      </c>
      <c r="AD355" s="842" t="s">
        <v>75</v>
      </c>
      <c r="AE355" s="842">
        <v>550</v>
      </c>
      <c r="AF355" s="842" t="s">
        <v>75</v>
      </c>
      <c r="AG355" s="842" t="s">
        <v>75</v>
      </c>
      <c r="AH355" s="842" t="s">
        <v>75</v>
      </c>
      <c r="AI355" s="842" t="s">
        <v>75</v>
      </c>
      <c r="AJ355" s="787">
        <f t="shared" si="25"/>
        <v>0</v>
      </c>
      <c r="AK355" s="842">
        <v>31875</v>
      </c>
      <c r="AL355" s="842">
        <v>31875</v>
      </c>
      <c r="AM355" s="842"/>
      <c r="AN355" s="842" t="s">
        <v>75</v>
      </c>
      <c r="AO355" s="842" t="s">
        <v>75</v>
      </c>
      <c r="AP355" s="842" t="s">
        <v>75</v>
      </c>
      <c r="AQ355" s="842" t="s">
        <v>75</v>
      </c>
      <c r="AR355" s="842" t="s">
        <v>75</v>
      </c>
      <c r="AS355" s="842" t="s">
        <v>714</v>
      </c>
      <c r="AT355" s="842" t="s">
        <v>75</v>
      </c>
      <c r="AU355" s="344" t="s">
        <v>690</v>
      </c>
    </row>
    <row r="356" spans="1:65" s="853" customFormat="1" ht="18" customHeight="1">
      <c r="A356" s="794">
        <v>354</v>
      </c>
      <c r="B356" s="857" t="s">
        <v>18</v>
      </c>
      <c r="C356" s="872" t="s">
        <v>1286</v>
      </c>
      <c r="D356" s="840">
        <v>39692</v>
      </c>
      <c r="E356" s="840">
        <v>40118</v>
      </c>
      <c r="F356" s="857">
        <v>2008</v>
      </c>
      <c r="G356" s="857" t="s">
        <v>740</v>
      </c>
      <c r="H356" s="841" t="s">
        <v>1450</v>
      </c>
      <c r="I356" s="857" t="s">
        <v>958</v>
      </c>
      <c r="J356" s="812" t="s">
        <v>2438</v>
      </c>
      <c r="K356" s="817">
        <v>50000</v>
      </c>
      <c r="L356" s="817">
        <v>8475870</v>
      </c>
      <c r="M356" s="817">
        <v>8498306</v>
      </c>
      <c r="N356" s="817">
        <v>8420348</v>
      </c>
      <c r="O356" s="808">
        <f t="shared" si="24"/>
        <v>168.40696</v>
      </c>
      <c r="P356" s="817">
        <v>100</v>
      </c>
      <c r="Q356" s="817">
        <v>15000</v>
      </c>
      <c r="R356" s="817">
        <v>6000</v>
      </c>
      <c r="S356" s="817">
        <v>15000</v>
      </c>
      <c r="T356" s="817"/>
      <c r="U356" s="817">
        <v>26</v>
      </c>
      <c r="V356" s="817">
        <v>15000</v>
      </c>
      <c r="W356" s="817">
        <v>198054</v>
      </c>
      <c r="X356" s="817">
        <v>198054</v>
      </c>
      <c r="Y356" s="808">
        <f>X356/S356</f>
        <v>13.2036</v>
      </c>
      <c r="Z356" s="817" t="s">
        <v>94</v>
      </c>
      <c r="AA356" s="817">
        <v>30000</v>
      </c>
      <c r="AB356" s="817">
        <v>50</v>
      </c>
      <c r="AC356" s="817"/>
      <c r="AD356" s="817"/>
      <c r="AE356" s="817">
        <v>20000</v>
      </c>
      <c r="AF356" s="817"/>
      <c r="AG356" s="817"/>
      <c r="AH356" s="817">
        <v>30000</v>
      </c>
      <c r="AI356" s="817"/>
      <c r="AJ356" s="787">
        <f t="shared" si="25"/>
        <v>60000</v>
      </c>
      <c r="AK356" s="817">
        <v>367</v>
      </c>
      <c r="AL356" s="817">
        <v>367</v>
      </c>
      <c r="AM356" s="817"/>
      <c r="AN356" s="817"/>
      <c r="AO356" s="817"/>
      <c r="AP356" s="817"/>
      <c r="AQ356" s="817"/>
      <c r="AR356" s="817">
        <v>2</v>
      </c>
      <c r="AS356" s="817"/>
      <c r="AT356" s="817" t="s">
        <v>94</v>
      </c>
      <c r="AU356" s="320" t="s">
        <v>959</v>
      </c>
      <c r="AV356" s="857"/>
      <c r="AW356" s="857"/>
      <c r="AX356" s="857"/>
      <c r="AY356" s="857"/>
      <c r="AZ356" s="857"/>
      <c r="BA356" s="857"/>
      <c r="BB356" s="857"/>
      <c r="BC356" s="857"/>
      <c r="BD356" s="857"/>
      <c r="BE356" s="857"/>
      <c r="BF356" s="857"/>
      <c r="BG356" s="857"/>
      <c r="BH356" s="857"/>
      <c r="BI356" s="857"/>
      <c r="BJ356" s="857"/>
      <c r="BK356" s="857"/>
      <c r="BL356" s="857"/>
      <c r="BM356" s="857"/>
    </row>
    <row r="357" spans="1:65" s="853" customFormat="1" ht="18.75" customHeight="1">
      <c r="A357" s="794">
        <v>355</v>
      </c>
      <c r="B357" s="785" t="s">
        <v>485</v>
      </c>
      <c r="C357" s="785" t="s">
        <v>1299</v>
      </c>
      <c r="D357" s="792">
        <v>39508</v>
      </c>
      <c r="E357" s="792">
        <v>39692</v>
      </c>
      <c r="F357" s="857">
        <v>2008</v>
      </c>
      <c r="G357" s="789" t="s">
        <v>612</v>
      </c>
      <c r="H357" s="841" t="s">
        <v>1450</v>
      </c>
      <c r="I357" s="785" t="s">
        <v>611</v>
      </c>
      <c r="J357" s="812" t="s">
        <v>2438</v>
      </c>
      <c r="K357" s="842">
        <v>50000</v>
      </c>
      <c r="L357" s="842">
        <v>1074882</v>
      </c>
      <c r="M357" s="842">
        <v>702940</v>
      </c>
      <c r="N357" s="842">
        <v>702940</v>
      </c>
      <c r="O357" s="808">
        <f t="shared" si="24"/>
        <v>14.0588</v>
      </c>
      <c r="P357" s="842">
        <v>65</v>
      </c>
      <c r="Q357" s="842"/>
      <c r="R357" s="842"/>
      <c r="S357" s="842"/>
      <c r="T357" s="842" t="s">
        <v>95</v>
      </c>
      <c r="U357" s="842">
        <v>360</v>
      </c>
      <c r="V357" s="842">
        <v>49980</v>
      </c>
      <c r="W357" s="842">
        <v>12000</v>
      </c>
      <c r="X357" s="842">
        <v>7800</v>
      </c>
      <c r="Y357" s="842"/>
      <c r="Z357" s="842" t="s">
        <v>75</v>
      </c>
      <c r="AA357" s="842" t="s">
        <v>75</v>
      </c>
      <c r="AB357" s="842" t="s">
        <v>75</v>
      </c>
      <c r="AC357" s="842" t="s">
        <v>75</v>
      </c>
      <c r="AD357" s="842" t="s">
        <v>75</v>
      </c>
      <c r="AE357" s="842" t="s">
        <v>75</v>
      </c>
      <c r="AF357" s="842" t="s">
        <v>75</v>
      </c>
      <c r="AG357" s="842" t="s">
        <v>75</v>
      </c>
      <c r="AH357" s="842" t="s">
        <v>75</v>
      </c>
      <c r="AI357" s="842" t="s">
        <v>75</v>
      </c>
      <c r="AJ357" s="787">
        <f t="shared" si="25"/>
        <v>0</v>
      </c>
      <c r="AK357" s="842" t="s">
        <v>339</v>
      </c>
      <c r="AL357" s="842">
        <v>212</v>
      </c>
      <c r="AM357" s="842"/>
      <c r="AN357" s="842" t="s">
        <v>75</v>
      </c>
      <c r="AO357" s="842" t="s">
        <v>75</v>
      </c>
      <c r="AP357" s="842" t="s">
        <v>75</v>
      </c>
      <c r="AQ357" s="842" t="s">
        <v>75</v>
      </c>
      <c r="AR357" s="842" t="s">
        <v>75</v>
      </c>
      <c r="AS357" s="842" t="s">
        <v>75</v>
      </c>
      <c r="AT357" s="842" t="s">
        <v>75</v>
      </c>
      <c r="AU357" s="293" t="s">
        <v>610</v>
      </c>
    </row>
    <row r="358" spans="1:65" s="785" customFormat="1" ht="15.75" customHeight="1">
      <c r="A358" s="794">
        <v>356</v>
      </c>
      <c r="B358" s="785" t="s">
        <v>477</v>
      </c>
      <c r="C358" s="785" t="s">
        <v>1299</v>
      </c>
      <c r="D358" s="792">
        <v>39661</v>
      </c>
      <c r="E358" s="792">
        <v>39873</v>
      </c>
      <c r="F358" s="857">
        <v>2008</v>
      </c>
      <c r="G358" s="789" t="s">
        <v>168</v>
      </c>
      <c r="H358" s="800" t="s">
        <v>1449</v>
      </c>
      <c r="I358" s="785" t="s">
        <v>634</v>
      </c>
      <c r="J358" s="800" t="s">
        <v>2331</v>
      </c>
      <c r="K358" s="842">
        <v>55000</v>
      </c>
      <c r="L358" s="842">
        <v>45738</v>
      </c>
      <c r="M358" s="842">
        <v>43680</v>
      </c>
      <c r="N358" s="842">
        <v>43680</v>
      </c>
      <c r="O358" s="808">
        <f t="shared" si="24"/>
        <v>0.79418181818181821</v>
      </c>
      <c r="P358" s="842">
        <v>96</v>
      </c>
      <c r="Q358" s="842"/>
      <c r="R358" s="842"/>
      <c r="S358" s="842"/>
      <c r="T358" s="842" t="s">
        <v>95</v>
      </c>
      <c r="U358" s="842">
        <v>120</v>
      </c>
      <c r="V358" s="842">
        <v>55000</v>
      </c>
      <c r="W358" s="842" t="s">
        <v>75</v>
      </c>
      <c r="X358" s="842" t="s">
        <v>75</v>
      </c>
      <c r="Y358" s="842"/>
      <c r="Z358" s="842" t="s">
        <v>75</v>
      </c>
      <c r="AA358" s="842">
        <v>55000</v>
      </c>
      <c r="AB358" s="842">
        <v>120</v>
      </c>
      <c r="AC358" s="842" t="s">
        <v>75</v>
      </c>
      <c r="AD358" s="842" t="s">
        <v>75</v>
      </c>
      <c r="AE358" s="842" t="s">
        <v>75</v>
      </c>
      <c r="AF358" s="842" t="s">
        <v>75</v>
      </c>
      <c r="AG358" s="842" t="s">
        <v>75</v>
      </c>
      <c r="AH358" s="842" t="s">
        <v>75</v>
      </c>
      <c r="AI358" s="842" t="s">
        <v>75</v>
      </c>
      <c r="AJ358" s="787">
        <f t="shared" si="25"/>
        <v>55000</v>
      </c>
      <c r="AK358" s="842">
        <v>6000</v>
      </c>
      <c r="AL358" s="842">
        <v>2408</v>
      </c>
      <c r="AM358" s="842"/>
      <c r="AN358" s="842" t="s">
        <v>75</v>
      </c>
      <c r="AO358" s="842" t="s">
        <v>75</v>
      </c>
      <c r="AP358" s="842" t="s">
        <v>75</v>
      </c>
      <c r="AQ358" s="842" t="s">
        <v>75</v>
      </c>
      <c r="AR358" s="842" t="s">
        <v>75</v>
      </c>
      <c r="AS358" s="842" t="s">
        <v>75</v>
      </c>
      <c r="AT358" s="842" t="s">
        <v>75</v>
      </c>
      <c r="AU358" s="276" t="s">
        <v>633</v>
      </c>
    </row>
    <row r="359" spans="1:65" s="785" customFormat="1" ht="17.25" customHeight="1">
      <c r="A359" s="794">
        <v>357</v>
      </c>
      <c r="B359" s="857" t="s">
        <v>995</v>
      </c>
      <c r="C359" s="857" t="s">
        <v>1299</v>
      </c>
      <c r="D359" s="840">
        <v>39783</v>
      </c>
      <c r="E359" s="840">
        <v>40026</v>
      </c>
      <c r="F359" s="857">
        <v>2008</v>
      </c>
      <c r="G359" s="857" t="s">
        <v>615</v>
      </c>
      <c r="H359" s="790" t="s">
        <v>1452</v>
      </c>
      <c r="I359" s="817" t="s">
        <v>996</v>
      </c>
      <c r="J359" s="812" t="s">
        <v>2438</v>
      </c>
      <c r="K359" s="817">
        <v>60000</v>
      </c>
      <c r="L359" s="817">
        <v>1300299</v>
      </c>
      <c r="M359" s="817">
        <v>831576</v>
      </c>
      <c r="N359" s="817">
        <v>831576</v>
      </c>
      <c r="O359" s="808">
        <f t="shared" si="24"/>
        <v>13.8596</v>
      </c>
      <c r="P359" s="817">
        <v>64</v>
      </c>
      <c r="Q359" s="817"/>
      <c r="R359" s="817"/>
      <c r="S359" s="817"/>
      <c r="T359" s="817" t="s">
        <v>2</v>
      </c>
      <c r="U359" s="817">
        <v>90</v>
      </c>
      <c r="V359" s="817">
        <v>12805</v>
      </c>
      <c r="W359" s="817">
        <v>336443</v>
      </c>
      <c r="X359" s="817">
        <v>46920</v>
      </c>
      <c r="Y359" s="817"/>
      <c r="Z359" s="817"/>
      <c r="AA359" s="817"/>
      <c r="AB359" s="817">
        <v>150</v>
      </c>
      <c r="AC359" s="817"/>
      <c r="AD359" s="817"/>
      <c r="AE359" s="817"/>
      <c r="AF359" s="817"/>
      <c r="AG359" s="817"/>
      <c r="AH359" s="817"/>
      <c r="AI359" s="817"/>
      <c r="AJ359" s="787">
        <f t="shared" si="25"/>
        <v>0</v>
      </c>
      <c r="AK359" s="817">
        <v>7265</v>
      </c>
      <c r="AL359" s="817">
        <v>17618</v>
      </c>
      <c r="AM359" s="817"/>
      <c r="AN359" s="817"/>
      <c r="AO359" s="817"/>
      <c r="AP359" s="817"/>
      <c r="AQ359" s="817"/>
      <c r="AR359" s="817"/>
      <c r="AS359" s="817" t="s">
        <v>2</v>
      </c>
      <c r="AT359" s="817"/>
      <c r="AU359" s="817" t="s">
        <v>997</v>
      </c>
      <c r="AV359" s="857"/>
      <c r="AW359" s="857"/>
      <c r="AX359" s="857"/>
      <c r="AY359" s="857"/>
      <c r="AZ359" s="857"/>
      <c r="BA359" s="857"/>
      <c r="BB359" s="857"/>
      <c r="BC359" s="857"/>
      <c r="BD359" s="857"/>
      <c r="BE359" s="857"/>
      <c r="BF359" s="857"/>
      <c r="BG359" s="857"/>
      <c r="BH359" s="857"/>
      <c r="BI359" s="857"/>
      <c r="BJ359" s="857"/>
      <c r="BK359" s="857"/>
      <c r="BL359" s="857"/>
      <c r="BM359" s="857"/>
    </row>
    <row r="360" spans="1:65" s="785" customFormat="1" ht="15">
      <c r="A360" s="794">
        <v>358</v>
      </c>
      <c r="B360" s="785" t="s">
        <v>2407</v>
      </c>
      <c r="C360" s="785" t="s">
        <v>1260</v>
      </c>
      <c r="D360" s="792">
        <v>39665</v>
      </c>
      <c r="E360" s="792">
        <v>39964</v>
      </c>
      <c r="F360" s="857">
        <v>2008</v>
      </c>
      <c r="G360" s="789" t="s">
        <v>5</v>
      </c>
      <c r="H360" s="790" t="s">
        <v>1451</v>
      </c>
      <c r="I360" s="785" t="s">
        <v>702</v>
      </c>
      <c r="J360" s="812" t="s">
        <v>2438</v>
      </c>
      <c r="K360" s="842">
        <v>60000</v>
      </c>
      <c r="L360" s="842">
        <v>1510242</v>
      </c>
      <c r="M360" s="842">
        <v>1508099</v>
      </c>
      <c r="N360" s="842">
        <v>1508099</v>
      </c>
      <c r="O360" s="808">
        <f t="shared" si="24"/>
        <v>25.134983333333334</v>
      </c>
      <c r="P360" s="842">
        <v>100</v>
      </c>
      <c r="Q360" s="842" t="s">
        <v>339</v>
      </c>
      <c r="R360" s="842" t="s">
        <v>339</v>
      </c>
      <c r="S360" s="842">
        <v>50000</v>
      </c>
      <c r="T360" s="842" t="s">
        <v>95</v>
      </c>
      <c r="U360" s="842" t="s">
        <v>75</v>
      </c>
      <c r="V360" s="842">
        <v>12000</v>
      </c>
      <c r="W360" s="842">
        <v>237869</v>
      </c>
      <c r="X360" s="842">
        <v>176563</v>
      </c>
      <c r="Y360" s="808">
        <f>X360/S360</f>
        <v>3.5312600000000001</v>
      </c>
      <c r="Z360" s="842" t="s">
        <v>75</v>
      </c>
      <c r="AA360" s="842">
        <v>50000</v>
      </c>
      <c r="AB360" s="842" t="s">
        <v>75</v>
      </c>
      <c r="AC360" s="842" t="s">
        <v>75</v>
      </c>
      <c r="AD360" s="842" t="s">
        <v>75</v>
      </c>
      <c r="AE360" s="842" t="s">
        <v>75</v>
      </c>
      <c r="AF360" s="842" t="s">
        <v>75</v>
      </c>
      <c r="AG360" s="842" t="s">
        <v>75</v>
      </c>
      <c r="AH360" s="842" t="s">
        <v>75</v>
      </c>
      <c r="AI360" s="842" t="s">
        <v>75</v>
      </c>
      <c r="AJ360" s="787">
        <f t="shared" si="25"/>
        <v>50000</v>
      </c>
      <c r="AK360" s="842" t="s">
        <v>75</v>
      </c>
      <c r="AL360" s="842" t="s">
        <v>75</v>
      </c>
      <c r="AM360" s="842"/>
      <c r="AN360" s="842" t="s">
        <v>75</v>
      </c>
      <c r="AO360" s="842" t="s">
        <v>75</v>
      </c>
      <c r="AP360" s="842" t="s">
        <v>75</v>
      </c>
      <c r="AQ360" s="842" t="s">
        <v>75</v>
      </c>
      <c r="AR360" s="842" t="s">
        <v>75</v>
      </c>
      <c r="AS360" s="842" t="s">
        <v>460</v>
      </c>
      <c r="AT360" s="842" t="s">
        <v>75</v>
      </c>
      <c r="AU360" s="344" t="s">
        <v>701</v>
      </c>
    </row>
    <row r="361" spans="1:65" s="785" customFormat="1" ht="17.25" customHeight="1">
      <c r="A361" s="794">
        <v>359</v>
      </c>
      <c r="B361" s="785" t="s">
        <v>607</v>
      </c>
      <c r="C361" s="785" t="s">
        <v>1299</v>
      </c>
      <c r="D361" s="792">
        <v>39611</v>
      </c>
      <c r="E361" s="792">
        <v>39970</v>
      </c>
      <c r="F361" s="857">
        <v>2008</v>
      </c>
      <c r="G361" s="789" t="s">
        <v>737</v>
      </c>
      <c r="H361" s="790" t="s">
        <v>1452</v>
      </c>
      <c r="I361" s="785" t="s">
        <v>736</v>
      </c>
      <c r="J361" s="812" t="s">
        <v>2438</v>
      </c>
      <c r="K361" s="842">
        <v>76075</v>
      </c>
      <c r="L361" s="842">
        <v>8157607</v>
      </c>
      <c r="M361" s="842">
        <v>2107261</v>
      </c>
      <c r="N361" s="842">
        <v>2107261</v>
      </c>
      <c r="O361" s="808">
        <f t="shared" ref="O361:O377" si="26">N361/K361</f>
        <v>27.699783108774238</v>
      </c>
      <c r="P361" s="842">
        <v>26</v>
      </c>
      <c r="Q361" s="842">
        <v>11300</v>
      </c>
      <c r="R361" s="842">
        <v>4680</v>
      </c>
      <c r="S361" s="842">
        <v>16214</v>
      </c>
      <c r="T361" s="842" t="s">
        <v>2</v>
      </c>
      <c r="U361" s="842">
        <v>234</v>
      </c>
      <c r="V361" s="842" t="s">
        <v>339</v>
      </c>
      <c r="W361" s="842">
        <v>557731</v>
      </c>
      <c r="X361" s="842">
        <v>145010.06</v>
      </c>
      <c r="Y361" s="808">
        <f>X361/S361</f>
        <v>8.943509312939435</v>
      </c>
      <c r="Z361" s="842" t="s">
        <v>339</v>
      </c>
      <c r="AA361" s="842" t="s">
        <v>339</v>
      </c>
      <c r="AB361" s="838" t="s">
        <v>339</v>
      </c>
      <c r="AC361" s="842" t="s">
        <v>75</v>
      </c>
      <c r="AD361" s="842" t="s">
        <v>75</v>
      </c>
      <c r="AE361" s="842" t="s">
        <v>75</v>
      </c>
      <c r="AF361" s="842" t="s">
        <v>75</v>
      </c>
      <c r="AG361" s="842" t="s">
        <v>75</v>
      </c>
      <c r="AH361" s="842" t="s">
        <v>75</v>
      </c>
      <c r="AI361" s="842" t="s">
        <v>75</v>
      </c>
      <c r="AJ361" s="787">
        <f t="shared" si="25"/>
        <v>0</v>
      </c>
      <c r="AK361" s="842" t="s">
        <v>339</v>
      </c>
      <c r="AL361" s="842" t="s">
        <v>134</v>
      </c>
      <c r="AM361" s="817"/>
      <c r="AN361" s="842" t="s">
        <v>75</v>
      </c>
      <c r="AO361" s="842" t="s">
        <v>75</v>
      </c>
      <c r="AP361" s="842" t="s">
        <v>75</v>
      </c>
      <c r="AQ361" s="842" t="s">
        <v>75</v>
      </c>
      <c r="AR361" s="842" t="s">
        <v>75</v>
      </c>
      <c r="AS361" s="842" t="s">
        <v>75</v>
      </c>
      <c r="AT361" s="842" t="s">
        <v>75</v>
      </c>
      <c r="AU361" s="276" t="s">
        <v>735</v>
      </c>
    </row>
    <row r="362" spans="1:65" s="785" customFormat="1" ht="16.5" customHeight="1">
      <c r="A362" s="794">
        <v>360</v>
      </c>
      <c r="B362" s="796" t="s">
        <v>417</v>
      </c>
      <c r="C362" s="785" t="s">
        <v>1299</v>
      </c>
      <c r="D362" s="792">
        <v>39661</v>
      </c>
      <c r="E362" s="792">
        <v>39904</v>
      </c>
      <c r="F362" s="857">
        <v>2008</v>
      </c>
      <c r="G362" s="789" t="s">
        <v>168</v>
      </c>
      <c r="H362" s="800" t="s">
        <v>1449</v>
      </c>
      <c r="I362" s="785" t="s">
        <v>653</v>
      </c>
      <c r="J362" s="800" t="s">
        <v>2331</v>
      </c>
      <c r="K362" s="842">
        <v>90000</v>
      </c>
      <c r="L362" s="842">
        <v>108254</v>
      </c>
      <c r="M362" s="842">
        <v>107124</v>
      </c>
      <c r="N362" s="842">
        <v>107124</v>
      </c>
      <c r="O362" s="808">
        <f t="shared" si="26"/>
        <v>1.1902666666666666</v>
      </c>
      <c r="P362" s="842">
        <v>99</v>
      </c>
      <c r="Q362" s="842">
        <f>3149*5</f>
        <v>15745</v>
      </c>
      <c r="R362" s="842">
        <f>216*20</f>
        <v>4320</v>
      </c>
      <c r="S362" s="842">
        <f>3149*5</f>
        <v>15745</v>
      </c>
      <c r="T362" s="842" t="s">
        <v>95</v>
      </c>
      <c r="U362" s="842">
        <v>200</v>
      </c>
      <c r="V362" s="842">
        <v>27215</v>
      </c>
      <c r="W362" s="842">
        <v>8125</v>
      </c>
      <c r="X362" s="842">
        <v>8043.75</v>
      </c>
      <c r="Y362" s="808">
        <f>X362/S362</f>
        <v>0.51087646872022863</v>
      </c>
      <c r="Z362" s="842" t="s">
        <v>75</v>
      </c>
      <c r="AA362" s="842">
        <v>27215</v>
      </c>
      <c r="AB362" s="842" t="s">
        <v>75</v>
      </c>
      <c r="AC362" s="842" t="s">
        <v>75</v>
      </c>
      <c r="AD362" s="842" t="s">
        <v>75</v>
      </c>
      <c r="AE362" s="842" t="s">
        <v>75</v>
      </c>
      <c r="AF362" s="842" t="s">
        <v>75</v>
      </c>
      <c r="AG362" s="842" t="s">
        <v>75</v>
      </c>
      <c r="AH362" s="842" t="s">
        <v>75</v>
      </c>
      <c r="AI362" s="842" t="s">
        <v>75</v>
      </c>
      <c r="AJ362" s="808">
        <f t="shared" si="25"/>
        <v>27215</v>
      </c>
      <c r="AK362" s="842">
        <v>28117</v>
      </c>
      <c r="AL362" s="842">
        <v>23063</v>
      </c>
      <c r="AM362" s="842"/>
      <c r="AN362" s="842" t="s">
        <v>75</v>
      </c>
      <c r="AO362" s="842" t="s">
        <v>75</v>
      </c>
      <c r="AP362" s="842" t="s">
        <v>75</v>
      </c>
      <c r="AQ362" s="842" t="s">
        <v>75</v>
      </c>
      <c r="AR362" s="842" t="s">
        <v>75</v>
      </c>
      <c r="AS362" s="842" t="s">
        <v>75</v>
      </c>
      <c r="AT362" s="842" t="s">
        <v>75</v>
      </c>
      <c r="AU362" s="293" t="s">
        <v>652</v>
      </c>
    </row>
    <row r="363" spans="1:65" s="785" customFormat="1" ht="17.25" customHeight="1">
      <c r="A363" s="794">
        <v>361</v>
      </c>
      <c r="B363" s="785" t="s">
        <v>563</v>
      </c>
      <c r="C363" s="785" t="s">
        <v>1261</v>
      </c>
      <c r="D363" s="792">
        <v>39689</v>
      </c>
      <c r="E363" s="792">
        <v>40054</v>
      </c>
      <c r="F363" s="857">
        <v>2008</v>
      </c>
      <c r="G363" s="789" t="s">
        <v>5</v>
      </c>
      <c r="H363" s="790" t="s">
        <v>1451</v>
      </c>
      <c r="I363" s="785" t="s">
        <v>728</v>
      </c>
      <c r="J363" s="812" t="s">
        <v>2438</v>
      </c>
      <c r="K363" s="842">
        <v>100000</v>
      </c>
      <c r="L363" s="842">
        <v>2647699</v>
      </c>
      <c r="M363" s="842">
        <v>2084621</v>
      </c>
      <c r="N363" s="842">
        <v>2084621</v>
      </c>
      <c r="O363" s="808">
        <f t="shared" si="26"/>
        <v>20.846209999999999</v>
      </c>
      <c r="P363" s="842">
        <v>79</v>
      </c>
      <c r="Q363" s="842" t="s">
        <v>339</v>
      </c>
      <c r="R363" s="842" t="s">
        <v>339</v>
      </c>
      <c r="S363" s="842" t="s">
        <v>339</v>
      </c>
      <c r="T363" s="842" t="s">
        <v>95</v>
      </c>
      <c r="U363" s="842" t="s">
        <v>339</v>
      </c>
      <c r="V363" s="842" t="s">
        <v>339</v>
      </c>
      <c r="W363" s="842" t="s">
        <v>75</v>
      </c>
      <c r="X363" s="842" t="s">
        <v>75</v>
      </c>
      <c r="Y363" s="842"/>
      <c r="Z363" s="842" t="s">
        <v>75</v>
      </c>
      <c r="AA363" s="842" t="s">
        <v>75</v>
      </c>
      <c r="AB363" s="842" t="s">
        <v>75</v>
      </c>
      <c r="AC363" s="842" t="s">
        <v>75</v>
      </c>
      <c r="AD363" s="842" t="s">
        <v>75</v>
      </c>
      <c r="AE363" s="842" t="s">
        <v>75</v>
      </c>
      <c r="AF363" s="842" t="s">
        <v>75</v>
      </c>
      <c r="AG363" s="842" t="s">
        <v>75</v>
      </c>
      <c r="AH363" s="842" t="s">
        <v>75</v>
      </c>
      <c r="AI363" s="842" t="s">
        <v>75</v>
      </c>
      <c r="AJ363" s="787">
        <f t="shared" si="25"/>
        <v>0</v>
      </c>
      <c r="AK363" s="842" t="s">
        <v>75</v>
      </c>
      <c r="AL363" s="842" t="s">
        <v>75</v>
      </c>
      <c r="AM363" s="842"/>
      <c r="AN363" s="842" t="s">
        <v>75</v>
      </c>
      <c r="AO363" s="842" t="s">
        <v>75</v>
      </c>
      <c r="AP363" s="842" t="s">
        <v>75</v>
      </c>
      <c r="AQ363" s="842" t="s">
        <v>75</v>
      </c>
      <c r="AR363" s="842" t="s">
        <v>75</v>
      </c>
      <c r="AS363" s="842" t="s">
        <v>75</v>
      </c>
      <c r="AT363" s="842" t="s">
        <v>75</v>
      </c>
      <c r="AU363" s="344" t="s">
        <v>727</v>
      </c>
    </row>
    <row r="364" spans="1:65" s="785" customFormat="1" ht="21.75" customHeight="1">
      <c r="A364" s="794">
        <v>362</v>
      </c>
      <c r="B364" s="785" t="s">
        <v>129</v>
      </c>
      <c r="C364" s="785" t="s">
        <v>1278</v>
      </c>
      <c r="D364" s="792">
        <v>39490</v>
      </c>
      <c r="E364" s="792">
        <v>39856</v>
      </c>
      <c r="F364" s="857">
        <v>2008</v>
      </c>
      <c r="G364" s="789" t="s">
        <v>641</v>
      </c>
      <c r="H364" s="790" t="s">
        <v>1452</v>
      </c>
      <c r="I364" s="785" t="s">
        <v>640</v>
      </c>
      <c r="J364" s="812" t="s">
        <v>2438</v>
      </c>
      <c r="K364" s="842">
        <v>150000</v>
      </c>
      <c r="L364" s="842">
        <v>5377198</v>
      </c>
      <c r="M364" s="842">
        <v>2517319</v>
      </c>
      <c r="N364" s="842">
        <v>2517319</v>
      </c>
      <c r="O364" s="808">
        <f t="shared" si="26"/>
        <v>16.782126666666667</v>
      </c>
      <c r="P364" s="842">
        <v>47</v>
      </c>
      <c r="Q364" s="842" t="s">
        <v>75</v>
      </c>
      <c r="R364" s="842" t="s">
        <v>75</v>
      </c>
      <c r="S364" s="842" t="s">
        <v>75</v>
      </c>
      <c r="T364" s="842" t="s">
        <v>95</v>
      </c>
      <c r="U364" s="842" t="s">
        <v>75</v>
      </c>
      <c r="V364" s="842" t="s">
        <v>75</v>
      </c>
      <c r="W364" s="842" t="s">
        <v>75</v>
      </c>
      <c r="X364" s="842" t="s">
        <v>75</v>
      </c>
      <c r="Y364" s="842"/>
      <c r="Z364" s="842" t="s">
        <v>75</v>
      </c>
      <c r="AA364" s="842" t="s">
        <v>75</v>
      </c>
      <c r="AB364" s="842">
        <v>250</v>
      </c>
      <c r="AC364" s="842">
        <v>45200</v>
      </c>
      <c r="AD364" s="842" t="s">
        <v>75</v>
      </c>
      <c r="AE364" s="842" t="s">
        <v>75</v>
      </c>
      <c r="AF364" s="842" t="s">
        <v>75</v>
      </c>
      <c r="AG364" s="842" t="s">
        <v>75</v>
      </c>
      <c r="AH364" s="842">
        <v>1265</v>
      </c>
      <c r="AI364" s="842" t="s">
        <v>75</v>
      </c>
      <c r="AJ364" s="787">
        <f t="shared" si="25"/>
        <v>1265</v>
      </c>
      <c r="AK364" s="842">
        <v>675000</v>
      </c>
      <c r="AL364" s="842">
        <v>580873</v>
      </c>
      <c r="AM364" s="842"/>
      <c r="AN364" s="842" t="s">
        <v>75</v>
      </c>
      <c r="AO364" s="842" t="s">
        <v>75</v>
      </c>
      <c r="AP364" s="842" t="s">
        <v>75</v>
      </c>
      <c r="AQ364" s="842" t="s">
        <v>75</v>
      </c>
      <c r="AR364" s="842" t="s">
        <v>75</v>
      </c>
      <c r="AS364" s="842" t="s">
        <v>75</v>
      </c>
      <c r="AT364" s="842" t="s">
        <v>75</v>
      </c>
      <c r="AU364" s="344" t="s">
        <v>639</v>
      </c>
    </row>
    <row r="365" spans="1:65" s="785" customFormat="1" ht="18" customHeight="1">
      <c r="A365" s="794">
        <v>363</v>
      </c>
      <c r="B365" s="789" t="s">
        <v>142</v>
      </c>
      <c r="C365" s="789" t="s">
        <v>1299</v>
      </c>
      <c r="D365" s="840">
        <v>39661</v>
      </c>
      <c r="E365" s="840">
        <v>40422</v>
      </c>
      <c r="F365" s="857">
        <v>2008</v>
      </c>
      <c r="G365" s="789" t="s">
        <v>116</v>
      </c>
      <c r="H365" s="800" t="s">
        <v>1452</v>
      </c>
      <c r="I365" s="903" t="s">
        <v>2437</v>
      </c>
      <c r="J365" s="812" t="s">
        <v>2438</v>
      </c>
      <c r="K365" s="817">
        <v>260100</v>
      </c>
      <c r="L365" s="817">
        <v>38424041</v>
      </c>
      <c r="M365" s="817">
        <v>13359514</v>
      </c>
      <c r="N365" s="817">
        <v>13251250</v>
      </c>
      <c r="O365" s="808">
        <f t="shared" si="26"/>
        <v>50.946751249519416</v>
      </c>
      <c r="P365" s="817">
        <v>35</v>
      </c>
      <c r="Q365" s="817">
        <v>15000</v>
      </c>
      <c r="R365" s="817"/>
      <c r="S365" s="817">
        <v>15000</v>
      </c>
      <c r="T365" s="817" t="s">
        <v>2</v>
      </c>
      <c r="U365" s="817">
        <v>40</v>
      </c>
      <c r="V365" s="817">
        <v>100000</v>
      </c>
      <c r="W365" s="817">
        <v>1076027</v>
      </c>
      <c r="X365" s="817">
        <v>488366</v>
      </c>
      <c r="Y365" s="808">
        <f>X365/S365</f>
        <v>32.557733333333331</v>
      </c>
      <c r="Z365" s="817"/>
      <c r="AA365" s="817"/>
      <c r="AB365" s="817"/>
      <c r="AC365" s="817"/>
      <c r="AD365" s="817"/>
      <c r="AE365" s="817"/>
      <c r="AF365" s="817"/>
      <c r="AG365" s="817"/>
      <c r="AH365" s="817"/>
      <c r="AI365" s="817"/>
      <c r="AJ365" s="787">
        <f t="shared" si="25"/>
        <v>0</v>
      </c>
      <c r="AK365" s="817"/>
      <c r="AL365" s="817"/>
      <c r="AM365" s="817"/>
      <c r="AN365" s="817"/>
      <c r="AO365" s="817"/>
      <c r="AP365" s="817"/>
      <c r="AQ365" s="817"/>
      <c r="AR365" s="817"/>
      <c r="AS365" s="817"/>
      <c r="AT365" s="817"/>
      <c r="AU365" s="363" t="s">
        <v>1500</v>
      </c>
      <c r="AV365" s="789"/>
      <c r="AW365" s="789"/>
      <c r="AX365" s="789"/>
      <c r="AY365" s="789"/>
      <c r="AZ365" s="789"/>
      <c r="BA365" s="789"/>
      <c r="BB365" s="789"/>
      <c r="BC365" s="789"/>
      <c r="BD365" s="789"/>
      <c r="BE365" s="789"/>
      <c r="BF365" s="789"/>
      <c r="BG365" s="789"/>
      <c r="BH365" s="789"/>
      <c r="BI365" s="789"/>
      <c r="BJ365" s="789"/>
      <c r="BK365" s="789"/>
      <c r="BL365" s="789"/>
      <c r="BM365" s="789"/>
    </row>
    <row r="366" spans="1:65" s="785" customFormat="1" ht="16.5" customHeight="1">
      <c r="A366" s="794">
        <v>364</v>
      </c>
      <c r="B366" s="785" t="s">
        <v>1484</v>
      </c>
      <c r="C366" s="785" t="s">
        <v>1261</v>
      </c>
      <c r="D366" s="792">
        <v>39764</v>
      </c>
      <c r="E366" s="792">
        <v>40068</v>
      </c>
      <c r="F366" s="857">
        <v>2008</v>
      </c>
      <c r="G366" s="789" t="s">
        <v>5</v>
      </c>
      <c r="H366" s="800" t="s">
        <v>1451</v>
      </c>
      <c r="I366" s="785" t="s">
        <v>742</v>
      </c>
      <c r="J366" s="812" t="s">
        <v>2438</v>
      </c>
      <c r="K366" s="842">
        <v>293860</v>
      </c>
      <c r="L366" s="842">
        <v>4779038</v>
      </c>
      <c r="M366" s="842">
        <v>2238026</v>
      </c>
      <c r="N366" s="842">
        <v>2238026</v>
      </c>
      <c r="O366" s="808">
        <f t="shared" si="26"/>
        <v>7.6159599809433063</v>
      </c>
      <c r="P366" s="842">
        <v>47</v>
      </c>
      <c r="Q366" s="842">
        <v>17255</v>
      </c>
      <c r="R366" s="842"/>
      <c r="S366" s="842">
        <v>17255</v>
      </c>
      <c r="T366" s="842" t="s">
        <v>95</v>
      </c>
      <c r="U366" s="842" t="s">
        <v>339</v>
      </c>
      <c r="V366" s="842">
        <v>17255</v>
      </c>
      <c r="W366" s="842">
        <v>847000</v>
      </c>
      <c r="X366" s="842">
        <v>258309</v>
      </c>
      <c r="Y366" s="808">
        <f>X366/S366</f>
        <v>14.970095624456679</v>
      </c>
      <c r="Z366" s="842" t="s">
        <v>75</v>
      </c>
      <c r="AA366" s="842" t="s">
        <v>75</v>
      </c>
      <c r="AB366" s="842" t="s">
        <v>75</v>
      </c>
      <c r="AC366" s="842" t="s">
        <v>75</v>
      </c>
      <c r="AD366" s="842" t="s">
        <v>75</v>
      </c>
      <c r="AE366" s="842" t="s">
        <v>75</v>
      </c>
      <c r="AF366" s="842" t="s">
        <v>75</v>
      </c>
      <c r="AG366" s="842" t="s">
        <v>75</v>
      </c>
      <c r="AH366" s="842" t="s">
        <v>75</v>
      </c>
      <c r="AI366" s="842" t="s">
        <v>75</v>
      </c>
      <c r="AJ366" s="808">
        <f t="shared" si="25"/>
        <v>0</v>
      </c>
      <c r="AK366" s="842" t="s">
        <v>339</v>
      </c>
      <c r="AL366" s="842" t="s">
        <v>134</v>
      </c>
      <c r="AM366" s="842"/>
      <c r="AN366" s="842" t="s">
        <v>75</v>
      </c>
      <c r="AO366" s="842" t="s">
        <v>75</v>
      </c>
      <c r="AP366" s="842" t="s">
        <v>75</v>
      </c>
      <c r="AQ366" s="842" t="s">
        <v>75</v>
      </c>
      <c r="AR366" s="842" t="s">
        <v>75</v>
      </c>
      <c r="AS366" s="842" t="s">
        <v>75</v>
      </c>
      <c r="AT366" s="842" t="s">
        <v>2</v>
      </c>
      <c r="AU366" s="344" t="s">
        <v>741</v>
      </c>
    </row>
    <row r="367" spans="1:65" s="785" customFormat="1" ht="13.5" customHeight="1">
      <c r="A367" s="794">
        <v>365</v>
      </c>
      <c r="B367" s="785" t="s">
        <v>12</v>
      </c>
      <c r="C367" s="785" t="s">
        <v>1299</v>
      </c>
      <c r="D367" s="792">
        <v>39759</v>
      </c>
      <c r="E367" s="792">
        <v>39940</v>
      </c>
      <c r="F367" s="857">
        <v>2008</v>
      </c>
      <c r="G367" s="789" t="s">
        <v>5</v>
      </c>
      <c r="H367" s="800" t="s">
        <v>1451</v>
      </c>
      <c r="I367" s="785" t="s">
        <v>715</v>
      </c>
      <c r="J367" s="812" t="s">
        <v>2438</v>
      </c>
      <c r="K367" s="842">
        <v>300000</v>
      </c>
      <c r="L367" s="842">
        <v>6179533</v>
      </c>
      <c r="M367" s="842">
        <v>444203</v>
      </c>
      <c r="N367" s="842">
        <v>444203</v>
      </c>
      <c r="O367" s="808">
        <f t="shared" si="26"/>
        <v>1.4806766666666666</v>
      </c>
      <c r="P367" s="842">
        <v>7</v>
      </c>
      <c r="Q367" s="842">
        <v>19360</v>
      </c>
      <c r="R367" s="842" t="s">
        <v>339</v>
      </c>
      <c r="S367" s="842">
        <v>100000</v>
      </c>
      <c r="T367" s="842" t="s">
        <v>714</v>
      </c>
      <c r="U367" s="842" t="s">
        <v>75</v>
      </c>
      <c r="V367" s="842" t="s">
        <v>75</v>
      </c>
      <c r="W367" s="842">
        <v>1059143</v>
      </c>
      <c r="X367" s="842">
        <v>74140.010000000009</v>
      </c>
      <c r="Y367" s="808">
        <f>X367/S367</f>
        <v>0.74140010000000012</v>
      </c>
      <c r="Z367" s="842" t="s">
        <v>75</v>
      </c>
      <c r="AA367" s="842" t="s">
        <v>75</v>
      </c>
      <c r="AB367" s="842" t="s">
        <v>75</v>
      </c>
      <c r="AC367" s="842" t="s">
        <v>75</v>
      </c>
      <c r="AD367" s="842" t="s">
        <v>75</v>
      </c>
      <c r="AE367" s="842">
        <v>500</v>
      </c>
      <c r="AF367" s="842" t="s">
        <v>75</v>
      </c>
      <c r="AG367" s="842" t="s">
        <v>75</v>
      </c>
      <c r="AH367" s="842" t="s">
        <v>75</v>
      </c>
      <c r="AI367" s="842" t="s">
        <v>75</v>
      </c>
      <c r="AJ367" s="787">
        <f t="shared" si="25"/>
        <v>0</v>
      </c>
      <c r="AK367" s="842">
        <v>177917</v>
      </c>
      <c r="AL367" s="842">
        <v>12454.19</v>
      </c>
      <c r="AM367" s="842"/>
      <c r="AN367" s="842" t="s">
        <v>75</v>
      </c>
      <c r="AO367" s="842" t="s">
        <v>75</v>
      </c>
      <c r="AP367" s="842" t="s">
        <v>75</v>
      </c>
      <c r="AQ367" s="842" t="s">
        <v>75</v>
      </c>
      <c r="AR367" s="842" t="s">
        <v>75</v>
      </c>
      <c r="AS367" s="842" t="s">
        <v>75</v>
      </c>
      <c r="AT367" s="842" t="s">
        <v>75</v>
      </c>
      <c r="AU367" s="344" t="s">
        <v>713</v>
      </c>
    </row>
    <row r="368" spans="1:65" s="785" customFormat="1" ht="15" customHeight="1">
      <c r="A368" s="794">
        <v>366</v>
      </c>
      <c r="B368" s="785" t="s">
        <v>170</v>
      </c>
      <c r="C368" s="785" t="s">
        <v>1299</v>
      </c>
      <c r="D368" s="792">
        <v>39630</v>
      </c>
      <c r="E368" s="792">
        <v>39904</v>
      </c>
      <c r="F368" s="857">
        <v>2008</v>
      </c>
      <c r="G368" s="789" t="s">
        <v>620</v>
      </c>
      <c r="H368" s="800" t="s">
        <v>1449</v>
      </c>
      <c r="I368" s="785" t="s">
        <v>619</v>
      </c>
      <c r="J368" s="800" t="s">
        <v>2331</v>
      </c>
      <c r="K368" s="842">
        <v>400000</v>
      </c>
      <c r="L368" s="842">
        <v>126310</v>
      </c>
      <c r="M368" s="842">
        <v>126119</v>
      </c>
      <c r="N368" s="842">
        <v>126119</v>
      </c>
      <c r="O368" s="808">
        <f t="shared" si="26"/>
        <v>0.31529750000000001</v>
      </c>
      <c r="P368" s="842">
        <v>100</v>
      </c>
      <c r="Q368" s="842" t="s">
        <v>339</v>
      </c>
      <c r="R368" s="842">
        <v>52397</v>
      </c>
      <c r="S368" s="842">
        <v>52397</v>
      </c>
      <c r="T368" s="842" t="s">
        <v>94</v>
      </c>
      <c r="U368" s="842">
        <f>70+50</f>
        <v>120</v>
      </c>
      <c r="V368" s="842">
        <v>52397</v>
      </c>
      <c r="W368" s="842">
        <v>17500</v>
      </c>
      <c r="X368" s="842">
        <v>6512</v>
      </c>
      <c r="Y368" s="808">
        <f>X368/S368</f>
        <v>0.12428192453766437</v>
      </c>
      <c r="Z368" s="842">
        <v>52397</v>
      </c>
      <c r="AA368" s="842" t="s">
        <v>339</v>
      </c>
      <c r="AB368" s="842">
        <v>70</v>
      </c>
      <c r="AC368" s="842" t="s">
        <v>75</v>
      </c>
      <c r="AD368" s="842" t="s">
        <v>75</v>
      </c>
      <c r="AE368" s="842" t="s">
        <v>75</v>
      </c>
      <c r="AF368" s="842" t="s">
        <v>75</v>
      </c>
      <c r="AG368" s="842" t="s">
        <v>75</v>
      </c>
      <c r="AH368" s="842" t="s">
        <v>75</v>
      </c>
      <c r="AI368" s="842" t="s">
        <v>75</v>
      </c>
      <c r="AJ368" s="808">
        <f t="shared" si="25"/>
        <v>52397</v>
      </c>
      <c r="AK368" s="842" t="s">
        <v>339</v>
      </c>
      <c r="AL368" s="842">
        <v>1205</v>
      </c>
      <c r="AM368" s="842"/>
      <c r="AN368" s="842" t="s">
        <v>75</v>
      </c>
      <c r="AO368" s="842" t="s">
        <v>75</v>
      </c>
      <c r="AP368" s="842" t="s">
        <v>75</v>
      </c>
      <c r="AQ368" s="842" t="s">
        <v>75</v>
      </c>
      <c r="AR368" s="842" t="s">
        <v>75</v>
      </c>
      <c r="AS368" s="842" t="s">
        <v>371</v>
      </c>
      <c r="AT368" s="842" t="s">
        <v>75</v>
      </c>
      <c r="AU368" s="293" t="s">
        <v>618</v>
      </c>
    </row>
    <row r="369" spans="1:65" s="785" customFormat="1" ht="15.75" customHeight="1">
      <c r="A369" s="794">
        <v>367</v>
      </c>
      <c r="B369" s="785" t="s">
        <v>148</v>
      </c>
      <c r="C369" s="785" t="s">
        <v>1299</v>
      </c>
      <c r="D369" s="792">
        <v>39639</v>
      </c>
      <c r="E369" s="792">
        <v>39783</v>
      </c>
      <c r="F369" s="857">
        <v>2008</v>
      </c>
      <c r="G369" s="789" t="s">
        <v>546</v>
      </c>
      <c r="H369" s="800" t="s">
        <v>1449</v>
      </c>
      <c r="I369" s="785" t="s">
        <v>700</v>
      </c>
      <c r="J369" s="812" t="s">
        <v>2438</v>
      </c>
      <c r="K369" s="842">
        <v>425095</v>
      </c>
      <c r="L369" s="842">
        <v>947079</v>
      </c>
      <c r="M369" s="842">
        <v>148186</v>
      </c>
      <c r="N369" s="842">
        <v>148186</v>
      </c>
      <c r="O369" s="808">
        <f t="shared" si="26"/>
        <v>0.34859501993672004</v>
      </c>
      <c r="P369" s="842">
        <v>16</v>
      </c>
      <c r="Q369" s="842">
        <v>12000</v>
      </c>
      <c r="R369" s="842" t="s">
        <v>339</v>
      </c>
      <c r="S369" s="842">
        <v>85019</v>
      </c>
      <c r="T369" s="842" t="s">
        <v>95</v>
      </c>
      <c r="U369" s="842">
        <v>150</v>
      </c>
      <c r="V369" s="842">
        <v>35111</v>
      </c>
      <c r="W369" s="842">
        <v>283157</v>
      </c>
      <c r="X369" s="842">
        <v>45305.120000000003</v>
      </c>
      <c r="Y369" s="808">
        <f>X369/S369</f>
        <v>0.53288229689834044</v>
      </c>
      <c r="Z369" s="842" t="s">
        <v>75</v>
      </c>
      <c r="AA369" s="842" t="s">
        <v>75</v>
      </c>
      <c r="AB369" s="842" t="s">
        <v>75</v>
      </c>
      <c r="AC369" s="842" t="s">
        <v>75</v>
      </c>
      <c r="AD369" s="842" t="s">
        <v>75</v>
      </c>
      <c r="AE369" s="842" t="s">
        <v>75</v>
      </c>
      <c r="AF369" s="842" t="s">
        <v>75</v>
      </c>
      <c r="AG369" s="842" t="s">
        <v>75</v>
      </c>
      <c r="AH369" s="842" t="s">
        <v>75</v>
      </c>
      <c r="AI369" s="842" t="s">
        <v>75</v>
      </c>
      <c r="AJ369" s="787">
        <f t="shared" si="25"/>
        <v>0</v>
      </c>
      <c r="AK369" s="842">
        <v>53436</v>
      </c>
      <c r="AL369" s="842">
        <v>31890</v>
      </c>
      <c r="AM369" s="842"/>
      <c r="AN369" s="842" t="s">
        <v>75</v>
      </c>
      <c r="AO369" s="842" t="s">
        <v>75</v>
      </c>
      <c r="AP369" s="842" t="s">
        <v>75</v>
      </c>
      <c r="AQ369" s="842" t="s">
        <v>75</v>
      </c>
      <c r="AR369" s="842" t="s">
        <v>75</v>
      </c>
      <c r="AS369" s="842" t="s">
        <v>75</v>
      </c>
      <c r="AT369" s="842" t="s">
        <v>75</v>
      </c>
      <c r="AU369" s="344" t="s">
        <v>699</v>
      </c>
    </row>
    <row r="370" spans="1:65" s="785" customFormat="1" ht="18" customHeight="1">
      <c r="A370" s="794">
        <v>368</v>
      </c>
      <c r="B370" s="785" t="s">
        <v>270</v>
      </c>
      <c r="C370" s="785" t="s">
        <v>1299</v>
      </c>
      <c r="D370" s="792">
        <v>39798</v>
      </c>
      <c r="E370" s="792"/>
      <c r="F370" s="857">
        <v>2008</v>
      </c>
      <c r="G370" s="789" t="s">
        <v>672</v>
      </c>
      <c r="H370" s="800" t="s">
        <v>1449</v>
      </c>
      <c r="I370" s="785" t="s">
        <v>671</v>
      </c>
      <c r="J370" s="800" t="s">
        <v>2331</v>
      </c>
      <c r="K370" s="842">
        <v>600000</v>
      </c>
      <c r="L370" s="842">
        <v>173430</v>
      </c>
      <c r="M370" s="842">
        <v>171902</v>
      </c>
      <c r="N370" s="842">
        <v>171902</v>
      </c>
      <c r="O370" s="808">
        <f t="shared" si="26"/>
        <v>0.28650333333333333</v>
      </c>
      <c r="P370" s="842">
        <v>99</v>
      </c>
      <c r="Q370" s="842" t="s">
        <v>75</v>
      </c>
      <c r="R370" s="842">
        <v>80</v>
      </c>
      <c r="S370" s="842" t="s">
        <v>339</v>
      </c>
      <c r="T370" s="842" t="s">
        <v>95</v>
      </c>
      <c r="U370" s="842">
        <v>250</v>
      </c>
      <c r="V370" s="842">
        <v>135900</v>
      </c>
      <c r="W370" s="842">
        <v>31923</v>
      </c>
      <c r="X370" s="842">
        <v>41733</v>
      </c>
      <c r="Y370" s="842"/>
      <c r="Z370" s="842" t="s">
        <v>75</v>
      </c>
      <c r="AA370" s="842">
        <v>135900</v>
      </c>
      <c r="AB370" s="842" t="s">
        <v>75</v>
      </c>
      <c r="AC370" s="842" t="s">
        <v>75</v>
      </c>
      <c r="AD370" s="842" t="s">
        <v>75</v>
      </c>
      <c r="AE370" s="842" t="s">
        <v>75</v>
      </c>
      <c r="AF370" s="842" t="s">
        <v>75</v>
      </c>
      <c r="AG370" s="842" t="s">
        <v>75</v>
      </c>
      <c r="AH370" s="842" t="s">
        <v>75</v>
      </c>
      <c r="AI370" s="842" t="s">
        <v>75</v>
      </c>
      <c r="AJ370" s="787">
        <f t="shared" si="25"/>
        <v>135900</v>
      </c>
      <c r="AK370" s="842" t="s">
        <v>75</v>
      </c>
      <c r="AL370" s="842" t="s">
        <v>75</v>
      </c>
      <c r="AM370" s="842"/>
      <c r="AN370" s="842" t="s">
        <v>75</v>
      </c>
      <c r="AO370" s="842" t="s">
        <v>75</v>
      </c>
      <c r="AP370" s="842" t="s">
        <v>75</v>
      </c>
      <c r="AQ370" s="842" t="s">
        <v>75</v>
      </c>
      <c r="AR370" s="842" t="s">
        <v>75</v>
      </c>
      <c r="AS370" s="842" t="s">
        <v>75</v>
      </c>
      <c r="AT370" s="842" t="s">
        <v>75</v>
      </c>
      <c r="AU370" s="276" t="s">
        <v>670</v>
      </c>
    </row>
    <row r="371" spans="1:65" s="785" customFormat="1" ht="18.75" customHeight="1">
      <c r="A371" s="794">
        <v>369</v>
      </c>
      <c r="B371" s="785" t="s">
        <v>87</v>
      </c>
      <c r="C371" s="785" t="s">
        <v>1261</v>
      </c>
      <c r="D371" s="792">
        <v>39569</v>
      </c>
      <c r="E371" s="792">
        <v>40787</v>
      </c>
      <c r="F371" s="857">
        <v>2008</v>
      </c>
      <c r="G371" s="785" t="s">
        <v>88</v>
      </c>
      <c r="H371" s="800" t="s">
        <v>1450</v>
      </c>
      <c r="I371" s="785" t="s">
        <v>436</v>
      </c>
      <c r="J371" s="812" t="s">
        <v>2438</v>
      </c>
      <c r="K371" s="842">
        <v>870000</v>
      </c>
      <c r="L371" s="842">
        <v>68599213</v>
      </c>
      <c r="M371" s="842">
        <v>55447165</v>
      </c>
      <c r="N371" s="842">
        <v>64841259</v>
      </c>
      <c r="O371" s="808">
        <f t="shared" si="26"/>
        <v>74.530182758620683</v>
      </c>
      <c r="P371" s="842">
        <v>102</v>
      </c>
      <c r="Q371" s="842">
        <f>(75000*5)+62500</f>
        <v>437500</v>
      </c>
      <c r="R371" s="842">
        <f>12000+(43000*5)</f>
        <v>227000</v>
      </c>
      <c r="S371" s="842">
        <f>(75000*5)+62500</f>
        <v>437500</v>
      </c>
      <c r="T371" s="842"/>
      <c r="U371" s="842"/>
      <c r="V371" s="842">
        <v>127410</v>
      </c>
      <c r="W371" s="842">
        <v>2501399</v>
      </c>
      <c r="X371" s="842">
        <v>4550347</v>
      </c>
      <c r="Y371" s="808">
        <f>X371/S371</f>
        <v>10.400793142857143</v>
      </c>
      <c r="Z371" s="842">
        <v>70363</v>
      </c>
      <c r="AA371" s="842">
        <v>77255</v>
      </c>
      <c r="AB371" s="842">
        <v>77255</v>
      </c>
      <c r="AC371" s="842">
        <v>4358</v>
      </c>
      <c r="AD371" s="842"/>
      <c r="AE371" s="842"/>
      <c r="AF371" s="842"/>
      <c r="AG371" s="842"/>
      <c r="AH371" s="842"/>
      <c r="AI371" s="842"/>
      <c r="AJ371" s="808">
        <f t="shared" si="25"/>
        <v>147618</v>
      </c>
      <c r="AK371" s="842">
        <v>825845</v>
      </c>
      <c r="AL371" s="842">
        <v>840604</v>
      </c>
      <c r="AM371" s="842"/>
      <c r="AN371" s="842">
        <v>1</v>
      </c>
      <c r="AO371" s="842"/>
      <c r="AP371" s="842">
        <v>1</v>
      </c>
      <c r="AQ371" s="842"/>
      <c r="AR371" s="842"/>
      <c r="AS371" s="842"/>
      <c r="AT371" s="842"/>
      <c r="AU371" s="265" t="s">
        <v>89</v>
      </c>
    </row>
    <row r="372" spans="1:65" s="785" customFormat="1" ht="14.25" customHeight="1">
      <c r="A372" s="794">
        <v>370</v>
      </c>
      <c r="B372" s="902" t="s">
        <v>121</v>
      </c>
      <c r="C372" s="789" t="s">
        <v>1261</v>
      </c>
      <c r="D372" s="840">
        <v>39569</v>
      </c>
      <c r="E372" s="840">
        <v>40787</v>
      </c>
      <c r="F372" s="857">
        <v>2008</v>
      </c>
      <c r="G372" s="789" t="s">
        <v>1438</v>
      </c>
      <c r="H372" s="800" t="s">
        <v>1454</v>
      </c>
      <c r="I372" s="817" t="s">
        <v>1439</v>
      </c>
      <c r="J372" s="812" t="s">
        <v>2438</v>
      </c>
      <c r="K372" s="817">
        <v>1000000</v>
      </c>
      <c r="L372" s="817">
        <v>152857778</v>
      </c>
      <c r="M372" s="817">
        <v>150452383</v>
      </c>
      <c r="N372" s="817">
        <v>128785707</v>
      </c>
      <c r="O372" s="808">
        <f t="shared" si="26"/>
        <v>128.785707</v>
      </c>
      <c r="P372" s="817">
        <v>98</v>
      </c>
      <c r="Q372" s="817">
        <v>13875</v>
      </c>
      <c r="R372" s="817"/>
      <c r="S372" s="817">
        <v>13875</v>
      </c>
      <c r="T372" s="817"/>
      <c r="U372" s="817"/>
      <c r="V372" s="817">
        <f>4202*5</f>
        <v>21010</v>
      </c>
      <c r="W372" s="817">
        <v>3416337</v>
      </c>
      <c r="X372" s="817">
        <v>2025486</v>
      </c>
      <c r="Y372" s="808">
        <f>X372/S372</f>
        <v>145.98097297297298</v>
      </c>
      <c r="Z372" s="817">
        <v>230000</v>
      </c>
      <c r="AA372" s="817"/>
      <c r="AB372" s="817">
        <v>80</v>
      </c>
      <c r="AC372" s="817">
        <v>1130</v>
      </c>
      <c r="AD372" s="817"/>
      <c r="AE372" s="817"/>
      <c r="AF372" s="817"/>
      <c r="AG372" s="817"/>
      <c r="AH372" s="817">
        <v>23000</v>
      </c>
      <c r="AI372" s="817"/>
      <c r="AJ372" s="787">
        <f t="shared" si="25"/>
        <v>253000</v>
      </c>
      <c r="AK372" s="817">
        <v>598581</v>
      </c>
      <c r="AL372" s="817">
        <v>7355</v>
      </c>
      <c r="AM372" s="817"/>
      <c r="AN372" s="817">
        <v>2</v>
      </c>
      <c r="AO372" s="817">
        <v>1</v>
      </c>
      <c r="AP372" s="817"/>
      <c r="AQ372" s="817"/>
      <c r="AR372" s="817"/>
      <c r="AS372" s="817"/>
      <c r="AT372" s="817"/>
      <c r="AU372" s="363" t="s">
        <v>1440</v>
      </c>
      <c r="AV372" s="789"/>
      <c r="AW372" s="789"/>
      <c r="AX372" s="789"/>
      <c r="AY372" s="789"/>
      <c r="AZ372" s="789"/>
      <c r="BA372" s="789"/>
      <c r="BB372" s="789"/>
      <c r="BC372" s="789"/>
      <c r="BD372" s="789"/>
      <c r="BE372" s="789"/>
      <c r="BF372" s="789"/>
      <c r="BG372" s="789"/>
      <c r="BH372" s="789"/>
      <c r="BI372" s="789"/>
      <c r="BJ372" s="789"/>
      <c r="BK372" s="789"/>
      <c r="BL372" s="789"/>
    </row>
    <row r="373" spans="1:65" s="785" customFormat="1" ht="18.75" customHeight="1">
      <c r="A373" s="794">
        <v>371</v>
      </c>
      <c r="B373" s="857" t="s">
        <v>964</v>
      </c>
      <c r="C373" s="857" t="s">
        <v>1299</v>
      </c>
      <c r="D373" s="840">
        <v>39783</v>
      </c>
      <c r="E373" s="840">
        <v>40238</v>
      </c>
      <c r="F373" s="857">
        <v>2008</v>
      </c>
      <c r="G373" s="857" t="s">
        <v>168</v>
      </c>
      <c r="H373" s="800" t="s">
        <v>1449</v>
      </c>
      <c r="I373" s="857" t="s">
        <v>965</v>
      </c>
      <c r="J373" s="812" t="s">
        <v>2438</v>
      </c>
      <c r="K373" s="817">
        <v>1500000</v>
      </c>
      <c r="L373" s="817">
        <v>6345380</v>
      </c>
      <c r="M373" s="817">
        <v>2384396</v>
      </c>
      <c r="N373" s="817">
        <v>3021989</v>
      </c>
      <c r="O373" s="808">
        <f t="shared" si="26"/>
        <v>2.0146593333333334</v>
      </c>
      <c r="P373" s="817">
        <v>48</v>
      </c>
      <c r="Q373" s="817">
        <v>55000</v>
      </c>
      <c r="R373" s="817"/>
      <c r="S373" s="817">
        <v>55000</v>
      </c>
      <c r="T373" s="817"/>
      <c r="U373" s="817"/>
      <c r="V373" s="817">
        <v>250000</v>
      </c>
      <c r="W373" s="817">
        <v>1352650</v>
      </c>
      <c r="X373" s="817">
        <v>338936</v>
      </c>
      <c r="Y373" s="808">
        <f>X373/S373</f>
        <v>6.1624727272727275</v>
      </c>
      <c r="Z373" s="817"/>
      <c r="AA373" s="817">
        <v>250000</v>
      </c>
      <c r="AB373" s="817">
        <v>1170</v>
      </c>
      <c r="AC373" s="817"/>
      <c r="AD373" s="817"/>
      <c r="AE373" s="817"/>
      <c r="AF373" s="817"/>
      <c r="AG373" s="817"/>
      <c r="AH373" s="817"/>
      <c r="AI373" s="817"/>
      <c r="AJ373" s="787">
        <f t="shared" si="25"/>
        <v>250000</v>
      </c>
      <c r="AK373" s="817">
        <v>74761</v>
      </c>
      <c r="AL373" s="817">
        <v>119266</v>
      </c>
      <c r="AM373" s="817"/>
      <c r="AN373" s="817">
        <v>1</v>
      </c>
      <c r="AO373" s="817">
        <v>2</v>
      </c>
      <c r="AP373" s="817">
        <v>1</v>
      </c>
      <c r="AQ373" s="817"/>
      <c r="AR373" s="817">
        <v>3</v>
      </c>
      <c r="AS373" s="817"/>
      <c r="AT373" s="817"/>
      <c r="AU373" s="320" t="s">
        <v>966</v>
      </c>
      <c r="AV373" s="857"/>
      <c r="AW373" s="857"/>
      <c r="AX373" s="857"/>
      <c r="AY373" s="857"/>
      <c r="AZ373" s="857"/>
      <c r="BA373" s="857"/>
      <c r="BB373" s="857"/>
      <c r="BC373" s="857"/>
      <c r="BD373" s="857"/>
      <c r="BE373" s="857"/>
      <c r="BF373" s="857"/>
      <c r="BG373" s="857"/>
      <c r="BH373" s="857"/>
      <c r="BI373" s="857"/>
      <c r="BJ373" s="857"/>
      <c r="BK373" s="857"/>
      <c r="BL373" s="857"/>
      <c r="BM373" s="857"/>
    </row>
    <row r="374" spans="1:65" s="785" customFormat="1" ht="14.25" customHeight="1">
      <c r="A374" s="794">
        <v>372</v>
      </c>
      <c r="B374" s="789" t="s">
        <v>477</v>
      </c>
      <c r="C374" s="789" t="s">
        <v>1299</v>
      </c>
      <c r="D374" s="840">
        <v>39479</v>
      </c>
      <c r="E374" s="840">
        <v>39753</v>
      </c>
      <c r="F374" s="857">
        <v>2008</v>
      </c>
      <c r="G374" s="789" t="s">
        <v>569</v>
      </c>
      <c r="H374" s="800" t="s">
        <v>1449</v>
      </c>
      <c r="I374" s="789" t="s">
        <v>841</v>
      </c>
      <c r="J374" s="800" t="s">
        <v>2331</v>
      </c>
      <c r="K374" s="817">
        <v>1800000</v>
      </c>
      <c r="L374" s="817">
        <v>50000</v>
      </c>
      <c r="M374" s="817">
        <v>42874</v>
      </c>
      <c r="N374" s="817">
        <v>42874</v>
      </c>
      <c r="O374" s="808">
        <f t="shared" si="26"/>
        <v>2.3818888888888889E-2</v>
      </c>
      <c r="P374" s="817">
        <v>86</v>
      </c>
      <c r="Q374" s="817" t="s">
        <v>75</v>
      </c>
      <c r="R374" s="817" t="s">
        <v>75</v>
      </c>
      <c r="S374" s="817" t="s">
        <v>75</v>
      </c>
      <c r="T374" s="817" t="s">
        <v>849</v>
      </c>
      <c r="U374" s="817" t="s">
        <v>75</v>
      </c>
      <c r="V374" s="842" t="s">
        <v>339</v>
      </c>
      <c r="W374" s="817" t="s">
        <v>75</v>
      </c>
      <c r="X374" s="817" t="s">
        <v>75</v>
      </c>
      <c r="Y374" s="817"/>
      <c r="Z374" s="817" t="s">
        <v>75</v>
      </c>
      <c r="AA374" s="817" t="s">
        <v>94</v>
      </c>
      <c r="AB374" s="817">
        <v>300</v>
      </c>
      <c r="AC374" s="817" t="s">
        <v>75</v>
      </c>
      <c r="AD374" s="817" t="s">
        <v>75</v>
      </c>
      <c r="AE374" s="817" t="s">
        <v>75</v>
      </c>
      <c r="AF374" s="817" t="s">
        <v>75</v>
      </c>
      <c r="AG374" s="817" t="s">
        <v>75</v>
      </c>
      <c r="AH374" s="817" t="s">
        <v>75</v>
      </c>
      <c r="AI374" s="817" t="s">
        <v>75</v>
      </c>
      <c r="AJ374" s="787">
        <f t="shared" si="25"/>
        <v>0</v>
      </c>
      <c r="AK374" s="817" t="s">
        <v>75</v>
      </c>
      <c r="AL374" s="817" t="s">
        <v>75</v>
      </c>
      <c r="AM374" s="817"/>
      <c r="AN374" s="817" t="s">
        <v>75</v>
      </c>
      <c r="AO374" s="817" t="s">
        <v>75</v>
      </c>
      <c r="AP374" s="817" t="s">
        <v>75</v>
      </c>
      <c r="AQ374" s="817" t="s">
        <v>75</v>
      </c>
      <c r="AR374" s="817" t="s">
        <v>75</v>
      </c>
      <c r="AS374" s="817" t="s">
        <v>75</v>
      </c>
      <c r="AT374" s="817" t="s">
        <v>94</v>
      </c>
      <c r="AU374" s="359" t="s">
        <v>840</v>
      </c>
      <c r="AV374" s="789"/>
      <c r="AW374" s="789"/>
      <c r="AX374" s="789"/>
      <c r="AY374" s="789"/>
      <c r="AZ374" s="789"/>
      <c r="BA374" s="789"/>
      <c r="BB374" s="789"/>
      <c r="BC374" s="789"/>
      <c r="BD374" s="789"/>
      <c r="BE374" s="789"/>
      <c r="BF374" s="789"/>
      <c r="BG374" s="789"/>
      <c r="BH374" s="789"/>
      <c r="BI374" s="789"/>
      <c r="BJ374" s="789"/>
      <c r="BK374" s="789"/>
      <c r="BL374" s="789"/>
      <c r="BM374" s="789"/>
    </row>
    <row r="375" spans="1:65" s="785" customFormat="1" ht="15" customHeight="1">
      <c r="A375" s="794">
        <v>373</v>
      </c>
      <c r="B375" s="901" t="s">
        <v>2371</v>
      </c>
      <c r="C375" s="789" t="s">
        <v>1299</v>
      </c>
      <c r="D375" s="840">
        <v>39722</v>
      </c>
      <c r="E375" s="840">
        <v>41609</v>
      </c>
      <c r="F375" s="857">
        <v>2008</v>
      </c>
      <c r="G375" s="789" t="s">
        <v>1497</v>
      </c>
      <c r="H375" s="800" t="s">
        <v>1452</v>
      </c>
      <c r="I375" s="817" t="s">
        <v>1498</v>
      </c>
      <c r="J375" s="812" t="s">
        <v>2438</v>
      </c>
      <c r="K375" s="817">
        <v>2200000</v>
      </c>
      <c r="L375" s="817">
        <v>75760326</v>
      </c>
      <c r="M375" s="817">
        <v>12643303</v>
      </c>
      <c r="N375" s="817">
        <v>11786531</v>
      </c>
      <c r="O375" s="808">
        <f t="shared" si="26"/>
        <v>5.357514090909091</v>
      </c>
      <c r="P375" s="817">
        <v>17</v>
      </c>
      <c r="Q375" s="817">
        <v>3300</v>
      </c>
      <c r="R375" s="817">
        <v>1900</v>
      </c>
      <c r="S375" s="817">
        <v>3300</v>
      </c>
      <c r="T375" s="817"/>
      <c r="U375" s="817"/>
      <c r="V375" s="817"/>
      <c r="W375" s="817">
        <v>2889221</v>
      </c>
      <c r="X375" s="817">
        <v>66019</v>
      </c>
      <c r="Y375" s="808">
        <f>X375/S375</f>
        <v>20.005757575757574</v>
      </c>
      <c r="Z375" s="817"/>
      <c r="AA375" s="817">
        <v>21736</v>
      </c>
      <c r="AB375" s="817">
        <v>250</v>
      </c>
      <c r="AC375" s="817"/>
      <c r="AD375" s="817"/>
      <c r="AE375" s="817"/>
      <c r="AF375" s="817"/>
      <c r="AG375" s="817"/>
      <c r="AH375" s="817">
        <v>26922</v>
      </c>
      <c r="AI375" s="817"/>
      <c r="AJ375" s="787">
        <f t="shared" si="25"/>
        <v>48658</v>
      </c>
      <c r="AK375" s="817">
        <v>1506490</v>
      </c>
      <c r="AL375" s="817">
        <v>18884</v>
      </c>
      <c r="AM375" s="817"/>
      <c r="AN375" s="817"/>
      <c r="AO375" s="817"/>
      <c r="AP375" s="817"/>
      <c r="AQ375" s="817"/>
      <c r="AR375" s="817"/>
      <c r="AS375" s="817"/>
      <c r="AT375" s="817"/>
      <c r="AU375" s="363" t="s">
        <v>1499</v>
      </c>
      <c r="AV375" s="789"/>
      <c r="AW375" s="789"/>
      <c r="AX375" s="789"/>
      <c r="AY375" s="789"/>
      <c r="AZ375" s="789"/>
      <c r="BA375" s="789"/>
      <c r="BB375" s="789"/>
      <c r="BC375" s="789"/>
      <c r="BD375" s="789"/>
      <c r="BE375" s="789"/>
      <c r="BF375" s="789"/>
      <c r="BG375" s="789"/>
      <c r="BH375" s="789"/>
      <c r="BI375" s="789"/>
      <c r="BJ375" s="789"/>
      <c r="BK375" s="789"/>
      <c r="BL375" s="789"/>
    </row>
    <row r="376" spans="1:65" s="785" customFormat="1" ht="16.5" customHeight="1">
      <c r="A376" s="794">
        <v>374</v>
      </c>
      <c r="B376" s="789" t="s">
        <v>119</v>
      </c>
      <c r="C376" s="789" t="s">
        <v>1299</v>
      </c>
      <c r="D376" s="840">
        <v>39448</v>
      </c>
      <c r="E376" s="840">
        <v>39692</v>
      </c>
      <c r="F376" s="857">
        <v>2008</v>
      </c>
      <c r="G376" s="789" t="s">
        <v>569</v>
      </c>
      <c r="H376" s="800" t="s">
        <v>1449</v>
      </c>
      <c r="I376" s="789" t="s">
        <v>814</v>
      </c>
      <c r="J376" s="800" t="s">
        <v>2331</v>
      </c>
      <c r="K376" s="817">
        <v>2260800</v>
      </c>
      <c r="L376" s="817">
        <v>95000</v>
      </c>
      <c r="M376" s="817">
        <v>89847</v>
      </c>
      <c r="N376" s="817">
        <v>89847</v>
      </c>
      <c r="O376" s="808">
        <f t="shared" si="26"/>
        <v>3.9741242038216558E-2</v>
      </c>
      <c r="P376" s="817">
        <v>95</v>
      </c>
      <c r="Q376" s="817" t="s">
        <v>75</v>
      </c>
      <c r="R376" s="817" t="s">
        <v>75</v>
      </c>
      <c r="S376" s="817" t="s">
        <v>75</v>
      </c>
      <c r="T376" s="817" t="s">
        <v>849</v>
      </c>
      <c r="U376" s="817" t="s">
        <v>75</v>
      </c>
      <c r="V376" s="817">
        <v>1200000</v>
      </c>
      <c r="W376" s="817" t="s">
        <v>75</v>
      </c>
      <c r="X376" s="817" t="s">
        <v>75</v>
      </c>
      <c r="Y376" s="817"/>
      <c r="Z376" s="817" t="s">
        <v>75</v>
      </c>
      <c r="AA376" s="817">
        <v>2260800</v>
      </c>
      <c r="AB376" s="817">
        <v>1625</v>
      </c>
      <c r="AC376" s="817" t="s">
        <v>75</v>
      </c>
      <c r="AD376" s="817" t="s">
        <v>75</v>
      </c>
      <c r="AE376" s="817" t="s">
        <v>75</v>
      </c>
      <c r="AF376" s="817" t="s">
        <v>75</v>
      </c>
      <c r="AG376" s="817" t="s">
        <v>75</v>
      </c>
      <c r="AH376" s="817" t="s">
        <v>75</v>
      </c>
      <c r="AI376" s="817" t="s">
        <v>75</v>
      </c>
      <c r="AJ376" s="787">
        <f t="shared" si="25"/>
        <v>2260800</v>
      </c>
      <c r="AK376" s="817" t="s">
        <v>75</v>
      </c>
      <c r="AL376" s="817" t="s">
        <v>75</v>
      </c>
      <c r="AM376" s="817"/>
      <c r="AN376" s="817" t="s">
        <v>75</v>
      </c>
      <c r="AO376" s="817" t="s">
        <v>75</v>
      </c>
      <c r="AP376" s="817" t="s">
        <v>75</v>
      </c>
      <c r="AQ376" s="817" t="s">
        <v>75</v>
      </c>
      <c r="AR376" s="817" t="s">
        <v>75</v>
      </c>
      <c r="AS376" s="817" t="s">
        <v>75</v>
      </c>
      <c r="AT376" s="817" t="s">
        <v>75</v>
      </c>
      <c r="AU376" s="966" t="s">
        <v>813</v>
      </c>
      <c r="AV376" s="789"/>
      <c r="AW376" s="789"/>
      <c r="AX376" s="789"/>
      <c r="AY376" s="789"/>
      <c r="AZ376" s="789"/>
      <c r="BA376" s="789"/>
      <c r="BB376" s="789"/>
      <c r="BC376" s="789"/>
      <c r="BD376" s="789"/>
      <c r="BE376" s="789"/>
      <c r="BF376" s="789"/>
      <c r="BG376" s="789"/>
      <c r="BH376" s="789"/>
      <c r="BI376" s="789"/>
      <c r="BJ376" s="789"/>
      <c r="BK376" s="789"/>
      <c r="BL376" s="789"/>
      <c r="BM376" s="789"/>
    </row>
    <row r="377" spans="1:65" s="785" customFormat="1" ht="15.75" customHeight="1">
      <c r="A377" s="794">
        <v>375</v>
      </c>
      <c r="B377" s="785" t="s">
        <v>119</v>
      </c>
      <c r="C377" s="785" t="s">
        <v>1299</v>
      </c>
      <c r="D377" s="792">
        <v>39753</v>
      </c>
      <c r="E377" s="792">
        <v>39904</v>
      </c>
      <c r="F377" s="857">
        <v>2008</v>
      </c>
      <c r="G377" s="789" t="s">
        <v>626</v>
      </c>
      <c r="H377" s="800" t="s">
        <v>1449</v>
      </c>
      <c r="I377" s="785" t="s">
        <v>625</v>
      </c>
      <c r="J377" s="800" t="s">
        <v>2331</v>
      </c>
      <c r="K377" s="842">
        <v>8000000</v>
      </c>
      <c r="L377" s="842">
        <v>65618</v>
      </c>
      <c r="M377" s="842">
        <v>64153</v>
      </c>
      <c r="N377" s="842">
        <v>64153</v>
      </c>
      <c r="O377" s="808">
        <f t="shared" si="26"/>
        <v>8.0191250000000002E-3</v>
      </c>
      <c r="P377" s="842">
        <v>98</v>
      </c>
      <c r="Q377" s="842" t="s">
        <v>75</v>
      </c>
      <c r="R377" s="842" t="s">
        <v>75</v>
      </c>
      <c r="S377" s="842" t="s">
        <v>75</v>
      </c>
      <c r="T377" s="842" t="s">
        <v>95</v>
      </c>
      <c r="U377" s="842" t="s">
        <v>75</v>
      </c>
      <c r="V377" s="842" t="s">
        <v>75</v>
      </c>
      <c r="W377" s="842" t="s">
        <v>75</v>
      </c>
      <c r="X377" s="842" t="s">
        <v>75</v>
      </c>
      <c r="Y377" s="842"/>
      <c r="Z377" s="842" t="s">
        <v>75</v>
      </c>
      <c r="AA377" s="842">
        <v>1200000</v>
      </c>
      <c r="AB377" s="842">
        <v>800</v>
      </c>
      <c r="AC377" s="842" t="s">
        <v>75</v>
      </c>
      <c r="AD377" s="842" t="s">
        <v>75</v>
      </c>
      <c r="AE377" s="842" t="s">
        <v>75</v>
      </c>
      <c r="AF377" s="842" t="s">
        <v>75</v>
      </c>
      <c r="AG377" s="842" t="s">
        <v>75</v>
      </c>
      <c r="AH377" s="842" t="s">
        <v>75</v>
      </c>
      <c r="AI377" s="842" t="s">
        <v>75</v>
      </c>
      <c r="AJ377" s="787">
        <f t="shared" si="25"/>
        <v>1200000</v>
      </c>
      <c r="AK377" s="842" t="s">
        <v>75</v>
      </c>
      <c r="AL377" s="842" t="s">
        <v>75</v>
      </c>
      <c r="AM377" s="842"/>
      <c r="AN377" s="842" t="s">
        <v>75</v>
      </c>
      <c r="AO377" s="842" t="s">
        <v>75</v>
      </c>
      <c r="AP377" s="842" t="s">
        <v>75</v>
      </c>
      <c r="AQ377" s="842" t="s">
        <v>75</v>
      </c>
      <c r="AR377" s="842" t="s">
        <v>75</v>
      </c>
      <c r="AS377" s="842" t="s">
        <v>75</v>
      </c>
      <c r="AT377" s="842" t="s">
        <v>75</v>
      </c>
      <c r="AU377" s="276" t="s">
        <v>624</v>
      </c>
    </row>
    <row r="378" spans="1:65" s="900" customFormat="1" ht="15.75" customHeight="1">
      <c r="A378" s="794">
        <v>376</v>
      </c>
      <c r="B378" s="789" t="s">
        <v>374</v>
      </c>
      <c r="C378" s="836" t="s">
        <v>1278</v>
      </c>
      <c r="D378" s="840">
        <v>39569</v>
      </c>
      <c r="E378" s="840">
        <v>39630</v>
      </c>
      <c r="F378" s="857">
        <v>2008</v>
      </c>
      <c r="G378" s="789" t="s">
        <v>829</v>
      </c>
      <c r="H378" s="841" t="s">
        <v>1452</v>
      </c>
      <c r="I378" s="789" t="s">
        <v>828</v>
      </c>
      <c r="J378" s="800" t="s">
        <v>2331</v>
      </c>
      <c r="K378" s="817"/>
      <c r="L378" s="817">
        <v>70000</v>
      </c>
      <c r="M378" s="817">
        <v>70000</v>
      </c>
      <c r="N378" s="817">
        <v>70000</v>
      </c>
      <c r="O378" s="808"/>
      <c r="P378" s="817">
        <v>100</v>
      </c>
      <c r="Q378" s="817" t="s">
        <v>75</v>
      </c>
      <c r="R378" s="817" t="s">
        <v>75</v>
      </c>
      <c r="S378" s="817" t="s">
        <v>75</v>
      </c>
      <c r="T378" s="817" t="s">
        <v>849</v>
      </c>
      <c r="U378" s="817" t="s">
        <v>75</v>
      </c>
      <c r="V378" s="817" t="s">
        <v>75</v>
      </c>
      <c r="W378" s="817" t="s">
        <v>75</v>
      </c>
      <c r="X378" s="817" t="s">
        <v>75</v>
      </c>
      <c r="Y378" s="817"/>
      <c r="Z378" s="817" t="s">
        <v>75</v>
      </c>
      <c r="AA378" s="817" t="s">
        <v>75</v>
      </c>
      <c r="AB378" s="817">
        <v>450</v>
      </c>
      <c r="AC378" s="817" t="s">
        <v>75</v>
      </c>
      <c r="AD378" s="817" t="s">
        <v>75</v>
      </c>
      <c r="AE378" s="817" t="s">
        <v>75</v>
      </c>
      <c r="AF378" s="817" t="s">
        <v>75</v>
      </c>
      <c r="AG378" s="817" t="s">
        <v>75</v>
      </c>
      <c r="AH378" s="817" t="s">
        <v>75</v>
      </c>
      <c r="AI378" s="817" t="s">
        <v>75</v>
      </c>
      <c r="AJ378" s="787">
        <f t="shared" si="25"/>
        <v>0</v>
      </c>
      <c r="AK378" s="817" t="s">
        <v>75</v>
      </c>
      <c r="AL378" s="817" t="s">
        <v>75</v>
      </c>
      <c r="AM378" s="817"/>
      <c r="AN378" s="817" t="s">
        <v>75</v>
      </c>
      <c r="AO378" s="817" t="s">
        <v>75</v>
      </c>
      <c r="AP378" s="817" t="s">
        <v>75</v>
      </c>
      <c r="AQ378" s="817" t="s">
        <v>75</v>
      </c>
      <c r="AR378" s="817" t="s">
        <v>75</v>
      </c>
      <c r="AS378" s="817" t="s">
        <v>75</v>
      </c>
      <c r="AT378" s="817" t="s">
        <v>75</v>
      </c>
      <c r="AU378" s="363" t="s">
        <v>827</v>
      </c>
      <c r="AV378" s="845"/>
      <c r="AW378" s="845"/>
      <c r="AX378" s="845"/>
      <c r="AY378" s="845"/>
      <c r="AZ378" s="845"/>
      <c r="BA378" s="845"/>
      <c r="BB378" s="845"/>
      <c r="BC378" s="845"/>
      <c r="BD378" s="845"/>
      <c r="BE378" s="845"/>
      <c r="BF378" s="845"/>
      <c r="BG378" s="845"/>
      <c r="BH378" s="845"/>
      <c r="BI378" s="845"/>
      <c r="BJ378" s="845"/>
      <c r="BK378" s="845"/>
      <c r="BL378" s="845"/>
      <c r="BM378" s="845"/>
    </row>
    <row r="379" spans="1:65" s="895" customFormat="1" ht="12.75" customHeight="1">
      <c r="A379" s="794">
        <v>377</v>
      </c>
      <c r="B379" s="812" t="s">
        <v>4</v>
      </c>
      <c r="C379" s="899" t="s">
        <v>1260</v>
      </c>
      <c r="D379" s="898">
        <v>39661</v>
      </c>
      <c r="E379" s="898">
        <v>39873</v>
      </c>
      <c r="F379" s="857">
        <v>2008</v>
      </c>
      <c r="G379" s="896" t="s">
        <v>1443</v>
      </c>
      <c r="H379" s="800" t="s">
        <v>1452</v>
      </c>
      <c r="I379" s="897" t="s">
        <v>1444</v>
      </c>
      <c r="J379" s="800" t="s">
        <v>2331</v>
      </c>
      <c r="K379" s="817"/>
      <c r="L379" s="817">
        <v>233690</v>
      </c>
      <c r="M379" s="817">
        <v>233690</v>
      </c>
      <c r="N379" s="817">
        <v>229312</v>
      </c>
      <c r="O379" s="808"/>
      <c r="P379" s="817">
        <v>100</v>
      </c>
      <c r="Q379" s="817"/>
      <c r="R379" s="817"/>
      <c r="S379" s="817"/>
      <c r="T379" s="817"/>
      <c r="U379" s="817"/>
      <c r="V379" s="817"/>
      <c r="W379" s="817" t="s">
        <v>66</v>
      </c>
      <c r="X379" s="817" t="s">
        <v>66</v>
      </c>
      <c r="Y379" s="817"/>
      <c r="Z379" s="817"/>
      <c r="AA379" s="817"/>
      <c r="AB379" s="817">
        <v>26</v>
      </c>
      <c r="AC379" s="817"/>
      <c r="AD379" s="817"/>
      <c r="AE379" s="817"/>
      <c r="AF379" s="817"/>
      <c r="AG379" s="817"/>
      <c r="AH379" s="817"/>
      <c r="AI379" s="817"/>
      <c r="AJ379" s="787">
        <f t="shared" si="25"/>
        <v>0</v>
      </c>
      <c r="AK379" s="817">
        <v>20000</v>
      </c>
      <c r="AL379" s="817">
        <v>21178</v>
      </c>
      <c r="AM379" s="897"/>
      <c r="AN379" s="897"/>
      <c r="AO379" s="897"/>
      <c r="AP379" s="897"/>
      <c r="AQ379" s="897">
        <v>1</v>
      </c>
      <c r="AR379" s="897"/>
      <c r="AS379" s="897"/>
      <c r="AT379" s="897" t="s">
        <v>94</v>
      </c>
      <c r="AU379" s="356" t="s">
        <v>1442</v>
      </c>
      <c r="AV379" s="896"/>
      <c r="AW379" s="896"/>
      <c r="AX379" s="896"/>
      <c r="AY379" s="896"/>
      <c r="AZ379" s="896"/>
      <c r="BA379" s="896"/>
      <c r="BB379" s="896"/>
      <c r="BC379" s="896"/>
      <c r="BD379" s="896"/>
      <c r="BE379" s="896"/>
      <c r="BF379" s="896"/>
      <c r="BG379" s="896"/>
      <c r="BH379" s="896"/>
      <c r="BI379" s="896"/>
      <c r="BJ379" s="896"/>
      <c r="BK379" s="896"/>
      <c r="BL379" s="896"/>
    </row>
    <row r="380" spans="1:65" s="820" customFormat="1" ht="15">
      <c r="A380" s="794">
        <v>378</v>
      </c>
      <c r="B380" s="820" t="s">
        <v>1739</v>
      </c>
      <c r="C380" s="820" t="s">
        <v>1286</v>
      </c>
      <c r="D380" s="893">
        <v>39448</v>
      </c>
      <c r="E380" s="893">
        <v>39783</v>
      </c>
      <c r="F380" s="857">
        <v>2008</v>
      </c>
      <c r="G380" s="820" t="s">
        <v>1740</v>
      </c>
      <c r="H380" s="820" t="s">
        <v>1450</v>
      </c>
      <c r="I380" s="820" t="s">
        <v>1741</v>
      </c>
      <c r="J380" s="800" t="s">
        <v>2331</v>
      </c>
      <c r="K380" s="808">
        <v>7500</v>
      </c>
      <c r="L380" s="808">
        <v>200001</v>
      </c>
      <c r="M380" s="808">
        <v>171818</v>
      </c>
      <c r="N380" s="808">
        <v>171818</v>
      </c>
      <c r="O380" s="808">
        <f t="shared" ref="O380:O411" si="27">N380/K380</f>
        <v>22.909066666666668</v>
      </c>
      <c r="P380" s="808">
        <v>86</v>
      </c>
      <c r="Q380" s="808">
        <v>833</v>
      </c>
      <c r="R380" s="808"/>
      <c r="S380" s="808">
        <v>833</v>
      </c>
      <c r="T380" s="808"/>
      <c r="U380" s="808"/>
      <c r="V380" s="808"/>
      <c r="W380" s="808"/>
      <c r="X380" s="808"/>
      <c r="Y380" s="808">
        <f>X380/S380</f>
        <v>0</v>
      </c>
      <c r="Z380" s="808"/>
      <c r="AA380" s="808"/>
      <c r="AB380" s="808"/>
      <c r="AC380" s="808"/>
      <c r="AD380" s="808"/>
      <c r="AE380" s="808"/>
      <c r="AF380" s="808"/>
      <c r="AG380" s="808"/>
      <c r="AH380" s="808"/>
      <c r="AI380" s="808"/>
      <c r="AJ380" s="808">
        <f t="shared" si="25"/>
        <v>0</v>
      </c>
      <c r="AK380" s="808"/>
      <c r="AL380" s="808"/>
      <c r="AM380" s="816"/>
      <c r="AN380" s="816"/>
      <c r="AO380" s="816"/>
      <c r="AP380" s="816"/>
      <c r="AQ380" s="816"/>
      <c r="AR380" s="816"/>
      <c r="AS380" s="816"/>
      <c r="AT380" s="816"/>
      <c r="AU380" s="258" t="s">
        <v>1801</v>
      </c>
    </row>
    <row r="381" spans="1:65" s="825" customFormat="1" ht="15">
      <c r="A381" s="794">
        <v>379</v>
      </c>
      <c r="B381" s="825" t="s">
        <v>1802</v>
      </c>
      <c r="C381" s="825" t="s">
        <v>1286</v>
      </c>
      <c r="D381" s="894">
        <v>39692</v>
      </c>
      <c r="E381" s="894">
        <v>40513</v>
      </c>
      <c r="F381" s="857">
        <v>2008</v>
      </c>
      <c r="G381" s="825" t="s">
        <v>5</v>
      </c>
      <c r="H381" s="825" t="s">
        <v>1451</v>
      </c>
      <c r="I381" s="825" t="s">
        <v>1803</v>
      </c>
      <c r="J381" s="812" t="s">
        <v>2438</v>
      </c>
      <c r="K381" s="787">
        <v>12500</v>
      </c>
      <c r="L381" s="787">
        <v>651961</v>
      </c>
      <c r="M381" s="787">
        <v>651555</v>
      </c>
      <c r="N381" s="787">
        <v>651555</v>
      </c>
      <c r="O381" s="808">
        <f t="shared" si="27"/>
        <v>52.124400000000001</v>
      </c>
      <c r="P381" s="787">
        <v>100</v>
      </c>
      <c r="Q381" s="787">
        <v>11500</v>
      </c>
      <c r="R381" s="787">
        <v>7500</v>
      </c>
      <c r="S381" s="787">
        <v>11500</v>
      </c>
      <c r="T381" s="787"/>
      <c r="U381" s="787">
        <v>50</v>
      </c>
      <c r="V381" s="787">
        <v>11500</v>
      </c>
      <c r="W381" s="808">
        <v>60707</v>
      </c>
      <c r="X381" s="808">
        <v>40624</v>
      </c>
      <c r="Y381" s="808">
        <f>X381/S381</f>
        <v>3.5325217391304347</v>
      </c>
      <c r="Z381" s="787"/>
      <c r="AA381" s="787"/>
      <c r="AB381" s="787"/>
      <c r="AC381" s="787"/>
      <c r="AD381" s="787"/>
      <c r="AE381" s="787">
        <v>3000</v>
      </c>
      <c r="AF381" s="787"/>
      <c r="AG381" s="787"/>
      <c r="AH381" s="808"/>
      <c r="AI381" s="787"/>
      <c r="AJ381" s="787">
        <f t="shared" si="25"/>
        <v>0</v>
      </c>
      <c r="AK381" s="808"/>
      <c r="AL381" s="808">
        <v>4427</v>
      </c>
      <c r="AM381" s="822"/>
      <c r="AN381" s="822"/>
      <c r="AO381" s="822"/>
      <c r="AP381" s="822"/>
      <c r="AQ381" s="822"/>
      <c r="AR381" s="822"/>
      <c r="AS381" s="822"/>
      <c r="AT381" s="816" t="s">
        <v>94</v>
      </c>
      <c r="AU381" s="376" t="s">
        <v>1804</v>
      </c>
    </row>
    <row r="382" spans="1:65" s="800" customFormat="1" ht="15">
      <c r="A382" s="794">
        <v>380</v>
      </c>
      <c r="B382" s="800" t="s">
        <v>1834</v>
      </c>
      <c r="C382" s="800" t="s">
        <v>1299</v>
      </c>
      <c r="D382" s="819">
        <v>39539</v>
      </c>
      <c r="E382" s="819">
        <v>39783</v>
      </c>
      <c r="F382" s="857">
        <v>2008</v>
      </c>
      <c r="G382" s="800" t="s">
        <v>79</v>
      </c>
      <c r="H382" s="800" t="s">
        <v>1451</v>
      </c>
      <c r="I382" s="800" t="s">
        <v>1835</v>
      </c>
      <c r="J382" s="800" t="s">
        <v>2331</v>
      </c>
      <c r="K382" s="808">
        <v>137092</v>
      </c>
      <c r="L382" s="808">
        <v>35760</v>
      </c>
      <c r="M382" s="808">
        <v>16737</v>
      </c>
      <c r="N382" s="808">
        <v>16737</v>
      </c>
      <c r="O382" s="808">
        <f t="shared" si="27"/>
        <v>0.12208589852070142</v>
      </c>
      <c r="P382" s="808">
        <v>47</v>
      </c>
      <c r="Q382" s="808"/>
      <c r="R382" s="808"/>
      <c r="S382" s="808"/>
      <c r="T382" s="808"/>
      <c r="U382" s="808"/>
      <c r="V382" s="808"/>
      <c r="W382" s="808"/>
      <c r="X382" s="808"/>
      <c r="Y382" s="808"/>
      <c r="Z382" s="808"/>
      <c r="AA382" s="808"/>
      <c r="AB382" s="808"/>
      <c r="AC382" s="808"/>
      <c r="AD382" s="808"/>
      <c r="AE382" s="808"/>
      <c r="AF382" s="808"/>
      <c r="AG382" s="808"/>
      <c r="AH382" s="808"/>
      <c r="AI382" s="808"/>
      <c r="AJ382" s="808">
        <f t="shared" si="25"/>
        <v>0</v>
      </c>
      <c r="AK382" s="808"/>
      <c r="AL382" s="808"/>
      <c r="AM382" s="808"/>
      <c r="AN382" s="808"/>
      <c r="AO382" s="808"/>
      <c r="AP382" s="808"/>
      <c r="AQ382" s="808"/>
      <c r="AR382" s="808"/>
      <c r="AS382" s="808"/>
      <c r="AT382" s="808"/>
      <c r="AU382" s="346" t="s">
        <v>1836</v>
      </c>
    </row>
    <row r="383" spans="1:65" s="820" customFormat="1" ht="15">
      <c r="A383" s="794">
        <v>381</v>
      </c>
      <c r="B383" s="820" t="s">
        <v>1837</v>
      </c>
      <c r="C383" s="820" t="s">
        <v>1286</v>
      </c>
      <c r="D383" s="893">
        <v>39722</v>
      </c>
      <c r="E383" s="893">
        <v>39934</v>
      </c>
      <c r="F383" s="857">
        <v>2008</v>
      </c>
      <c r="G383" s="820" t="s">
        <v>1838</v>
      </c>
      <c r="H383" s="820" t="s">
        <v>1451</v>
      </c>
      <c r="I383" s="820" t="s">
        <v>1839</v>
      </c>
      <c r="J383" s="800" t="s">
        <v>2331</v>
      </c>
      <c r="K383" s="808">
        <v>2500</v>
      </c>
      <c r="L383" s="808">
        <v>55000</v>
      </c>
      <c r="M383" s="808">
        <v>55314</v>
      </c>
      <c r="N383" s="808">
        <v>55314</v>
      </c>
      <c r="O383" s="808">
        <f t="shared" si="27"/>
        <v>22.125599999999999</v>
      </c>
      <c r="P383" s="808">
        <v>100</v>
      </c>
      <c r="Q383" s="808"/>
      <c r="R383" s="808"/>
      <c r="S383" s="808"/>
      <c r="T383" s="808"/>
      <c r="U383" s="808"/>
      <c r="V383" s="808"/>
      <c r="W383" s="808"/>
      <c r="X383" s="808"/>
      <c r="Y383" s="808"/>
      <c r="Z383" s="808"/>
      <c r="AA383" s="808"/>
      <c r="AB383" s="808"/>
      <c r="AC383" s="808"/>
      <c r="AD383" s="808"/>
      <c r="AE383" s="808"/>
      <c r="AF383" s="808"/>
      <c r="AG383" s="808"/>
      <c r="AH383" s="808"/>
      <c r="AI383" s="808"/>
      <c r="AJ383" s="808">
        <f t="shared" si="25"/>
        <v>0</v>
      </c>
      <c r="AK383" s="808"/>
      <c r="AL383" s="808"/>
      <c r="AM383" s="816"/>
      <c r="AN383" s="816"/>
      <c r="AO383" s="816"/>
      <c r="AP383" s="816"/>
      <c r="AQ383" s="816"/>
      <c r="AR383" s="816"/>
      <c r="AS383" s="816"/>
      <c r="AT383" s="816"/>
      <c r="AU383" s="258" t="s">
        <v>1840</v>
      </c>
    </row>
    <row r="384" spans="1:65" s="820" customFormat="1" ht="15">
      <c r="A384" s="794">
        <v>382</v>
      </c>
      <c r="B384" s="820" t="s">
        <v>1207</v>
      </c>
      <c r="C384" s="820" t="s">
        <v>1260</v>
      </c>
      <c r="D384" s="893">
        <v>39508</v>
      </c>
      <c r="E384" s="893">
        <v>39753</v>
      </c>
      <c r="F384" s="857">
        <v>2008</v>
      </c>
      <c r="G384" s="820" t="s">
        <v>989</v>
      </c>
      <c r="H384" s="800" t="s">
        <v>1452</v>
      </c>
      <c r="I384" s="820" t="s">
        <v>1841</v>
      </c>
      <c r="J384" s="800" t="s">
        <v>2331</v>
      </c>
      <c r="K384" s="808">
        <v>4084</v>
      </c>
      <c r="L384" s="808">
        <v>248294</v>
      </c>
      <c r="M384" s="808">
        <v>246123</v>
      </c>
      <c r="N384" s="808">
        <v>246123</v>
      </c>
      <c r="O384" s="808">
        <f t="shared" si="27"/>
        <v>60.265181194906951</v>
      </c>
      <c r="P384" s="808">
        <v>100</v>
      </c>
      <c r="Q384" s="808"/>
      <c r="R384" s="808"/>
      <c r="S384" s="808"/>
      <c r="T384" s="808"/>
      <c r="U384" s="808"/>
      <c r="V384" s="808"/>
      <c r="W384" s="808"/>
      <c r="X384" s="808"/>
      <c r="Y384" s="808"/>
      <c r="Z384" s="808"/>
      <c r="AA384" s="808"/>
      <c r="AB384" s="808"/>
      <c r="AC384" s="808"/>
      <c r="AD384" s="808"/>
      <c r="AE384" s="808"/>
      <c r="AF384" s="808"/>
      <c r="AG384" s="808"/>
      <c r="AH384" s="808"/>
      <c r="AI384" s="808"/>
      <c r="AJ384" s="808">
        <f t="shared" si="25"/>
        <v>0</v>
      </c>
      <c r="AK384" s="808"/>
      <c r="AL384" s="808"/>
      <c r="AM384" s="816"/>
      <c r="AN384" s="816"/>
      <c r="AO384" s="816"/>
      <c r="AP384" s="816"/>
      <c r="AQ384" s="816"/>
      <c r="AR384" s="816"/>
      <c r="AS384" s="816"/>
      <c r="AT384" s="816"/>
      <c r="AU384" s="258" t="s">
        <v>1842</v>
      </c>
    </row>
    <row r="385" spans="1:47" s="820" customFormat="1" ht="15">
      <c r="A385" s="794">
        <v>383</v>
      </c>
      <c r="B385" s="820" t="s">
        <v>1213</v>
      </c>
      <c r="C385" s="825" t="s">
        <v>1286</v>
      </c>
      <c r="D385" s="893">
        <v>39508</v>
      </c>
      <c r="E385" s="893">
        <v>39934</v>
      </c>
      <c r="F385" s="857">
        <v>2008</v>
      </c>
      <c r="G385" s="820" t="s">
        <v>5</v>
      </c>
      <c r="H385" s="820" t="s">
        <v>1451</v>
      </c>
      <c r="I385" s="820" t="s">
        <v>1805</v>
      </c>
      <c r="J385" s="800" t="s">
        <v>2331</v>
      </c>
      <c r="K385" s="808">
        <v>2200</v>
      </c>
      <c r="L385" s="808">
        <v>127836</v>
      </c>
      <c r="M385" s="808">
        <v>127634</v>
      </c>
      <c r="N385" s="808">
        <v>127634</v>
      </c>
      <c r="O385" s="808">
        <f t="shared" si="27"/>
        <v>58.015454545454546</v>
      </c>
      <c r="P385" s="808">
        <v>100</v>
      </c>
      <c r="Q385" s="808"/>
      <c r="R385" s="808"/>
      <c r="S385" s="808"/>
      <c r="T385" s="808"/>
      <c r="U385" s="808"/>
      <c r="V385" s="808"/>
      <c r="W385" s="808"/>
      <c r="X385" s="808"/>
      <c r="Y385" s="808"/>
      <c r="Z385" s="808">
        <v>635</v>
      </c>
      <c r="AA385" s="808">
        <v>450</v>
      </c>
      <c r="AB385" s="808"/>
      <c r="AC385" s="808"/>
      <c r="AD385" s="808"/>
      <c r="AE385" s="808"/>
      <c r="AF385" s="808"/>
      <c r="AG385" s="808"/>
      <c r="AH385" s="808"/>
      <c r="AI385" s="808"/>
      <c r="AJ385" s="787">
        <f t="shared" si="25"/>
        <v>1085</v>
      </c>
      <c r="AK385" s="808"/>
      <c r="AL385" s="808">
        <v>2279</v>
      </c>
      <c r="AM385" s="816"/>
      <c r="AN385" s="816"/>
      <c r="AO385" s="816"/>
      <c r="AP385" s="816"/>
      <c r="AQ385" s="816"/>
      <c r="AR385" s="816"/>
      <c r="AS385" s="816"/>
      <c r="AT385" s="816"/>
      <c r="AU385" s="258" t="s">
        <v>1806</v>
      </c>
    </row>
    <row r="386" spans="1:47" s="820" customFormat="1" ht="15">
      <c r="A386" s="794">
        <v>384</v>
      </c>
      <c r="B386" s="820" t="s">
        <v>515</v>
      </c>
      <c r="C386" s="820" t="s">
        <v>1299</v>
      </c>
      <c r="D386" s="893">
        <v>39722</v>
      </c>
      <c r="E386" s="893">
        <v>39995</v>
      </c>
      <c r="F386" s="857">
        <v>2008</v>
      </c>
      <c r="G386" s="820" t="s">
        <v>5</v>
      </c>
      <c r="H386" s="820" t="s">
        <v>1451</v>
      </c>
      <c r="I386" s="820" t="s">
        <v>1843</v>
      </c>
      <c r="J386" s="800" t="s">
        <v>2331</v>
      </c>
      <c r="K386" s="808">
        <v>2770</v>
      </c>
      <c r="L386" s="808">
        <v>146222</v>
      </c>
      <c r="M386" s="808">
        <v>146238</v>
      </c>
      <c r="N386" s="808">
        <v>146238</v>
      </c>
      <c r="O386" s="808">
        <f t="shared" si="27"/>
        <v>52.793501805054149</v>
      </c>
      <c r="P386" s="808">
        <v>100</v>
      </c>
      <c r="Q386" s="808"/>
      <c r="R386" s="808"/>
      <c r="S386" s="808"/>
      <c r="T386" s="808"/>
      <c r="U386" s="808"/>
      <c r="V386" s="808"/>
      <c r="W386" s="808">
        <v>9770</v>
      </c>
      <c r="X386" s="808">
        <v>9770</v>
      </c>
      <c r="Y386" s="808"/>
      <c r="Z386" s="808"/>
      <c r="AA386" s="808">
        <v>3465</v>
      </c>
      <c r="AB386" s="808"/>
      <c r="AC386" s="808"/>
      <c r="AD386" s="808"/>
      <c r="AE386" s="808">
        <v>693</v>
      </c>
      <c r="AF386" s="808"/>
      <c r="AG386" s="808"/>
      <c r="AH386" s="808"/>
      <c r="AI386" s="808"/>
      <c r="AJ386" s="787">
        <f t="shared" si="25"/>
        <v>3465</v>
      </c>
      <c r="AK386" s="808"/>
      <c r="AL386" s="808"/>
      <c r="AM386" s="816"/>
      <c r="AN386" s="816"/>
      <c r="AO386" s="816"/>
      <c r="AP386" s="816"/>
      <c r="AQ386" s="816"/>
      <c r="AR386" s="816"/>
      <c r="AS386" s="816"/>
      <c r="AT386" s="816"/>
      <c r="AU386" s="258" t="s">
        <v>1844</v>
      </c>
    </row>
    <row r="387" spans="1:47" s="820" customFormat="1" ht="15">
      <c r="A387" s="794">
        <v>385</v>
      </c>
      <c r="B387" s="820" t="s">
        <v>547</v>
      </c>
      <c r="C387" s="820" t="s">
        <v>1286</v>
      </c>
      <c r="D387" s="893">
        <v>39448</v>
      </c>
      <c r="E387" s="893">
        <v>39783</v>
      </c>
      <c r="F387" s="857">
        <v>2008</v>
      </c>
      <c r="G387" s="820" t="s">
        <v>5</v>
      </c>
      <c r="H387" s="820" t="s">
        <v>1451</v>
      </c>
      <c r="I387" s="820" t="s">
        <v>1845</v>
      </c>
      <c r="J387" s="800" t="s">
        <v>2331</v>
      </c>
      <c r="K387" s="808">
        <v>6500</v>
      </c>
      <c r="L387" s="808">
        <v>125000</v>
      </c>
      <c r="M387" s="808">
        <v>117011</v>
      </c>
      <c r="N387" s="808">
        <v>117011</v>
      </c>
      <c r="O387" s="808">
        <f t="shared" si="27"/>
        <v>18.001692307692309</v>
      </c>
      <c r="P387" s="808">
        <v>94</v>
      </c>
      <c r="Q387" s="808"/>
      <c r="R387" s="808"/>
      <c r="S387" s="808"/>
      <c r="T387" s="808"/>
      <c r="U387" s="808"/>
      <c r="V387" s="808"/>
      <c r="W387" s="808"/>
      <c r="X387" s="808"/>
      <c r="Y387" s="808"/>
      <c r="Z387" s="808"/>
      <c r="AA387" s="808"/>
      <c r="AB387" s="808"/>
      <c r="AC387" s="808"/>
      <c r="AD387" s="808"/>
      <c r="AE387" s="808"/>
      <c r="AF387" s="808"/>
      <c r="AG387" s="808"/>
      <c r="AH387" s="808"/>
      <c r="AI387" s="808"/>
      <c r="AJ387" s="808">
        <f t="shared" si="25"/>
        <v>0</v>
      </c>
      <c r="AK387" s="808"/>
      <c r="AL387" s="808"/>
      <c r="AM387" s="816"/>
      <c r="AN387" s="816"/>
      <c r="AO387" s="816"/>
      <c r="AP387" s="816"/>
      <c r="AQ387" s="816"/>
      <c r="AR387" s="816"/>
      <c r="AS387" s="816"/>
      <c r="AT387" s="816"/>
      <c r="AU387" s="258" t="s">
        <v>1846</v>
      </c>
    </row>
    <row r="388" spans="1:47" s="820" customFormat="1" ht="15">
      <c r="A388" s="794">
        <v>386</v>
      </c>
      <c r="B388" s="820" t="s">
        <v>1598</v>
      </c>
      <c r="C388" s="820" t="s">
        <v>1286</v>
      </c>
      <c r="D388" s="893">
        <v>39448</v>
      </c>
      <c r="E388" s="893">
        <v>39873</v>
      </c>
      <c r="F388" s="857">
        <v>2008</v>
      </c>
      <c r="G388" s="820" t="s">
        <v>5</v>
      </c>
      <c r="H388" s="820" t="s">
        <v>1451</v>
      </c>
      <c r="I388" s="820" t="s">
        <v>1847</v>
      </c>
      <c r="J388" s="800" t="s">
        <v>2331</v>
      </c>
      <c r="K388" s="808">
        <v>7500</v>
      </c>
      <c r="L388" s="808">
        <v>115000</v>
      </c>
      <c r="M388" s="808">
        <v>97106</v>
      </c>
      <c r="N388" s="808">
        <v>97106</v>
      </c>
      <c r="O388" s="808">
        <f t="shared" si="27"/>
        <v>12.947466666666667</v>
      </c>
      <c r="P388" s="808">
        <v>84</v>
      </c>
      <c r="Q388" s="808"/>
      <c r="R388" s="808"/>
      <c r="S388" s="808"/>
      <c r="T388" s="808"/>
      <c r="U388" s="808"/>
      <c r="V388" s="808"/>
      <c r="W388" s="808"/>
      <c r="X388" s="808"/>
      <c r="Y388" s="808"/>
      <c r="Z388" s="808"/>
      <c r="AA388" s="808"/>
      <c r="AB388" s="808"/>
      <c r="AC388" s="808"/>
      <c r="AD388" s="808"/>
      <c r="AE388" s="808"/>
      <c r="AF388" s="808"/>
      <c r="AG388" s="808"/>
      <c r="AH388" s="808"/>
      <c r="AI388" s="808"/>
      <c r="AJ388" s="808">
        <f t="shared" si="25"/>
        <v>0</v>
      </c>
      <c r="AK388" s="808"/>
      <c r="AL388" s="808"/>
      <c r="AM388" s="816"/>
      <c r="AN388" s="816"/>
      <c r="AO388" s="816"/>
      <c r="AP388" s="816"/>
      <c r="AQ388" s="816"/>
      <c r="AR388" s="816"/>
      <c r="AS388" s="816"/>
      <c r="AT388" s="816"/>
      <c r="AU388" s="258" t="s">
        <v>1848</v>
      </c>
    </row>
    <row r="389" spans="1:47" s="820" customFormat="1" ht="15">
      <c r="A389" s="794">
        <v>387</v>
      </c>
      <c r="B389" s="820" t="s">
        <v>1598</v>
      </c>
      <c r="C389" s="820" t="s">
        <v>1286</v>
      </c>
      <c r="D389" s="893">
        <v>39448</v>
      </c>
      <c r="E389" s="893">
        <v>39873</v>
      </c>
      <c r="F389" s="857">
        <v>2008</v>
      </c>
      <c r="G389" s="820" t="s">
        <v>914</v>
      </c>
      <c r="H389" s="800" t="s">
        <v>1449</v>
      </c>
      <c r="I389" s="820" t="s">
        <v>1849</v>
      </c>
      <c r="J389" s="800" t="s">
        <v>2331</v>
      </c>
      <c r="K389" s="808">
        <v>10000</v>
      </c>
      <c r="L389" s="808">
        <v>55000</v>
      </c>
      <c r="M389" s="808">
        <v>35344</v>
      </c>
      <c r="N389" s="808">
        <v>35344</v>
      </c>
      <c r="O389" s="808">
        <f t="shared" si="27"/>
        <v>3.5344000000000002</v>
      </c>
      <c r="P389" s="808">
        <v>64</v>
      </c>
      <c r="Q389" s="808"/>
      <c r="R389" s="808"/>
      <c r="S389" s="808"/>
      <c r="T389" s="808"/>
      <c r="U389" s="808"/>
      <c r="V389" s="808"/>
      <c r="W389" s="808"/>
      <c r="X389" s="808"/>
      <c r="Y389" s="808"/>
      <c r="Z389" s="808"/>
      <c r="AA389" s="808">
        <v>10000</v>
      </c>
      <c r="AB389" s="808">
        <v>40</v>
      </c>
      <c r="AC389" s="808"/>
      <c r="AD389" s="808"/>
      <c r="AE389" s="808"/>
      <c r="AF389" s="808"/>
      <c r="AG389" s="808"/>
      <c r="AH389" s="808"/>
      <c r="AI389" s="808"/>
      <c r="AJ389" s="787">
        <f t="shared" si="25"/>
        <v>10000</v>
      </c>
      <c r="AK389" s="808"/>
      <c r="AL389" s="808"/>
      <c r="AM389" s="816"/>
      <c r="AN389" s="816"/>
      <c r="AO389" s="816"/>
      <c r="AP389" s="816"/>
      <c r="AQ389" s="816"/>
      <c r="AR389" s="816"/>
      <c r="AS389" s="816"/>
      <c r="AT389" s="816"/>
      <c r="AU389" s="258" t="s">
        <v>1850</v>
      </c>
    </row>
    <row r="390" spans="1:47" s="820" customFormat="1" ht="15">
      <c r="A390" s="794">
        <v>388</v>
      </c>
      <c r="B390" s="820" t="s">
        <v>1598</v>
      </c>
      <c r="C390" s="820" t="s">
        <v>1286</v>
      </c>
      <c r="D390" s="893">
        <v>39783</v>
      </c>
      <c r="E390" s="893">
        <v>40087</v>
      </c>
      <c r="F390" s="857">
        <v>2008</v>
      </c>
      <c r="G390" s="820" t="s">
        <v>5</v>
      </c>
      <c r="H390" s="820" t="s">
        <v>1451</v>
      </c>
      <c r="I390" s="820" t="s">
        <v>1851</v>
      </c>
      <c r="J390" s="800" t="s">
        <v>2331</v>
      </c>
      <c r="K390" s="808">
        <v>10000</v>
      </c>
      <c r="L390" s="808">
        <v>170000</v>
      </c>
      <c r="M390" s="808">
        <v>158294</v>
      </c>
      <c r="N390" s="808">
        <v>158294</v>
      </c>
      <c r="O390" s="808">
        <f t="shared" si="27"/>
        <v>15.8294</v>
      </c>
      <c r="P390" s="808">
        <v>93</v>
      </c>
      <c r="Q390" s="808">
        <v>4000</v>
      </c>
      <c r="R390" s="808"/>
      <c r="S390" s="808">
        <v>4000</v>
      </c>
      <c r="T390" s="808"/>
      <c r="U390" s="808">
        <v>25</v>
      </c>
      <c r="V390" s="808"/>
      <c r="W390" s="808"/>
      <c r="X390" s="808">
        <v>18774</v>
      </c>
      <c r="Y390" s="808">
        <f>X390/S390</f>
        <v>4.6935000000000002</v>
      </c>
      <c r="Z390" s="808"/>
      <c r="AA390" s="808"/>
      <c r="AB390" s="808"/>
      <c r="AC390" s="808"/>
      <c r="AD390" s="808"/>
      <c r="AE390" s="808"/>
      <c r="AF390" s="808"/>
      <c r="AG390" s="808"/>
      <c r="AH390" s="808"/>
      <c r="AI390" s="808"/>
      <c r="AJ390" s="787">
        <f t="shared" si="25"/>
        <v>0</v>
      </c>
      <c r="AK390" s="808"/>
      <c r="AL390" s="808"/>
      <c r="AM390" s="816"/>
      <c r="AN390" s="816"/>
      <c r="AO390" s="816"/>
      <c r="AP390" s="816"/>
      <c r="AQ390" s="816"/>
      <c r="AR390" s="816"/>
      <c r="AS390" s="816"/>
      <c r="AT390" s="816"/>
      <c r="AU390" s="258" t="s">
        <v>1852</v>
      </c>
    </row>
    <row r="391" spans="1:47" s="820" customFormat="1" ht="15">
      <c r="A391" s="794">
        <v>389</v>
      </c>
      <c r="B391" s="820" t="s">
        <v>539</v>
      </c>
      <c r="C391" s="820" t="s">
        <v>1286</v>
      </c>
      <c r="D391" s="893">
        <v>39448</v>
      </c>
      <c r="E391" s="893">
        <v>39783</v>
      </c>
      <c r="F391" s="857">
        <v>2008</v>
      </c>
      <c r="G391" s="820" t="s">
        <v>1853</v>
      </c>
      <c r="H391" s="820" t="s">
        <v>1451</v>
      </c>
      <c r="I391" s="820" t="s">
        <v>1854</v>
      </c>
      <c r="J391" s="800" t="s">
        <v>2331</v>
      </c>
      <c r="K391" s="808">
        <v>2500</v>
      </c>
      <c r="L391" s="808">
        <v>159000</v>
      </c>
      <c r="M391" s="808">
        <v>131422</v>
      </c>
      <c r="N391" s="808">
        <v>131422</v>
      </c>
      <c r="O391" s="808">
        <f t="shared" si="27"/>
        <v>52.568800000000003</v>
      </c>
      <c r="P391" s="808">
        <v>100</v>
      </c>
      <c r="Q391" s="808">
        <v>2500</v>
      </c>
      <c r="R391" s="808">
        <v>1000</v>
      </c>
      <c r="S391" s="808">
        <v>2500</v>
      </c>
      <c r="T391" s="808"/>
      <c r="U391" s="808"/>
      <c r="V391" s="808">
        <v>2500</v>
      </c>
      <c r="W391" s="808"/>
      <c r="X391" s="808"/>
      <c r="Y391" s="808">
        <f>X391/S391</f>
        <v>0</v>
      </c>
      <c r="Z391" s="808">
        <v>214</v>
      </c>
      <c r="AA391" s="808">
        <v>2500</v>
      </c>
      <c r="AB391" s="808"/>
      <c r="AC391" s="808"/>
      <c r="AD391" s="808"/>
      <c r="AE391" s="808">
        <v>1000</v>
      </c>
      <c r="AF391" s="808"/>
      <c r="AG391" s="808"/>
      <c r="AH391" s="808"/>
      <c r="AI391" s="808"/>
      <c r="AJ391" s="787">
        <f t="shared" si="25"/>
        <v>2714</v>
      </c>
      <c r="AK391" s="808"/>
      <c r="AL391" s="808"/>
      <c r="AM391" s="816"/>
      <c r="AN391" s="816"/>
      <c r="AO391" s="816"/>
      <c r="AP391" s="816"/>
      <c r="AQ391" s="816"/>
      <c r="AR391" s="816"/>
      <c r="AS391" s="816"/>
      <c r="AT391" s="816"/>
      <c r="AU391" s="258" t="s">
        <v>1855</v>
      </c>
    </row>
    <row r="392" spans="1:47" s="820" customFormat="1" ht="15">
      <c r="A392" s="794">
        <v>390</v>
      </c>
      <c r="B392" s="820" t="s">
        <v>1295</v>
      </c>
      <c r="C392" s="820" t="s">
        <v>1286</v>
      </c>
      <c r="D392" s="893">
        <v>39569</v>
      </c>
      <c r="E392" s="893">
        <v>39934</v>
      </c>
      <c r="F392" s="857">
        <v>2008</v>
      </c>
      <c r="G392" s="820" t="s">
        <v>238</v>
      </c>
      <c r="H392" s="820" t="s">
        <v>1451</v>
      </c>
      <c r="I392" s="820" t="s">
        <v>1869</v>
      </c>
      <c r="J392" s="800" t="s">
        <v>2331</v>
      </c>
      <c r="K392" s="808">
        <v>8000</v>
      </c>
      <c r="L392" s="808">
        <v>75000</v>
      </c>
      <c r="M392" s="808">
        <v>71611</v>
      </c>
      <c r="N392" s="808">
        <v>71611</v>
      </c>
      <c r="O392" s="808">
        <f t="shared" si="27"/>
        <v>8.9513750000000005</v>
      </c>
      <c r="P392" s="808">
        <v>95</v>
      </c>
      <c r="Q392" s="808"/>
      <c r="R392" s="808"/>
      <c r="S392" s="808"/>
      <c r="T392" s="808"/>
      <c r="U392" s="808"/>
      <c r="V392" s="808"/>
      <c r="W392" s="808"/>
      <c r="X392" s="808"/>
      <c r="Y392" s="808"/>
      <c r="Z392" s="808">
        <v>5000</v>
      </c>
      <c r="AA392" s="808"/>
      <c r="AB392" s="808">
        <v>7</v>
      </c>
      <c r="AC392" s="808"/>
      <c r="AD392" s="808"/>
      <c r="AE392" s="808"/>
      <c r="AF392" s="808"/>
      <c r="AG392" s="808"/>
      <c r="AH392" s="808"/>
      <c r="AI392" s="808"/>
      <c r="AJ392" s="787">
        <f t="shared" si="25"/>
        <v>5000</v>
      </c>
      <c r="AK392" s="808"/>
      <c r="AL392" s="808"/>
      <c r="AM392" s="816"/>
      <c r="AN392" s="816"/>
      <c r="AO392" s="816"/>
      <c r="AP392" s="816"/>
      <c r="AQ392" s="816"/>
      <c r="AR392" s="816"/>
      <c r="AS392" s="816"/>
      <c r="AT392" s="816"/>
      <c r="AU392" s="258" t="s">
        <v>1870</v>
      </c>
    </row>
    <row r="393" spans="1:47" s="820" customFormat="1" ht="15">
      <c r="A393" s="794">
        <v>391</v>
      </c>
      <c r="B393" s="820" t="s">
        <v>1295</v>
      </c>
      <c r="C393" s="820" t="s">
        <v>1286</v>
      </c>
      <c r="D393" s="893">
        <v>39692</v>
      </c>
      <c r="E393" s="893">
        <v>40057</v>
      </c>
      <c r="F393" s="857">
        <v>2008</v>
      </c>
      <c r="G393" s="820" t="s">
        <v>5</v>
      </c>
      <c r="H393" s="820" t="s">
        <v>1451</v>
      </c>
      <c r="I393" s="820" t="s">
        <v>1871</v>
      </c>
      <c r="J393" s="800" t="s">
        <v>2331</v>
      </c>
      <c r="K393" s="808">
        <v>4000</v>
      </c>
      <c r="L393" s="808">
        <v>220000</v>
      </c>
      <c r="M393" s="808">
        <v>126533</v>
      </c>
      <c r="N393" s="808">
        <v>126533</v>
      </c>
      <c r="O393" s="808">
        <f t="shared" si="27"/>
        <v>31.63325</v>
      </c>
      <c r="P393" s="808">
        <v>58</v>
      </c>
      <c r="Q393" s="808"/>
      <c r="R393" s="808"/>
      <c r="S393" s="808"/>
      <c r="T393" s="808"/>
      <c r="U393" s="808"/>
      <c r="V393" s="808"/>
      <c r="W393" s="808"/>
      <c r="X393" s="808"/>
      <c r="Y393" s="808"/>
      <c r="Z393" s="808"/>
      <c r="AA393" s="808"/>
      <c r="AB393" s="808"/>
      <c r="AC393" s="808"/>
      <c r="AD393" s="808"/>
      <c r="AE393" s="808"/>
      <c r="AF393" s="808"/>
      <c r="AG393" s="808"/>
      <c r="AH393" s="808"/>
      <c r="AI393" s="808"/>
      <c r="AJ393" s="808">
        <f t="shared" si="25"/>
        <v>0</v>
      </c>
      <c r="AK393" s="808"/>
      <c r="AL393" s="808"/>
      <c r="AM393" s="816"/>
      <c r="AN393" s="816"/>
      <c r="AO393" s="816"/>
      <c r="AP393" s="816"/>
      <c r="AQ393" s="816"/>
      <c r="AR393" s="816"/>
      <c r="AS393" s="816"/>
      <c r="AT393" s="816"/>
      <c r="AU393" s="258" t="s">
        <v>1872</v>
      </c>
    </row>
    <row r="394" spans="1:47" s="820" customFormat="1" ht="15">
      <c r="A394" s="794">
        <v>392</v>
      </c>
      <c r="B394" s="820" t="s">
        <v>1295</v>
      </c>
      <c r="C394" s="820" t="s">
        <v>1286</v>
      </c>
      <c r="D394" s="893">
        <v>39692</v>
      </c>
      <c r="E394" s="893">
        <v>39934</v>
      </c>
      <c r="F394" s="857">
        <v>2008</v>
      </c>
      <c r="G394" s="820" t="s">
        <v>5</v>
      </c>
      <c r="H394" s="820" t="s">
        <v>1451</v>
      </c>
      <c r="I394" s="820" t="s">
        <v>1873</v>
      </c>
      <c r="J394" s="800" t="s">
        <v>2331</v>
      </c>
      <c r="K394" s="808">
        <v>4485</v>
      </c>
      <c r="L394" s="808">
        <v>121384</v>
      </c>
      <c r="M394" s="808">
        <v>103417</v>
      </c>
      <c r="N394" s="808">
        <v>103417</v>
      </c>
      <c r="O394" s="808">
        <f t="shared" si="27"/>
        <v>23.058416945373466</v>
      </c>
      <c r="P394" s="808">
        <v>85</v>
      </c>
      <c r="Q394" s="808"/>
      <c r="R394" s="808"/>
      <c r="S394" s="808"/>
      <c r="T394" s="808"/>
      <c r="U394" s="808"/>
      <c r="V394" s="808"/>
      <c r="W394" s="808"/>
      <c r="X394" s="808"/>
      <c r="Y394" s="808"/>
      <c r="Z394" s="808"/>
      <c r="AA394" s="808"/>
      <c r="AB394" s="808"/>
      <c r="AC394" s="808"/>
      <c r="AD394" s="808"/>
      <c r="AE394" s="808"/>
      <c r="AF394" s="808"/>
      <c r="AG394" s="808"/>
      <c r="AH394" s="808"/>
      <c r="AI394" s="808"/>
      <c r="AJ394" s="808">
        <f t="shared" si="25"/>
        <v>0</v>
      </c>
      <c r="AK394" s="808"/>
      <c r="AL394" s="808"/>
      <c r="AM394" s="816"/>
      <c r="AN394" s="816"/>
      <c r="AO394" s="816"/>
      <c r="AP394" s="816"/>
      <c r="AQ394" s="816"/>
      <c r="AR394" s="816"/>
      <c r="AS394" s="816"/>
      <c r="AT394" s="816"/>
      <c r="AU394" s="258" t="s">
        <v>1874</v>
      </c>
    </row>
    <row r="395" spans="1:47" s="820" customFormat="1" ht="15">
      <c r="A395" s="794">
        <v>393</v>
      </c>
      <c r="B395" s="820" t="s">
        <v>992</v>
      </c>
      <c r="C395" s="820" t="s">
        <v>1286</v>
      </c>
      <c r="D395" s="893">
        <v>39539</v>
      </c>
      <c r="E395" s="893">
        <v>39630</v>
      </c>
      <c r="F395" s="857">
        <v>2008</v>
      </c>
      <c r="G395" s="820" t="s">
        <v>1875</v>
      </c>
      <c r="H395" s="820" t="s">
        <v>1451</v>
      </c>
      <c r="I395" s="820" t="s">
        <v>1876</v>
      </c>
      <c r="J395" s="800" t="s">
        <v>2331</v>
      </c>
      <c r="K395" s="808">
        <v>11250</v>
      </c>
      <c r="L395" s="808">
        <v>103000</v>
      </c>
      <c r="M395" s="808">
        <v>99409</v>
      </c>
      <c r="N395" s="808">
        <v>99409</v>
      </c>
      <c r="O395" s="808">
        <f t="shared" si="27"/>
        <v>8.8363555555555564</v>
      </c>
      <c r="P395" s="808">
        <v>97</v>
      </c>
      <c r="Q395" s="808">
        <v>3200</v>
      </c>
      <c r="R395" s="808"/>
      <c r="S395" s="808">
        <v>3200</v>
      </c>
      <c r="T395" s="808"/>
      <c r="U395" s="808">
        <v>17</v>
      </c>
      <c r="V395" s="808"/>
      <c r="W395" s="808">
        <v>30000</v>
      </c>
      <c r="X395" s="808">
        <v>29020</v>
      </c>
      <c r="Y395" s="808">
        <f>X395/S395</f>
        <v>9.0687499999999996</v>
      </c>
      <c r="Z395" s="808"/>
      <c r="AA395" s="808"/>
      <c r="AB395" s="808"/>
      <c r="AC395" s="808"/>
      <c r="AD395" s="808"/>
      <c r="AE395" s="808"/>
      <c r="AF395" s="808"/>
      <c r="AG395" s="808"/>
      <c r="AH395" s="808"/>
      <c r="AI395" s="808"/>
      <c r="AJ395" s="808">
        <f t="shared" si="25"/>
        <v>0</v>
      </c>
      <c r="AK395" s="808"/>
      <c r="AL395" s="808"/>
      <c r="AM395" s="816"/>
      <c r="AN395" s="816"/>
      <c r="AO395" s="816"/>
      <c r="AP395" s="816"/>
      <c r="AQ395" s="816"/>
      <c r="AR395" s="816"/>
      <c r="AS395" s="816"/>
      <c r="AT395" s="816"/>
      <c r="AU395" s="258" t="s">
        <v>1877</v>
      </c>
    </row>
    <row r="396" spans="1:47" s="820" customFormat="1" ht="15">
      <c r="A396" s="794">
        <v>394</v>
      </c>
      <c r="B396" s="820" t="s">
        <v>992</v>
      </c>
      <c r="C396" s="820" t="s">
        <v>1286</v>
      </c>
      <c r="D396" s="893">
        <v>39722</v>
      </c>
      <c r="E396" s="893">
        <v>40026</v>
      </c>
      <c r="F396" s="857">
        <v>2008</v>
      </c>
      <c r="G396" s="820" t="s">
        <v>5</v>
      </c>
      <c r="H396" s="820" t="s">
        <v>1451</v>
      </c>
      <c r="I396" s="820" t="s">
        <v>1878</v>
      </c>
      <c r="J396" s="800" t="s">
        <v>2331</v>
      </c>
      <c r="K396" s="808">
        <v>500</v>
      </c>
      <c r="L396" s="808">
        <v>95701</v>
      </c>
      <c r="M396" s="808">
        <v>93766</v>
      </c>
      <c r="N396" s="808">
        <v>93766</v>
      </c>
      <c r="O396" s="808">
        <f t="shared" si="27"/>
        <v>187.53200000000001</v>
      </c>
      <c r="P396" s="808">
        <v>98</v>
      </c>
      <c r="Q396" s="808"/>
      <c r="R396" s="808"/>
      <c r="S396" s="808"/>
      <c r="T396" s="808"/>
      <c r="U396" s="808"/>
      <c r="V396" s="808"/>
      <c r="W396" s="808">
        <v>4500</v>
      </c>
      <c r="X396" s="808">
        <v>6096</v>
      </c>
      <c r="Y396" s="808"/>
      <c r="Z396" s="808">
        <v>166</v>
      </c>
      <c r="AA396" s="808">
        <v>324</v>
      </c>
      <c r="AB396" s="808">
        <v>54</v>
      </c>
      <c r="AC396" s="808"/>
      <c r="AD396" s="808"/>
      <c r="AE396" s="808"/>
      <c r="AF396" s="808"/>
      <c r="AG396" s="808"/>
      <c r="AH396" s="808">
        <v>452</v>
      </c>
      <c r="AI396" s="808"/>
      <c r="AJ396" s="787">
        <f t="shared" si="25"/>
        <v>942</v>
      </c>
      <c r="AK396" s="808"/>
      <c r="AL396" s="808"/>
      <c r="AM396" s="816"/>
      <c r="AN396" s="816"/>
      <c r="AO396" s="816"/>
      <c r="AP396" s="816"/>
      <c r="AQ396" s="816"/>
      <c r="AR396" s="816"/>
      <c r="AS396" s="816"/>
      <c r="AT396" s="816"/>
      <c r="AU396" s="258" t="s">
        <v>1879</v>
      </c>
    </row>
    <row r="397" spans="1:47" s="820" customFormat="1" ht="15">
      <c r="A397" s="794">
        <v>395</v>
      </c>
      <c r="B397" s="820" t="s">
        <v>992</v>
      </c>
      <c r="C397" s="820" t="s">
        <v>1286</v>
      </c>
      <c r="D397" s="893">
        <v>39783</v>
      </c>
      <c r="E397" s="893">
        <v>40148</v>
      </c>
      <c r="F397" s="857">
        <v>2008</v>
      </c>
      <c r="G397" s="820" t="s">
        <v>1875</v>
      </c>
      <c r="H397" s="820" t="s">
        <v>1451</v>
      </c>
      <c r="I397" s="820" t="s">
        <v>1880</v>
      </c>
      <c r="J397" s="800" t="s">
        <v>2331</v>
      </c>
      <c r="K397" s="808">
        <v>300</v>
      </c>
      <c r="L397" s="808">
        <v>150000</v>
      </c>
      <c r="M397" s="808">
        <v>149994</v>
      </c>
      <c r="N397" s="808">
        <v>149994</v>
      </c>
      <c r="O397" s="808">
        <f t="shared" si="27"/>
        <v>499.98</v>
      </c>
      <c r="P397" s="808">
        <v>100</v>
      </c>
      <c r="Q397" s="808">
        <v>500</v>
      </c>
      <c r="R397" s="808"/>
      <c r="S397" s="808">
        <v>500</v>
      </c>
      <c r="T397" s="808"/>
      <c r="U397" s="808"/>
      <c r="V397" s="808"/>
      <c r="W397" s="808">
        <v>10883</v>
      </c>
      <c r="X397" s="808">
        <v>6607</v>
      </c>
      <c r="Y397" s="808">
        <f>X397/S397</f>
        <v>13.214</v>
      </c>
      <c r="Z397" s="808">
        <v>389</v>
      </c>
      <c r="AA397" s="808">
        <v>718</v>
      </c>
      <c r="AB397" s="808">
        <v>370</v>
      </c>
      <c r="AC397" s="808"/>
      <c r="AD397" s="808"/>
      <c r="AE397" s="808"/>
      <c r="AF397" s="808"/>
      <c r="AG397" s="808"/>
      <c r="AH397" s="808"/>
      <c r="AI397" s="808"/>
      <c r="AJ397" s="787">
        <f t="shared" si="25"/>
        <v>1107</v>
      </c>
      <c r="AK397" s="808"/>
      <c r="AL397" s="808"/>
      <c r="AM397" s="816"/>
      <c r="AN397" s="816"/>
      <c r="AO397" s="816"/>
      <c r="AP397" s="816"/>
      <c r="AQ397" s="816"/>
      <c r="AR397" s="816"/>
      <c r="AS397" s="816"/>
      <c r="AT397" s="816"/>
      <c r="AU397" s="258" t="s">
        <v>1881</v>
      </c>
    </row>
    <row r="398" spans="1:47" s="820" customFormat="1" ht="15">
      <c r="A398" s="794">
        <v>396</v>
      </c>
      <c r="B398" s="820" t="s">
        <v>536</v>
      </c>
      <c r="C398" s="820" t="s">
        <v>1286</v>
      </c>
      <c r="D398" s="893">
        <v>39692</v>
      </c>
      <c r="E398" s="893">
        <v>39934</v>
      </c>
      <c r="F398" s="857">
        <v>2008</v>
      </c>
      <c r="G398" s="820" t="s">
        <v>5</v>
      </c>
      <c r="H398" s="820" t="s">
        <v>1451</v>
      </c>
      <c r="I398" s="820" t="s">
        <v>1882</v>
      </c>
      <c r="J398" s="800" t="s">
        <v>2331</v>
      </c>
      <c r="K398" s="808">
        <v>5000</v>
      </c>
      <c r="L398" s="808">
        <v>81000</v>
      </c>
      <c r="M398" s="808">
        <v>70314</v>
      </c>
      <c r="N398" s="808">
        <v>70314</v>
      </c>
      <c r="O398" s="808">
        <f t="shared" si="27"/>
        <v>14.062799999999999</v>
      </c>
      <c r="P398" s="808">
        <v>87</v>
      </c>
      <c r="Q398" s="808">
        <v>6045</v>
      </c>
      <c r="R398" s="808">
        <v>5000</v>
      </c>
      <c r="S398" s="808">
        <v>6045</v>
      </c>
      <c r="T398" s="808"/>
      <c r="U398" s="808">
        <v>21</v>
      </c>
      <c r="V398" s="808">
        <v>6045</v>
      </c>
      <c r="W398" s="808">
        <v>45000</v>
      </c>
      <c r="X398" s="808">
        <v>26935</v>
      </c>
      <c r="Y398" s="808">
        <f>X398/S398</f>
        <v>4.4557485525227465</v>
      </c>
      <c r="Z398" s="808"/>
      <c r="AA398" s="808"/>
      <c r="AB398" s="808"/>
      <c r="AC398" s="808"/>
      <c r="AD398" s="808"/>
      <c r="AE398" s="808"/>
      <c r="AF398" s="808"/>
      <c r="AG398" s="808"/>
      <c r="AH398" s="808"/>
      <c r="AI398" s="808"/>
      <c r="AJ398" s="787">
        <f t="shared" si="25"/>
        <v>0</v>
      </c>
      <c r="AK398" s="808"/>
      <c r="AL398" s="808"/>
      <c r="AM398" s="816"/>
      <c r="AN398" s="816"/>
      <c r="AO398" s="816"/>
      <c r="AP398" s="816"/>
      <c r="AQ398" s="816"/>
      <c r="AR398" s="816"/>
      <c r="AS398" s="816"/>
      <c r="AT398" s="816"/>
      <c r="AU398" s="258" t="s">
        <v>1883</v>
      </c>
    </row>
    <row r="399" spans="1:47" s="820" customFormat="1" ht="15">
      <c r="A399" s="794">
        <v>397</v>
      </c>
      <c r="B399" s="820" t="s">
        <v>209</v>
      </c>
      <c r="C399" s="820" t="s">
        <v>1286</v>
      </c>
      <c r="D399" s="893">
        <v>39448</v>
      </c>
      <c r="E399" s="893">
        <v>39783</v>
      </c>
      <c r="F399" s="857">
        <v>2008</v>
      </c>
      <c r="G399" s="820" t="s">
        <v>5</v>
      </c>
      <c r="H399" s="820" t="s">
        <v>1451</v>
      </c>
      <c r="I399" s="820" t="s">
        <v>1884</v>
      </c>
      <c r="J399" s="800" t="s">
        <v>2331</v>
      </c>
      <c r="K399" s="808">
        <v>15220</v>
      </c>
      <c r="L399" s="808">
        <v>115000</v>
      </c>
      <c r="M399" s="808">
        <v>99357</v>
      </c>
      <c r="N399" s="808">
        <v>99357</v>
      </c>
      <c r="O399" s="808">
        <f t="shared" si="27"/>
        <v>6.5280551905387645</v>
      </c>
      <c r="P399" s="808">
        <v>86</v>
      </c>
      <c r="Q399" s="808"/>
      <c r="R399" s="808">
        <v>8912</v>
      </c>
      <c r="S399" s="808">
        <v>8912</v>
      </c>
      <c r="T399" s="808"/>
      <c r="U399" s="808"/>
      <c r="V399" s="808"/>
      <c r="W399" s="808">
        <v>28080</v>
      </c>
      <c r="X399" s="808">
        <v>16777</v>
      </c>
      <c r="Y399" s="808">
        <f>X399/S399</f>
        <v>1.8825179533213645</v>
      </c>
      <c r="Z399" s="808"/>
      <c r="AA399" s="808"/>
      <c r="AB399" s="808"/>
      <c r="AC399" s="808"/>
      <c r="AD399" s="808"/>
      <c r="AE399" s="808"/>
      <c r="AF399" s="808"/>
      <c r="AG399" s="808"/>
      <c r="AH399" s="808"/>
      <c r="AI399" s="808"/>
      <c r="AJ399" s="787">
        <f t="shared" si="25"/>
        <v>0</v>
      </c>
      <c r="AK399" s="808">
        <v>540</v>
      </c>
      <c r="AL399" s="808">
        <f>AK399*0.86</f>
        <v>464.4</v>
      </c>
      <c r="AM399" s="816"/>
      <c r="AN399" s="816"/>
      <c r="AO399" s="816"/>
      <c r="AP399" s="816"/>
      <c r="AQ399" s="816"/>
      <c r="AR399" s="816"/>
      <c r="AS399" s="816" t="s">
        <v>94</v>
      </c>
      <c r="AT399" s="816"/>
      <c r="AU399" s="258" t="s">
        <v>1885</v>
      </c>
    </row>
    <row r="400" spans="1:47" s="820" customFormat="1" ht="15">
      <c r="A400" s="794">
        <v>398</v>
      </c>
      <c r="B400" s="820" t="s">
        <v>27</v>
      </c>
      <c r="C400" s="820" t="s">
        <v>1299</v>
      </c>
      <c r="D400" s="893">
        <v>39600</v>
      </c>
      <c r="E400" s="893">
        <v>39722</v>
      </c>
      <c r="F400" s="857">
        <v>2008</v>
      </c>
      <c r="G400" s="820" t="s">
        <v>1886</v>
      </c>
      <c r="H400" s="820" t="s">
        <v>1451</v>
      </c>
      <c r="I400" s="820" t="s">
        <v>1887</v>
      </c>
      <c r="J400" s="800" t="s">
        <v>2331</v>
      </c>
      <c r="K400" s="808">
        <v>113</v>
      </c>
      <c r="L400" s="808">
        <v>34000</v>
      </c>
      <c r="M400" s="808">
        <v>27413</v>
      </c>
      <c r="N400" s="808">
        <v>27413</v>
      </c>
      <c r="O400" s="808">
        <f t="shared" si="27"/>
        <v>242.59292035398229</v>
      </c>
      <c r="P400" s="808">
        <v>81</v>
      </c>
      <c r="Q400" s="808"/>
      <c r="R400" s="808"/>
      <c r="S400" s="808"/>
      <c r="T400" s="808"/>
      <c r="U400" s="808"/>
      <c r="V400" s="808"/>
      <c r="W400" s="808"/>
      <c r="X400" s="808"/>
      <c r="Y400" s="808"/>
      <c r="Z400" s="808"/>
      <c r="AA400" s="808"/>
      <c r="AB400" s="808"/>
      <c r="AC400" s="808"/>
      <c r="AD400" s="808"/>
      <c r="AE400" s="808"/>
      <c r="AF400" s="808"/>
      <c r="AG400" s="808"/>
      <c r="AH400" s="808"/>
      <c r="AI400" s="808"/>
      <c r="AJ400" s="808">
        <f t="shared" si="25"/>
        <v>0</v>
      </c>
      <c r="AK400" s="808"/>
      <c r="AL400" s="808"/>
      <c r="AM400" s="816"/>
      <c r="AN400" s="816"/>
      <c r="AO400" s="816"/>
      <c r="AP400" s="816"/>
      <c r="AQ400" s="816"/>
      <c r="AR400" s="816"/>
      <c r="AS400" s="816"/>
      <c r="AT400" s="816"/>
      <c r="AU400" s="258" t="s">
        <v>1888</v>
      </c>
    </row>
    <row r="401" spans="1:65" s="820" customFormat="1" ht="15">
      <c r="A401" s="794">
        <v>399</v>
      </c>
      <c r="B401" s="820" t="s">
        <v>1889</v>
      </c>
      <c r="C401" s="820" t="s">
        <v>1286</v>
      </c>
      <c r="D401" s="893">
        <v>39783</v>
      </c>
      <c r="E401" s="893">
        <v>40057</v>
      </c>
      <c r="F401" s="857">
        <v>2008</v>
      </c>
      <c r="G401" s="820" t="s">
        <v>5</v>
      </c>
      <c r="H401" s="820" t="s">
        <v>1451</v>
      </c>
      <c r="I401" s="820" t="s">
        <v>1890</v>
      </c>
      <c r="J401" s="800" t="s">
        <v>2331</v>
      </c>
      <c r="K401" s="808">
        <v>5000</v>
      </c>
      <c r="L401" s="808">
        <v>80000</v>
      </c>
      <c r="M401" s="808">
        <v>78246</v>
      </c>
      <c r="N401" s="808">
        <v>78246</v>
      </c>
      <c r="O401" s="808">
        <f t="shared" si="27"/>
        <v>15.6492</v>
      </c>
      <c r="P401" s="808">
        <v>98</v>
      </c>
      <c r="Q401" s="808"/>
      <c r="R401" s="808"/>
      <c r="S401" s="808"/>
      <c r="T401" s="808"/>
      <c r="U401" s="808"/>
      <c r="V401" s="808">
        <v>5000</v>
      </c>
      <c r="W401" s="808">
        <v>5000</v>
      </c>
      <c r="X401" s="808">
        <v>2046</v>
      </c>
      <c r="Y401" s="808"/>
      <c r="Z401" s="808"/>
      <c r="AA401" s="808"/>
      <c r="AB401" s="808"/>
      <c r="AC401" s="808"/>
      <c r="AD401" s="808"/>
      <c r="AE401" s="808"/>
      <c r="AF401" s="808"/>
      <c r="AG401" s="808"/>
      <c r="AH401" s="808"/>
      <c r="AI401" s="808"/>
      <c r="AJ401" s="808">
        <f t="shared" si="25"/>
        <v>0</v>
      </c>
      <c r="AK401" s="808"/>
      <c r="AL401" s="808"/>
      <c r="AM401" s="816"/>
      <c r="AN401" s="816"/>
      <c r="AO401" s="816"/>
      <c r="AP401" s="816"/>
      <c r="AQ401" s="816"/>
      <c r="AR401" s="816"/>
      <c r="AS401" s="816"/>
      <c r="AT401" s="816"/>
      <c r="AU401" s="258" t="s">
        <v>1891</v>
      </c>
    </row>
    <row r="402" spans="1:65" s="820" customFormat="1" ht="15">
      <c r="A402" s="794">
        <v>400</v>
      </c>
      <c r="B402" s="820" t="s">
        <v>373</v>
      </c>
      <c r="C402" s="820" t="s">
        <v>1261</v>
      </c>
      <c r="D402" s="893">
        <v>39661</v>
      </c>
      <c r="E402" s="893">
        <v>39904</v>
      </c>
      <c r="F402" s="857">
        <v>2008</v>
      </c>
      <c r="G402" s="820" t="s">
        <v>5</v>
      </c>
      <c r="H402" s="820" t="s">
        <v>1451</v>
      </c>
      <c r="I402" s="820" t="s">
        <v>1892</v>
      </c>
      <c r="J402" s="800" t="s">
        <v>2331</v>
      </c>
      <c r="K402" s="808">
        <v>50000</v>
      </c>
      <c r="L402" s="808">
        <v>1000000</v>
      </c>
      <c r="M402" s="808">
        <v>999998</v>
      </c>
      <c r="N402" s="808">
        <v>999998</v>
      </c>
      <c r="O402" s="808">
        <f t="shared" si="27"/>
        <v>19.999960000000002</v>
      </c>
      <c r="P402" s="808">
        <v>100</v>
      </c>
      <c r="Q402" s="808"/>
      <c r="R402" s="808"/>
      <c r="S402" s="808"/>
      <c r="T402" s="808"/>
      <c r="U402" s="808"/>
      <c r="V402" s="808"/>
      <c r="W402" s="808">
        <v>26360</v>
      </c>
      <c r="X402" s="808">
        <v>26360</v>
      </c>
      <c r="Y402" s="808"/>
      <c r="Z402" s="808"/>
      <c r="AA402" s="808"/>
      <c r="AB402" s="808"/>
      <c r="AC402" s="808"/>
      <c r="AD402" s="808"/>
      <c r="AE402" s="808"/>
      <c r="AF402" s="808"/>
      <c r="AG402" s="808"/>
      <c r="AH402" s="808"/>
      <c r="AI402" s="808"/>
      <c r="AJ402" s="808">
        <f t="shared" ref="AJ402:AJ439" si="28">SUM(Z402,AA402,AH402)</f>
        <v>0</v>
      </c>
      <c r="AK402" s="808"/>
      <c r="AL402" s="808"/>
      <c r="AM402" s="816"/>
      <c r="AN402" s="816"/>
      <c r="AO402" s="816"/>
      <c r="AP402" s="816"/>
      <c r="AQ402" s="816"/>
      <c r="AR402" s="816"/>
      <c r="AS402" s="816" t="s">
        <v>94</v>
      </c>
      <c r="AT402" s="816"/>
      <c r="AU402" s="258" t="s">
        <v>1893</v>
      </c>
    </row>
    <row r="403" spans="1:65" s="800" customFormat="1" ht="15">
      <c r="A403" s="794">
        <v>401</v>
      </c>
      <c r="B403" s="800" t="s">
        <v>12</v>
      </c>
      <c r="C403" s="800" t="s">
        <v>1299</v>
      </c>
      <c r="D403" s="819">
        <v>39539</v>
      </c>
      <c r="E403" s="819">
        <v>39965</v>
      </c>
      <c r="F403" s="857">
        <v>2008</v>
      </c>
      <c r="G403" s="800" t="s">
        <v>243</v>
      </c>
      <c r="H403" s="800" t="s">
        <v>1449</v>
      </c>
      <c r="I403" s="800" t="s">
        <v>1905</v>
      </c>
      <c r="J403" s="800" t="s">
        <v>2331</v>
      </c>
      <c r="K403" s="808">
        <v>60000</v>
      </c>
      <c r="L403" s="808">
        <v>104492</v>
      </c>
      <c r="M403" s="808">
        <v>94547</v>
      </c>
      <c r="N403" s="808">
        <v>94547</v>
      </c>
      <c r="O403" s="808">
        <f t="shared" si="27"/>
        <v>1.5757833333333333</v>
      </c>
      <c r="P403" s="808">
        <v>90</v>
      </c>
      <c r="Q403" s="808"/>
      <c r="R403" s="808"/>
      <c r="S403" s="808"/>
      <c r="T403" s="808" t="s">
        <v>94</v>
      </c>
      <c r="U403" s="808">
        <v>20</v>
      </c>
      <c r="V403" s="808">
        <v>10000</v>
      </c>
      <c r="W403" s="808">
        <v>22471</v>
      </c>
      <c r="X403" s="808">
        <v>12660</v>
      </c>
      <c r="Y403" s="808"/>
      <c r="Z403" s="808"/>
      <c r="AA403" s="808">
        <v>10000</v>
      </c>
      <c r="AB403" s="808">
        <v>35</v>
      </c>
      <c r="AC403" s="808"/>
      <c r="AD403" s="808"/>
      <c r="AE403" s="808"/>
      <c r="AF403" s="808"/>
      <c r="AG403" s="808"/>
      <c r="AH403" s="808"/>
      <c r="AI403" s="808"/>
      <c r="AJ403" s="808">
        <f t="shared" si="28"/>
        <v>10000</v>
      </c>
      <c r="AK403" s="808">
        <v>22400</v>
      </c>
      <c r="AL403" s="808">
        <f>AK403*0.9</f>
        <v>20160</v>
      </c>
      <c r="AM403" s="808"/>
      <c r="AN403" s="808"/>
      <c r="AO403" s="808"/>
      <c r="AP403" s="808"/>
      <c r="AQ403" s="808"/>
      <c r="AR403" s="808"/>
      <c r="AS403" s="808"/>
      <c r="AT403" s="808"/>
      <c r="AU403" s="346" t="s">
        <v>1906</v>
      </c>
    </row>
    <row r="404" spans="1:65" s="800" customFormat="1" ht="15">
      <c r="A404" s="794">
        <v>402</v>
      </c>
      <c r="B404" s="800" t="s">
        <v>12</v>
      </c>
      <c r="C404" s="800" t="s">
        <v>1299</v>
      </c>
      <c r="D404" s="819">
        <v>39600</v>
      </c>
      <c r="E404" s="819">
        <v>39753</v>
      </c>
      <c r="F404" s="857">
        <v>2008</v>
      </c>
      <c r="G404" s="800" t="s">
        <v>79</v>
      </c>
      <c r="H404" s="800" t="s">
        <v>1451</v>
      </c>
      <c r="I404" s="800" t="s">
        <v>1907</v>
      </c>
      <c r="J404" s="800" t="s">
        <v>2331</v>
      </c>
      <c r="K404" s="808">
        <v>87092</v>
      </c>
      <c r="L404" s="808">
        <v>200961</v>
      </c>
      <c r="M404" s="808">
        <v>200961</v>
      </c>
      <c r="N404" s="808">
        <v>200962</v>
      </c>
      <c r="O404" s="808">
        <f t="shared" si="27"/>
        <v>2.3074679649106691</v>
      </c>
      <c r="P404" s="808">
        <v>100</v>
      </c>
      <c r="Q404" s="808"/>
      <c r="R404" s="808"/>
      <c r="S404" s="808"/>
      <c r="T404" s="808"/>
      <c r="U404" s="808"/>
      <c r="V404" s="808"/>
      <c r="W404" s="808"/>
      <c r="X404" s="808"/>
      <c r="Y404" s="808"/>
      <c r="Z404" s="808"/>
      <c r="AA404" s="808">
        <v>534</v>
      </c>
      <c r="AB404" s="808"/>
      <c r="AC404" s="808"/>
      <c r="AD404" s="808"/>
      <c r="AE404" s="808">
        <v>71</v>
      </c>
      <c r="AF404" s="808"/>
      <c r="AG404" s="808"/>
      <c r="AH404" s="808">
        <v>906</v>
      </c>
      <c r="AI404" s="808"/>
      <c r="AJ404" s="808">
        <f t="shared" si="28"/>
        <v>1440</v>
      </c>
      <c r="AK404" s="808"/>
      <c r="AL404" s="808"/>
      <c r="AM404" s="808"/>
      <c r="AN404" s="808"/>
      <c r="AO404" s="808"/>
      <c r="AP404" s="808"/>
      <c r="AQ404" s="808"/>
      <c r="AR404" s="808"/>
      <c r="AS404" s="808"/>
      <c r="AT404" s="808"/>
      <c r="AU404" s="346" t="s">
        <v>1908</v>
      </c>
    </row>
    <row r="405" spans="1:65" s="820" customFormat="1" ht="15">
      <c r="A405" s="794">
        <v>403</v>
      </c>
      <c r="B405" s="820" t="s">
        <v>932</v>
      </c>
      <c r="C405" s="820" t="s">
        <v>1261</v>
      </c>
      <c r="D405" s="893">
        <v>39448</v>
      </c>
      <c r="E405" s="893">
        <v>39539</v>
      </c>
      <c r="F405" s="857">
        <v>2008</v>
      </c>
      <c r="G405" s="820" t="s">
        <v>1909</v>
      </c>
      <c r="H405" s="820" t="s">
        <v>1451</v>
      </c>
      <c r="I405" s="820" t="s">
        <v>1910</v>
      </c>
      <c r="J405" s="800" t="s">
        <v>2331</v>
      </c>
      <c r="K405" s="808">
        <v>500</v>
      </c>
      <c r="L405" s="808">
        <v>100000</v>
      </c>
      <c r="M405" s="808">
        <v>99979</v>
      </c>
      <c r="N405" s="808">
        <v>99979</v>
      </c>
      <c r="O405" s="808">
        <f t="shared" si="27"/>
        <v>199.958</v>
      </c>
      <c r="P405" s="808">
        <v>100</v>
      </c>
      <c r="Q405" s="808"/>
      <c r="R405" s="808"/>
      <c r="S405" s="808"/>
      <c r="T405" s="808"/>
      <c r="U405" s="808"/>
      <c r="V405" s="808"/>
      <c r="W405" s="808"/>
      <c r="X405" s="808"/>
      <c r="Y405" s="808"/>
      <c r="Z405" s="808"/>
      <c r="AA405" s="808"/>
      <c r="AB405" s="808"/>
      <c r="AC405" s="808"/>
      <c r="AD405" s="808"/>
      <c r="AE405" s="808"/>
      <c r="AF405" s="808"/>
      <c r="AG405" s="808"/>
      <c r="AH405" s="808"/>
      <c r="AI405" s="808"/>
      <c r="AJ405" s="808">
        <f t="shared" si="28"/>
        <v>0</v>
      </c>
      <c r="AK405" s="808"/>
      <c r="AL405" s="808"/>
      <c r="AM405" s="816"/>
      <c r="AN405" s="816"/>
      <c r="AO405" s="816"/>
      <c r="AP405" s="816"/>
      <c r="AQ405" s="816"/>
      <c r="AR405" s="816"/>
      <c r="AS405" s="816"/>
      <c r="AT405" s="816"/>
      <c r="AU405" s="258" t="s">
        <v>1911</v>
      </c>
    </row>
    <row r="406" spans="1:65" s="820" customFormat="1" ht="15">
      <c r="A406" s="794">
        <v>404</v>
      </c>
      <c r="B406" s="820" t="s">
        <v>932</v>
      </c>
      <c r="C406" s="820" t="s">
        <v>1261</v>
      </c>
      <c r="D406" s="893">
        <v>39722</v>
      </c>
      <c r="E406" s="893">
        <v>39814</v>
      </c>
      <c r="F406" s="857">
        <v>2008</v>
      </c>
      <c r="G406" s="820" t="s">
        <v>1909</v>
      </c>
      <c r="H406" s="820" t="s">
        <v>1451</v>
      </c>
      <c r="I406" s="820" t="s">
        <v>1912</v>
      </c>
      <c r="J406" s="800" t="s">
        <v>2331</v>
      </c>
      <c r="K406" s="808">
        <v>753</v>
      </c>
      <c r="L406" s="808">
        <v>219741</v>
      </c>
      <c r="M406" s="808">
        <v>219741</v>
      </c>
      <c r="N406" s="808">
        <v>219740</v>
      </c>
      <c r="O406" s="808">
        <f t="shared" si="27"/>
        <v>291.81938911022576</v>
      </c>
      <c r="P406" s="808">
        <v>100</v>
      </c>
      <c r="Q406" s="808"/>
      <c r="R406" s="808"/>
      <c r="S406" s="808"/>
      <c r="T406" s="808"/>
      <c r="U406" s="808"/>
      <c r="V406" s="808"/>
      <c r="W406" s="808"/>
      <c r="X406" s="808"/>
      <c r="Y406" s="808"/>
      <c r="Z406" s="808"/>
      <c r="AA406" s="808"/>
      <c r="AB406" s="808"/>
      <c r="AC406" s="808"/>
      <c r="AD406" s="808"/>
      <c r="AE406" s="808"/>
      <c r="AF406" s="808"/>
      <c r="AG406" s="808"/>
      <c r="AH406" s="808"/>
      <c r="AI406" s="808"/>
      <c r="AJ406" s="808">
        <f t="shared" si="28"/>
        <v>0</v>
      </c>
      <c r="AK406" s="808"/>
      <c r="AL406" s="808"/>
      <c r="AM406" s="816"/>
      <c r="AN406" s="816"/>
      <c r="AO406" s="816"/>
      <c r="AP406" s="816"/>
      <c r="AQ406" s="816"/>
      <c r="AR406" s="816"/>
      <c r="AS406" s="816"/>
      <c r="AT406" s="816"/>
      <c r="AU406" s="258" t="s">
        <v>1913</v>
      </c>
    </row>
    <row r="407" spans="1:65" s="820" customFormat="1" ht="15">
      <c r="A407" s="794">
        <v>405</v>
      </c>
      <c r="B407" s="820" t="s">
        <v>99</v>
      </c>
      <c r="C407" s="820" t="s">
        <v>1261</v>
      </c>
      <c r="D407" s="893">
        <v>39448</v>
      </c>
      <c r="E407" s="893">
        <v>39692</v>
      </c>
      <c r="F407" s="857">
        <v>2008</v>
      </c>
      <c r="G407" s="820" t="s">
        <v>1825</v>
      </c>
      <c r="H407" s="800" t="s">
        <v>1452</v>
      </c>
      <c r="I407" s="820" t="s">
        <v>1914</v>
      </c>
      <c r="J407" s="800" t="s">
        <v>2331</v>
      </c>
      <c r="K407" s="808">
        <v>800</v>
      </c>
      <c r="L407" s="808">
        <v>43626</v>
      </c>
      <c r="M407" s="808">
        <v>43626</v>
      </c>
      <c r="N407" s="808">
        <v>43626</v>
      </c>
      <c r="O407" s="808">
        <f t="shared" si="27"/>
        <v>54.532499999999999</v>
      </c>
      <c r="P407" s="808">
        <v>100</v>
      </c>
      <c r="Q407" s="808"/>
      <c r="R407" s="808"/>
      <c r="S407" s="808"/>
      <c r="T407" s="808"/>
      <c r="U407" s="808"/>
      <c r="V407" s="808"/>
      <c r="W407" s="808"/>
      <c r="X407" s="808"/>
      <c r="Y407" s="808"/>
      <c r="Z407" s="808">
        <v>194</v>
      </c>
      <c r="AA407" s="808"/>
      <c r="AB407" s="808">
        <v>13</v>
      </c>
      <c r="AC407" s="808"/>
      <c r="AD407" s="808"/>
      <c r="AE407" s="808"/>
      <c r="AF407" s="808"/>
      <c r="AG407" s="808"/>
      <c r="AH407" s="808"/>
      <c r="AI407" s="808"/>
      <c r="AJ407" s="808">
        <f t="shared" si="28"/>
        <v>194</v>
      </c>
      <c r="AK407" s="808">
        <v>425</v>
      </c>
      <c r="AL407" s="808">
        <v>103</v>
      </c>
      <c r="AM407" s="816"/>
      <c r="AN407" s="816"/>
      <c r="AO407" s="816"/>
      <c r="AP407" s="816"/>
      <c r="AQ407" s="816"/>
      <c r="AR407" s="816"/>
      <c r="AS407" s="816"/>
      <c r="AT407" s="816"/>
      <c r="AU407" s="820" t="s">
        <v>1915</v>
      </c>
    </row>
    <row r="408" spans="1:65" s="820" customFormat="1" ht="15">
      <c r="A408" s="794">
        <v>406</v>
      </c>
      <c r="B408" s="820" t="s">
        <v>1136</v>
      </c>
      <c r="C408" s="820" t="s">
        <v>1261</v>
      </c>
      <c r="D408" s="893">
        <v>39508</v>
      </c>
      <c r="E408" s="893">
        <v>39661</v>
      </c>
      <c r="F408" s="857">
        <v>2008</v>
      </c>
      <c r="G408" s="820" t="s">
        <v>1916</v>
      </c>
      <c r="H408" s="820" t="s">
        <v>1451</v>
      </c>
      <c r="I408" s="820" t="s">
        <v>1917</v>
      </c>
      <c r="J408" s="800" t="s">
        <v>2331</v>
      </c>
      <c r="K408" s="808">
        <v>5850</v>
      </c>
      <c r="L408" s="808">
        <v>259858</v>
      </c>
      <c r="M408" s="808">
        <v>259858</v>
      </c>
      <c r="N408" s="808">
        <v>254756</v>
      </c>
      <c r="O408" s="808">
        <f t="shared" si="27"/>
        <v>43.548034188034187</v>
      </c>
      <c r="P408" s="808">
        <v>100</v>
      </c>
      <c r="Q408" s="808"/>
      <c r="R408" s="808">
        <v>2200</v>
      </c>
      <c r="S408" s="808">
        <v>2200</v>
      </c>
      <c r="T408" s="808"/>
      <c r="U408" s="808"/>
      <c r="V408" s="808">
        <v>4500</v>
      </c>
      <c r="W408" s="808"/>
      <c r="X408" s="808"/>
      <c r="Y408" s="808">
        <f>X408/S408</f>
        <v>0</v>
      </c>
      <c r="Z408" s="808"/>
      <c r="AA408" s="808"/>
      <c r="AB408" s="808"/>
      <c r="AC408" s="808"/>
      <c r="AD408" s="808"/>
      <c r="AE408" s="808"/>
      <c r="AF408" s="808"/>
      <c r="AG408" s="808"/>
      <c r="AH408" s="808"/>
      <c r="AI408" s="808"/>
      <c r="AJ408" s="808">
        <f t="shared" si="28"/>
        <v>0</v>
      </c>
      <c r="AK408" s="808"/>
      <c r="AL408" s="808"/>
      <c r="AM408" s="816"/>
      <c r="AN408" s="816"/>
      <c r="AO408" s="816"/>
      <c r="AP408" s="816"/>
      <c r="AQ408" s="816"/>
      <c r="AR408" s="816"/>
      <c r="AS408" s="816"/>
      <c r="AT408" s="816"/>
      <c r="AU408" s="258" t="s">
        <v>1918</v>
      </c>
    </row>
    <row r="409" spans="1:65" s="820" customFormat="1" ht="15">
      <c r="A409" s="794">
        <v>407</v>
      </c>
      <c r="B409" s="820" t="s">
        <v>934</v>
      </c>
      <c r="C409" s="820" t="s">
        <v>1260</v>
      </c>
      <c r="D409" s="893">
        <v>39479</v>
      </c>
      <c r="E409" s="893">
        <v>39661</v>
      </c>
      <c r="F409" s="857">
        <v>2008</v>
      </c>
      <c r="G409" s="820" t="s">
        <v>116</v>
      </c>
      <c r="H409" s="820" t="s">
        <v>1451</v>
      </c>
      <c r="I409" s="820" t="s">
        <v>1919</v>
      </c>
      <c r="J409" s="800" t="s">
        <v>2331</v>
      </c>
      <c r="K409" s="808">
        <v>7750</v>
      </c>
      <c r="L409" s="808">
        <v>248198</v>
      </c>
      <c r="M409" s="808">
        <v>248193</v>
      </c>
      <c r="N409" s="808">
        <v>248193</v>
      </c>
      <c r="O409" s="808">
        <f t="shared" si="27"/>
        <v>32.024903225806455</v>
      </c>
      <c r="P409" s="808">
        <v>100</v>
      </c>
      <c r="Q409" s="808"/>
      <c r="R409" s="808"/>
      <c r="S409" s="808"/>
      <c r="T409" s="808"/>
      <c r="U409" s="808"/>
      <c r="V409" s="808"/>
      <c r="W409" s="808"/>
      <c r="X409" s="808"/>
      <c r="Y409" s="808"/>
      <c r="Z409" s="808"/>
      <c r="AA409" s="808"/>
      <c r="AB409" s="808"/>
      <c r="AC409" s="808"/>
      <c r="AD409" s="808"/>
      <c r="AE409" s="808"/>
      <c r="AF409" s="808"/>
      <c r="AG409" s="808"/>
      <c r="AH409" s="808"/>
      <c r="AI409" s="808"/>
      <c r="AJ409" s="808">
        <f t="shared" si="28"/>
        <v>0</v>
      </c>
      <c r="AK409" s="808"/>
      <c r="AL409" s="808"/>
      <c r="AM409" s="816"/>
      <c r="AN409" s="816"/>
      <c r="AO409" s="816"/>
      <c r="AP409" s="816"/>
      <c r="AQ409" s="816"/>
      <c r="AR409" s="816"/>
      <c r="AS409" s="816"/>
      <c r="AT409" s="816"/>
      <c r="AU409" s="258" t="s">
        <v>1920</v>
      </c>
    </row>
    <row r="410" spans="1:65" s="820" customFormat="1" ht="15">
      <c r="A410" s="794">
        <v>408</v>
      </c>
      <c r="B410" s="820" t="s">
        <v>1921</v>
      </c>
      <c r="C410" s="820" t="s">
        <v>1261</v>
      </c>
      <c r="D410" s="893">
        <v>39600</v>
      </c>
      <c r="E410" s="893">
        <v>39722</v>
      </c>
      <c r="F410" s="857">
        <v>2008</v>
      </c>
      <c r="G410" s="820" t="s">
        <v>1922</v>
      </c>
      <c r="H410" s="820" t="s">
        <v>1449</v>
      </c>
      <c r="I410" s="820" t="s">
        <v>1923</v>
      </c>
      <c r="J410" s="800" t="s">
        <v>2331</v>
      </c>
      <c r="K410" s="808">
        <v>40000</v>
      </c>
      <c r="L410" s="808">
        <v>69000</v>
      </c>
      <c r="M410" s="808">
        <v>69000</v>
      </c>
      <c r="N410" s="808">
        <v>69000</v>
      </c>
      <c r="O410" s="808">
        <f t="shared" si="27"/>
        <v>1.7250000000000001</v>
      </c>
      <c r="P410" s="808">
        <v>100</v>
      </c>
      <c r="Q410" s="808"/>
      <c r="R410" s="808"/>
      <c r="S410" s="808"/>
      <c r="T410" s="808"/>
      <c r="U410" s="808"/>
      <c r="V410" s="808"/>
      <c r="W410" s="808"/>
      <c r="X410" s="808"/>
      <c r="Y410" s="808"/>
      <c r="Z410" s="808"/>
      <c r="AA410" s="808">
        <v>60000</v>
      </c>
      <c r="AB410" s="808">
        <v>500</v>
      </c>
      <c r="AC410" s="808"/>
      <c r="AD410" s="808"/>
      <c r="AE410" s="808"/>
      <c r="AF410" s="808"/>
      <c r="AG410" s="808"/>
      <c r="AH410" s="808"/>
      <c r="AI410" s="808"/>
      <c r="AJ410" s="787">
        <f t="shared" si="28"/>
        <v>60000</v>
      </c>
      <c r="AK410" s="808">
        <v>15000</v>
      </c>
      <c r="AL410" s="808">
        <v>7147</v>
      </c>
      <c r="AM410" s="816"/>
      <c r="AN410" s="816"/>
      <c r="AO410" s="816"/>
      <c r="AP410" s="816"/>
      <c r="AQ410" s="816"/>
      <c r="AR410" s="816"/>
      <c r="AS410" s="816"/>
      <c r="AT410" s="816"/>
      <c r="AU410" s="258" t="s">
        <v>1924</v>
      </c>
    </row>
    <row r="411" spans="1:65" s="820" customFormat="1" ht="15">
      <c r="A411" s="794">
        <v>409</v>
      </c>
      <c r="B411" s="820" t="s">
        <v>140</v>
      </c>
      <c r="C411" s="820" t="s">
        <v>1299</v>
      </c>
      <c r="D411" s="893">
        <v>39448</v>
      </c>
      <c r="E411" s="893">
        <v>39783</v>
      </c>
      <c r="F411" s="857">
        <v>2008</v>
      </c>
      <c r="G411" s="820" t="s">
        <v>615</v>
      </c>
      <c r="H411" s="800" t="s">
        <v>1452</v>
      </c>
      <c r="I411" s="820" t="s">
        <v>1925</v>
      </c>
      <c r="J411" s="800" t="s">
        <v>2331</v>
      </c>
      <c r="K411" s="808">
        <v>15000</v>
      </c>
      <c r="L411" s="808">
        <v>86007</v>
      </c>
      <c r="M411" s="808">
        <v>86007</v>
      </c>
      <c r="N411" s="808">
        <v>85864</v>
      </c>
      <c r="O411" s="808">
        <f t="shared" si="27"/>
        <v>5.7242666666666668</v>
      </c>
      <c r="P411" s="808">
        <v>100</v>
      </c>
      <c r="Q411" s="808"/>
      <c r="R411" s="808"/>
      <c r="S411" s="808"/>
      <c r="T411" s="808"/>
      <c r="U411" s="808"/>
      <c r="V411" s="808">
        <v>15000</v>
      </c>
      <c r="W411" s="808"/>
      <c r="X411" s="808"/>
      <c r="Y411" s="808"/>
      <c r="Z411" s="808"/>
      <c r="AA411" s="808"/>
      <c r="AB411" s="808"/>
      <c r="AC411" s="808"/>
      <c r="AD411" s="808"/>
      <c r="AE411" s="808"/>
      <c r="AF411" s="808"/>
      <c r="AG411" s="808"/>
      <c r="AH411" s="808"/>
      <c r="AI411" s="808"/>
      <c r="AJ411" s="787">
        <f t="shared" si="28"/>
        <v>0</v>
      </c>
      <c r="AK411" s="808"/>
      <c r="AL411" s="808"/>
      <c r="AM411" s="816"/>
      <c r="AN411" s="816"/>
      <c r="AO411" s="816"/>
      <c r="AP411" s="816"/>
      <c r="AQ411" s="816"/>
      <c r="AR411" s="816"/>
      <c r="AS411" s="816"/>
      <c r="AT411" s="816"/>
      <c r="AU411" s="258" t="s">
        <v>1926</v>
      </c>
    </row>
    <row r="412" spans="1:65" s="820" customFormat="1" ht="15">
      <c r="A412" s="794">
        <v>410</v>
      </c>
      <c r="B412" s="820" t="s">
        <v>481</v>
      </c>
      <c r="C412" s="820" t="s">
        <v>1299</v>
      </c>
      <c r="D412" s="893">
        <v>39448</v>
      </c>
      <c r="E412" s="893">
        <v>39692</v>
      </c>
      <c r="F412" s="857">
        <v>2008</v>
      </c>
      <c r="G412" s="820" t="s">
        <v>1927</v>
      </c>
      <c r="H412" s="820" t="s">
        <v>1451</v>
      </c>
      <c r="I412" s="820" t="s">
        <v>1928</v>
      </c>
      <c r="J412" s="800" t="s">
        <v>2331</v>
      </c>
      <c r="K412" s="808">
        <v>2000</v>
      </c>
      <c r="L412" s="808">
        <v>232845</v>
      </c>
      <c r="M412" s="808">
        <v>232844</v>
      </c>
      <c r="N412" s="808">
        <v>232844</v>
      </c>
      <c r="O412" s="808">
        <f t="shared" ref="O412:O443" si="29">N412/K412</f>
        <v>116.422</v>
      </c>
      <c r="P412" s="808">
        <v>100</v>
      </c>
      <c r="Q412" s="808"/>
      <c r="R412" s="808"/>
      <c r="S412" s="808"/>
      <c r="T412" s="808"/>
      <c r="U412" s="808"/>
      <c r="V412" s="808"/>
      <c r="W412" s="808">
        <v>2500</v>
      </c>
      <c r="X412" s="808">
        <v>2500</v>
      </c>
      <c r="Y412" s="808"/>
      <c r="Z412" s="808"/>
      <c r="AA412" s="808"/>
      <c r="AB412" s="808"/>
      <c r="AC412" s="808"/>
      <c r="AD412" s="808"/>
      <c r="AE412" s="808">
        <v>102</v>
      </c>
      <c r="AF412" s="808"/>
      <c r="AG412" s="808"/>
      <c r="AH412" s="808"/>
      <c r="AI412" s="808"/>
      <c r="AJ412" s="787">
        <f t="shared" si="28"/>
        <v>0</v>
      </c>
      <c r="AK412" s="808">
        <v>38120</v>
      </c>
      <c r="AL412" s="808">
        <v>38120</v>
      </c>
      <c r="AM412" s="816"/>
      <c r="AN412" s="816"/>
      <c r="AO412" s="816"/>
      <c r="AP412" s="816"/>
      <c r="AQ412" s="816"/>
      <c r="AR412" s="816"/>
      <c r="AS412" s="816"/>
      <c r="AT412" s="816"/>
      <c r="AU412" s="258" t="s">
        <v>1929</v>
      </c>
    </row>
    <row r="413" spans="1:65" s="820" customFormat="1" ht="15">
      <c r="A413" s="794">
        <v>411</v>
      </c>
      <c r="B413" s="820" t="s">
        <v>481</v>
      </c>
      <c r="C413" s="820" t="s">
        <v>1299</v>
      </c>
      <c r="D413" s="893">
        <v>39569</v>
      </c>
      <c r="E413" s="893">
        <v>39661</v>
      </c>
      <c r="F413" s="857">
        <v>2008</v>
      </c>
      <c r="G413" s="820" t="s">
        <v>615</v>
      </c>
      <c r="H413" s="800" t="s">
        <v>1452</v>
      </c>
      <c r="I413" s="820" t="s">
        <v>1930</v>
      </c>
      <c r="J413" s="800" t="s">
        <v>2331</v>
      </c>
      <c r="K413" s="808">
        <v>3300</v>
      </c>
      <c r="L413" s="808">
        <v>109701</v>
      </c>
      <c r="M413" s="808">
        <v>109699</v>
      </c>
      <c r="N413" s="808">
        <v>109699</v>
      </c>
      <c r="O413" s="808">
        <f t="shared" si="29"/>
        <v>33.242121212121212</v>
      </c>
      <c r="P413" s="808">
        <v>100</v>
      </c>
      <c r="Q413" s="808"/>
      <c r="R413" s="808"/>
      <c r="S413" s="808"/>
      <c r="T413" s="808"/>
      <c r="U413" s="808"/>
      <c r="V413" s="808"/>
      <c r="W413" s="808"/>
      <c r="X413" s="808"/>
      <c r="Y413" s="808"/>
      <c r="Z413" s="808">
        <v>2066</v>
      </c>
      <c r="AA413" s="808">
        <v>2066</v>
      </c>
      <c r="AB413" s="808"/>
      <c r="AC413" s="808" t="s">
        <v>94</v>
      </c>
      <c r="AD413" s="808"/>
      <c r="AE413" s="808"/>
      <c r="AF413" s="808"/>
      <c r="AG413" s="808"/>
      <c r="AH413" s="808"/>
      <c r="AI413" s="808"/>
      <c r="AJ413" s="787">
        <f t="shared" si="28"/>
        <v>4132</v>
      </c>
      <c r="AK413" s="808">
        <v>11605</v>
      </c>
      <c r="AL413" s="808">
        <v>11605</v>
      </c>
      <c r="AM413" s="816"/>
      <c r="AN413" s="816"/>
      <c r="AO413" s="816"/>
      <c r="AP413" s="816"/>
      <c r="AQ413" s="816"/>
      <c r="AR413" s="816"/>
      <c r="AS413" s="816"/>
      <c r="AT413" s="816"/>
      <c r="AU413" s="258" t="s">
        <v>1931</v>
      </c>
    </row>
    <row r="414" spans="1:65" s="857" customFormat="1" ht="13.5" customHeight="1">
      <c r="A414" s="794">
        <v>412</v>
      </c>
      <c r="B414" s="800" t="s">
        <v>481</v>
      </c>
      <c r="C414" s="800" t="s">
        <v>1299</v>
      </c>
      <c r="D414" s="819">
        <v>39753</v>
      </c>
      <c r="E414" s="819">
        <v>39934</v>
      </c>
      <c r="F414" s="857">
        <v>2008</v>
      </c>
      <c r="G414" s="800" t="s">
        <v>168</v>
      </c>
      <c r="H414" s="800" t="s">
        <v>1449</v>
      </c>
      <c r="I414" s="808" t="s">
        <v>1932</v>
      </c>
      <c r="J414" s="800" t="s">
        <v>2331</v>
      </c>
      <c r="K414" s="808">
        <v>500000</v>
      </c>
      <c r="L414" s="808">
        <v>82218</v>
      </c>
      <c r="M414" s="808">
        <v>82218</v>
      </c>
      <c r="N414" s="808">
        <v>82218</v>
      </c>
      <c r="O414" s="808">
        <f t="shared" si="29"/>
        <v>0.164436</v>
      </c>
      <c r="P414" s="808">
        <v>100</v>
      </c>
      <c r="Q414" s="808">
        <v>287383</v>
      </c>
      <c r="R414" s="808">
        <f>2377*5</f>
        <v>11885</v>
      </c>
      <c r="S414" s="808">
        <v>287383</v>
      </c>
      <c r="T414" s="808"/>
      <c r="U414" s="808">
        <v>1207</v>
      </c>
      <c r="V414" s="808">
        <v>287383</v>
      </c>
      <c r="W414" s="808"/>
      <c r="X414" s="808"/>
      <c r="Y414" s="808">
        <f>X414/S414</f>
        <v>0</v>
      </c>
      <c r="Z414" s="808"/>
      <c r="AA414" s="808">
        <v>182035</v>
      </c>
      <c r="AB414" s="808">
        <v>1207</v>
      </c>
      <c r="AC414" s="808"/>
      <c r="AD414" s="808"/>
      <c r="AE414" s="808"/>
      <c r="AF414" s="808"/>
      <c r="AG414" s="808"/>
      <c r="AH414" s="808"/>
      <c r="AI414" s="808"/>
      <c r="AJ414" s="808">
        <f t="shared" si="28"/>
        <v>182035</v>
      </c>
      <c r="AK414" s="808"/>
      <c r="AL414" s="808"/>
      <c r="AM414" s="808"/>
      <c r="AN414" s="808"/>
      <c r="AO414" s="808"/>
      <c r="AP414" s="808"/>
      <c r="AQ414" s="808"/>
      <c r="AR414" s="808"/>
      <c r="AS414" s="808"/>
      <c r="AT414" s="808"/>
      <c r="AU414" s="258" t="s">
        <v>1933</v>
      </c>
      <c r="AV414" s="800"/>
      <c r="AW414" s="800"/>
      <c r="AX414" s="800"/>
      <c r="AY414" s="800"/>
      <c r="AZ414" s="800"/>
      <c r="BA414" s="800"/>
      <c r="BB414" s="800"/>
      <c r="BC414" s="800"/>
      <c r="BD414" s="800"/>
      <c r="BE414" s="800"/>
      <c r="BF414" s="800"/>
      <c r="BG414" s="800"/>
      <c r="BH414" s="800"/>
      <c r="BI414" s="800"/>
      <c r="BJ414" s="800"/>
      <c r="BK414" s="800"/>
      <c r="BL414" s="800"/>
      <c r="BM414" s="800"/>
    </row>
    <row r="415" spans="1:65" s="816" customFormat="1" ht="18" customHeight="1">
      <c r="A415" s="794">
        <v>413</v>
      </c>
      <c r="B415" s="804" t="s">
        <v>213</v>
      </c>
      <c r="C415" s="872" t="s">
        <v>1278</v>
      </c>
      <c r="D415" s="840">
        <v>39753</v>
      </c>
      <c r="E415" s="840">
        <v>40483</v>
      </c>
      <c r="F415" s="857">
        <v>2008</v>
      </c>
      <c r="G415" s="872" t="s">
        <v>623</v>
      </c>
      <c r="H415" s="841" t="s">
        <v>1451</v>
      </c>
      <c r="I415" s="872" t="s">
        <v>1023</v>
      </c>
      <c r="J415" s="812" t="s">
        <v>2438</v>
      </c>
      <c r="K415" s="817">
        <v>10500</v>
      </c>
      <c r="L415" s="817">
        <v>1997283</v>
      </c>
      <c r="M415" s="817">
        <v>1389703</v>
      </c>
      <c r="N415" s="817">
        <v>1380109</v>
      </c>
      <c r="O415" s="808">
        <f t="shared" si="29"/>
        <v>131.43895238095237</v>
      </c>
      <c r="P415" s="817">
        <v>70</v>
      </c>
      <c r="Q415" s="817">
        <f>499*5</f>
        <v>2495</v>
      </c>
      <c r="R415" s="817">
        <f>150+450+200</f>
        <v>800</v>
      </c>
      <c r="S415" s="817">
        <v>2495</v>
      </c>
      <c r="T415" s="817" t="s">
        <v>233</v>
      </c>
      <c r="U415" s="817">
        <v>120</v>
      </c>
      <c r="V415" s="817">
        <v>56000</v>
      </c>
      <c r="W415" s="817">
        <v>110360</v>
      </c>
      <c r="X415" s="817">
        <v>21185</v>
      </c>
      <c r="Y415" s="808">
        <f>X415/S415</f>
        <v>8.4909819639278563</v>
      </c>
      <c r="Z415" s="817"/>
      <c r="AA415" s="817" t="s">
        <v>134</v>
      </c>
      <c r="AB415" s="817">
        <v>160</v>
      </c>
      <c r="AC415" s="817" t="s">
        <v>75</v>
      </c>
      <c r="AD415" s="817" t="s">
        <v>75</v>
      </c>
      <c r="AE415" s="817">
        <v>4568</v>
      </c>
      <c r="AF415" s="817" t="s">
        <v>75</v>
      </c>
      <c r="AG415" s="817" t="s">
        <v>75</v>
      </c>
      <c r="AH415" s="817" t="s">
        <v>75</v>
      </c>
      <c r="AI415" s="817" t="s">
        <v>75</v>
      </c>
      <c r="AJ415" s="808">
        <f t="shared" si="28"/>
        <v>0</v>
      </c>
      <c r="AK415" s="817">
        <v>0</v>
      </c>
      <c r="AL415" s="817">
        <v>5442</v>
      </c>
      <c r="AM415" s="817"/>
      <c r="AN415" s="817"/>
      <c r="AO415" s="817"/>
      <c r="AP415" s="817"/>
      <c r="AQ415" s="817"/>
      <c r="AR415" s="817"/>
      <c r="AS415" s="817" t="s">
        <v>75</v>
      </c>
      <c r="AT415" s="817" t="s">
        <v>75</v>
      </c>
      <c r="AU415" s="322" t="s">
        <v>1024</v>
      </c>
      <c r="AV415" s="857"/>
      <c r="AW415" s="857"/>
      <c r="AX415" s="857"/>
      <c r="AY415" s="857"/>
      <c r="AZ415" s="857"/>
      <c r="BA415" s="857"/>
      <c r="BB415" s="857"/>
      <c r="BC415" s="857"/>
      <c r="BD415" s="857"/>
      <c r="BE415" s="857"/>
      <c r="BF415" s="857"/>
      <c r="BG415" s="857"/>
      <c r="BH415" s="857"/>
      <c r="BI415" s="857"/>
      <c r="BJ415" s="857"/>
      <c r="BK415" s="857"/>
      <c r="BL415" s="857"/>
      <c r="BM415" s="857"/>
    </row>
    <row r="416" spans="1:65" s="808" customFormat="1" ht="15">
      <c r="A416" s="794">
        <v>414</v>
      </c>
      <c r="B416" s="808" t="s">
        <v>97</v>
      </c>
      <c r="C416" s="808" t="s">
        <v>1299</v>
      </c>
      <c r="D416" s="819">
        <v>39569</v>
      </c>
      <c r="E416" s="819">
        <v>39722</v>
      </c>
      <c r="F416" s="857">
        <v>2008</v>
      </c>
      <c r="G416" s="808" t="s">
        <v>569</v>
      </c>
      <c r="H416" s="808" t="s">
        <v>1449</v>
      </c>
      <c r="I416" s="808" t="s">
        <v>1951</v>
      </c>
      <c r="J416" s="800" t="s">
        <v>2331</v>
      </c>
      <c r="K416" s="808">
        <v>500000</v>
      </c>
      <c r="L416" s="808">
        <v>33336</v>
      </c>
      <c r="M416" s="808">
        <v>33336</v>
      </c>
      <c r="N416" s="808">
        <v>33336</v>
      </c>
      <c r="O416" s="808">
        <f t="shared" si="29"/>
        <v>6.6671999999999995E-2</v>
      </c>
      <c r="P416" s="808">
        <v>100</v>
      </c>
      <c r="AA416" s="808">
        <v>500000</v>
      </c>
      <c r="AB416" s="808">
        <v>300</v>
      </c>
      <c r="AJ416" s="787">
        <f t="shared" si="28"/>
        <v>500000</v>
      </c>
      <c r="AU416" s="380" t="s">
        <v>1952</v>
      </c>
    </row>
    <row r="417" spans="1:47" s="816" customFormat="1" ht="15">
      <c r="A417" s="794">
        <v>415</v>
      </c>
      <c r="B417" s="816" t="s">
        <v>649</v>
      </c>
      <c r="C417" s="816" t="s">
        <v>1261</v>
      </c>
      <c r="D417" s="893">
        <v>39783</v>
      </c>
      <c r="E417" s="893">
        <v>39995</v>
      </c>
      <c r="F417" s="857">
        <v>2008</v>
      </c>
      <c r="G417" s="816" t="s">
        <v>5</v>
      </c>
      <c r="H417" s="816" t="s">
        <v>1451</v>
      </c>
      <c r="I417" s="816" t="s">
        <v>1953</v>
      </c>
      <c r="J417" s="800" t="s">
        <v>2331</v>
      </c>
      <c r="K417" s="808">
        <v>15450</v>
      </c>
      <c r="L417" s="808">
        <v>190000</v>
      </c>
      <c r="M417" s="808">
        <v>190000</v>
      </c>
      <c r="N417" s="808">
        <v>179103</v>
      </c>
      <c r="O417" s="808">
        <f t="shared" si="29"/>
        <v>11.59242718446602</v>
      </c>
      <c r="P417" s="808">
        <v>100</v>
      </c>
      <c r="Q417" s="808"/>
      <c r="R417" s="808"/>
      <c r="S417" s="808"/>
      <c r="T417" s="808"/>
      <c r="U417" s="808">
        <v>68</v>
      </c>
      <c r="V417" s="808">
        <v>15000</v>
      </c>
      <c r="W417" s="808">
        <v>9768</v>
      </c>
      <c r="X417" s="808">
        <v>9768</v>
      </c>
      <c r="Y417" s="808"/>
      <c r="Z417" s="808"/>
      <c r="AA417" s="808"/>
      <c r="AB417" s="808"/>
      <c r="AC417" s="808"/>
      <c r="AD417" s="808"/>
      <c r="AE417" s="808">
        <v>2000</v>
      </c>
      <c r="AF417" s="808"/>
      <c r="AG417" s="808"/>
      <c r="AH417" s="808"/>
      <c r="AI417" s="808"/>
      <c r="AJ417" s="787">
        <f t="shared" si="28"/>
        <v>0</v>
      </c>
      <c r="AK417" s="808"/>
      <c r="AL417" s="808"/>
      <c r="AU417" s="291" t="s">
        <v>1954</v>
      </c>
    </row>
    <row r="418" spans="1:47" s="808" customFormat="1" ht="15">
      <c r="A418" s="794">
        <v>416</v>
      </c>
      <c r="B418" s="808" t="s">
        <v>1475</v>
      </c>
      <c r="C418" s="808" t="s">
        <v>1286</v>
      </c>
      <c r="D418" s="819">
        <v>39479</v>
      </c>
      <c r="E418" s="819">
        <v>39934</v>
      </c>
      <c r="F418" s="857">
        <v>2008</v>
      </c>
      <c r="G418" s="808" t="s">
        <v>1955</v>
      </c>
      <c r="H418" s="808" t="s">
        <v>1449</v>
      </c>
      <c r="I418" s="808" t="s">
        <v>1956</v>
      </c>
      <c r="J418" s="800" t="s">
        <v>2331</v>
      </c>
      <c r="K418" s="808">
        <v>190500</v>
      </c>
      <c r="L418" s="808">
        <v>78000</v>
      </c>
      <c r="M418" s="808">
        <v>70731</v>
      </c>
      <c r="N418" s="808">
        <v>70731</v>
      </c>
      <c r="O418" s="808">
        <f t="shared" si="29"/>
        <v>0.37129133858267716</v>
      </c>
      <c r="P418" s="808">
        <v>91</v>
      </c>
      <c r="AA418" s="808">
        <v>576545</v>
      </c>
      <c r="AB418" s="808">
        <v>539</v>
      </c>
      <c r="AJ418" s="787">
        <f t="shared" si="28"/>
        <v>576545</v>
      </c>
      <c r="AU418" s="380" t="s">
        <v>1957</v>
      </c>
    </row>
    <row r="419" spans="1:47" s="816" customFormat="1" ht="15">
      <c r="A419" s="794">
        <v>417</v>
      </c>
      <c r="B419" s="816" t="s">
        <v>1475</v>
      </c>
      <c r="C419" s="816" t="s">
        <v>1286</v>
      </c>
      <c r="D419" s="893">
        <v>39661</v>
      </c>
      <c r="E419" s="893">
        <v>39934</v>
      </c>
      <c r="F419" s="857">
        <v>2008</v>
      </c>
      <c r="G419" s="816" t="s">
        <v>1958</v>
      </c>
      <c r="H419" s="816" t="s">
        <v>1451</v>
      </c>
      <c r="I419" s="816" t="s">
        <v>1959</v>
      </c>
      <c r="J419" s="800" t="s">
        <v>2331</v>
      </c>
      <c r="K419" s="808">
        <v>1690</v>
      </c>
      <c r="L419" s="808">
        <v>56605</v>
      </c>
      <c r="M419" s="808">
        <v>53913</v>
      </c>
      <c r="N419" s="808">
        <v>53913</v>
      </c>
      <c r="O419" s="808">
        <f t="shared" si="29"/>
        <v>31.901183431952663</v>
      </c>
      <c r="P419" s="808">
        <v>95</v>
      </c>
      <c r="Q419" s="808"/>
      <c r="R419" s="808"/>
      <c r="S419" s="808"/>
      <c r="T419" s="808"/>
      <c r="U419" s="808"/>
      <c r="V419" s="808"/>
      <c r="W419" s="808"/>
      <c r="X419" s="808"/>
      <c r="Y419" s="808"/>
      <c r="Z419" s="808"/>
      <c r="AA419" s="808"/>
      <c r="AB419" s="808"/>
      <c r="AC419" s="808"/>
      <c r="AD419" s="808"/>
      <c r="AE419" s="808"/>
      <c r="AF419" s="808"/>
      <c r="AG419" s="808"/>
      <c r="AH419" s="808"/>
      <c r="AI419" s="808"/>
      <c r="AJ419" s="808">
        <f t="shared" si="28"/>
        <v>0</v>
      </c>
      <c r="AK419" s="808"/>
      <c r="AL419" s="808"/>
      <c r="AU419" s="291" t="s">
        <v>1960</v>
      </c>
    </row>
    <row r="420" spans="1:47" s="816" customFormat="1" ht="15">
      <c r="A420" s="794">
        <v>418</v>
      </c>
      <c r="B420" s="816" t="s">
        <v>1475</v>
      </c>
      <c r="C420" s="816" t="s">
        <v>1286</v>
      </c>
      <c r="D420" s="893">
        <v>39692</v>
      </c>
      <c r="E420" s="893">
        <v>39873</v>
      </c>
      <c r="F420" s="857">
        <v>2008</v>
      </c>
      <c r="G420" s="816" t="s">
        <v>79</v>
      </c>
      <c r="H420" s="816" t="s">
        <v>1451</v>
      </c>
      <c r="I420" s="816" t="s">
        <v>1961</v>
      </c>
      <c r="J420" s="800" t="s">
        <v>2331</v>
      </c>
      <c r="K420" s="808">
        <v>6305</v>
      </c>
      <c r="L420" s="808"/>
      <c r="M420" s="808"/>
      <c r="N420" s="808"/>
      <c r="O420" s="808">
        <f t="shared" si="29"/>
        <v>0</v>
      </c>
      <c r="P420" s="808"/>
      <c r="Q420" s="808">
        <v>3600</v>
      </c>
      <c r="S420" s="808">
        <v>3600</v>
      </c>
      <c r="T420" s="808"/>
      <c r="U420" s="808"/>
      <c r="V420" s="808"/>
      <c r="W420" s="808"/>
      <c r="X420" s="808"/>
      <c r="Y420" s="808">
        <f>X420/S420</f>
        <v>0</v>
      </c>
      <c r="Z420" s="808"/>
      <c r="AA420" s="808"/>
      <c r="AB420" s="808"/>
      <c r="AC420" s="808"/>
      <c r="AD420" s="808"/>
      <c r="AE420" s="808"/>
      <c r="AF420" s="808"/>
      <c r="AG420" s="808"/>
      <c r="AH420" s="808"/>
      <c r="AI420" s="808"/>
      <c r="AJ420" s="808">
        <f t="shared" si="28"/>
        <v>0</v>
      </c>
      <c r="AK420" s="808"/>
      <c r="AL420" s="808"/>
      <c r="AU420" s="291" t="s">
        <v>1962</v>
      </c>
    </row>
    <row r="421" spans="1:47" s="816" customFormat="1" ht="15">
      <c r="A421" s="794">
        <v>419</v>
      </c>
      <c r="B421" s="816" t="s">
        <v>153</v>
      </c>
      <c r="C421" s="816" t="s">
        <v>1299</v>
      </c>
      <c r="D421" s="893">
        <v>39722</v>
      </c>
      <c r="E421" s="893">
        <v>39904</v>
      </c>
      <c r="F421" s="857">
        <v>2008</v>
      </c>
      <c r="G421" s="816" t="s">
        <v>1004</v>
      </c>
      <c r="H421" s="816" t="s">
        <v>1451</v>
      </c>
      <c r="I421" s="816" t="s">
        <v>1963</v>
      </c>
      <c r="J421" s="800" t="s">
        <v>2331</v>
      </c>
      <c r="K421" s="808">
        <v>5000</v>
      </c>
      <c r="L421" s="808">
        <v>159334</v>
      </c>
      <c r="M421" s="808">
        <v>159334</v>
      </c>
      <c r="N421" s="808">
        <v>159334</v>
      </c>
      <c r="O421" s="808">
        <f t="shared" si="29"/>
        <v>31.866800000000001</v>
      </c>
      <c r="P421" s="808">
        <v>100</v>
      </c>
      <c r="Q421" s="808"/>
      <c r="R421" s="808"/>
      <c r="S421" s="808"/>
      <c r="T421" s="808"/>
      <c r="U421" s="808"/>
      <c r="V421" s="808"/>
      <c r="W421" s="808"/>
      <c r="X421" s="808"/>
      <c r="Y421" s="808"/>
      <c r="Z421" s="808"/>
      <c r="AA421" s="808"/>
      <c r="AB421" s="808"/>
      <c r="AC421" s="808"/>
      <c r="AD421" s="808"/>
      <c r="AE421" s="808"/>
      <c r="AF421" s="808"/>
      <c r="AG421" s="808"/>
      <c r="AH421" s="808"/>
      <c r="AI421" s="808"/>
      <c r="AJ421" s="808">
        <f t="shared" si="28"/>
        <v>0</v>
      </c>
      <c r="AK421" s="808"/>
      <c r="AL421" s="808"/>
      <c r="AU421" s="291" t="s">
        <v>1964</v>
      </c>
    </row>
    <row r="422" spans="1:47" s="808" customFormat="1" ht="15">
      <c r="A422" s="794">
        <v>420</v>
      </c>
      <c r="B422" s="808" t="s">
        <v>26</v>
      </c>
      <c r="C422" s="808" t="s">
        <v>1299</v>
      </c>
      <c r="D422" s="819">
        <v>39448</v>
      </c>
      <c r="E422" s="819">
        <v>39845</v>
      </c>
      <c r="F422" s="857">
        <v>2008</v>
      </c>
      <c r="G422" s="808" t="s">
        <v>1965</v>
      </c>
      <c r="H422" s="808" t="s">
        <v>1449</v>
      </c>
      <c r="I422" s="808" t="s">
        <v>1966</v>
      </c>
      <c r="J422" s="800" t="s">
        <v>2331</v>
      </c>
      <c r="K422" s="808">
        <v>160000</v>
      </c>
      <c r="L422" s="808">
        <v>249345</v>
      </c>
      <c r="M422" s="808">
        <v>249344</v>
      </c>
      <c r="N422" s="808">
        <v>249344</v>
      </c>
      <c r="O422" s="808">
        <f t="shared" si="29"/>
        <v>1.5584</v>
      </c>
      <c r="P422" s="808">
        <v>100</v>
      </c>
      <c r="U422" s="808">
        <v>100</v>
      </c>
      <c r="V422" s="808">
        <v>160000</v>
      </c>
      <c r="W422" s="808">
        <v>205587</v>
      </c>
      <c r="X422" s="808">
        <v>123232</v>
      </c>
      <c r="AA422" s="808">
        <v>160000</v>
      </c>
      <c r="AJ422" s="808">
        <f t="shared" si="28"/>
        <v>160000</v>
      </c>
      <c r="AU422" s="380" t="s">
        <v>1967</v>
      </c>
    </row>
    <row r="423" spans="1:47" s="816" customFormat="1" ht="15">
      <c r="A423" s="794">
        <v>421</v>
      </c>
      <c r="B423" s="816" t="s">
        <v>171</v>
      </c>
      <c r="C423" s="816" t="s">
        <v>1299</v>
      </c>
      <c r="D423" s="893">
        <v>39448</v>
      </c>
      <c r="E423" s="893">
        <v>39692</v>
      </c>
      <c r="F423" s="857">
        <v>2008</v>
      </c>
      <c r="G423" s="816" t="s">
        <v>5</v>
      </c>
      <c r="H423" s="816" t="s">
        <v>1451</v>
      </c>
      <c r="I423" s="816" t="s">
        <v>1968</v>
      </c>
      <c r="J423" s="800" t="s">
        <v>2331</v>
      </c>
      <c r="K423" s="808">
        <v>7500</v>
      </c>
      <c r="L423" s="808">
        <v>88353</v>
      </c>
      <c r="M423" s="808">
        <v>79452</v>
      </c>
      <c r="N423" s="808">
        <v>79452</v>
      </c>
      <c r="O423" s="808">
        <f t="shared" si="29"/>
        <v>10.5936</v>
      </c>
      <c r="P423" s="808">
        <v>90</v>
      </c>
      <c r="Q423" s="808"/>
      <c r="R423" s="808"/>
      <c r="S423" s="808"/>
      <c r="T423" s="808"/>
      <c r="U423" s="808">
        <v>100</v>
      </c>
      <c r="V423" s="808">
        <v>24000</v>
      </c>
      <c r="W423" s="808"/>
      <c r="X423" s="808"/>
      <c r="Y423" s="808"/>
      <c r="Z423" s="808"/>
      <c r="AA423" s="808">
        <v>24000</v>
      </c>
      <c r="AB423" s="808"/>
      <c r="AC423" s="808">
        <v>100</v>
      </c>
      <c r="AD423" s="808"/>
      <c r="AE423" s="808">
        <v>830</v>
      </c>
      <c r="AF423" s="808"/>
      <c r="AG423" s="808"/>
      <c r="AH423" s="808"/>
      <c r="AI423" s="808"/>
      <c r="AJ423" s="808">
        <f t="shared" si="28"/>
        <v>24000</v>
      </c>
      <c r="AK423" s="808">
        <v>3700</v>
      </c>
      <c r="AL423" s="808">
        <v>3749</v>
      </c>
      <c r="AU423" s="291" t="s">
        <v>1969</v>
      </c>
    </row>
    <row r="424" spans="1:47" s="816" customFormat="1" ht="15">
      <c r="A424" s="794">
        <v>422</v>
      </c>
      <c r="B424" s="816" t="s">
        <v>171</v>
      </c>
      <c r="C424" s="816" t="s">
        <v>1299</v>
      </c>
      <c r="D424" s="893">
        <v>39539</v>
      </c>
      <c r="E424" s="893">
        <v>39692</v>
      </c>
      <c r="F424" s="857">
        <v>2008</v>
      </c>
      <c r="G424" s="816" t="s">
        <v>1970</v>
      </c>
      <c r="H424" s="808" t="s">
        <v>1452</v>
      </c>
      <c r="I424" s="816" t="s">
        <v>1971</v>
      </c>
      <c r="J424" s="800" t="s">
        <v>2331</v>
      </c>
      <c r="K424" s="808">
        <v>38000</v>
      </c>
      <c r="L424" s="808">
        <v>11594</v>
      </c>
      <c r="M424" s="808">
        <v>10607</v>
      </c>
      <c r="N424" s="808">
        <v>10607</v>
      </c>
      <c r="O424" s="808">
        <f t="shared" si="29"/>
        <v>0.2791315789473684</v>
      </c>
      <c r="P424" s="808">
        <v>91</v>
      </c>
      <c r="Q424" s="808"/>
      <c r="R424" s="808"/>
      <c r="S424" s="808"/>
      <c r="T424" s="808"/>
      <c r="U424" s="808"/>
      <c r="V424" s="808"/>
      <c r="W424" s="808">
        <v>200</v>
      </c>
      <c r="X424" s="808">
        <v>200</v>
      </c>
      <c r="Y424" s="808"/>
      <c r="Z424" s="808"/>
      <c r="AA424" s="808"/>
      <c r="AB424" s="808">
        <v>15</v>
      </c>
      <c r="AC424" s="808"/>
      <c r="AD424" s="808"/>
      <c r="AE424" s="808">
        <v>400</v>
      </c>
      <c r="AF424" s="808"/>
      <c r="AG424" s="808"/>
      <c r="AH424" s="808"/>
      <c r="AI424" s="808"/>
      <c r="AJ424" s="808">
        <f t="shared" si="28"/>
        <v>0</v>
      </c>
      <c r="AK424" s="808"/>
      <c r="AL424" s="808"/>
      <c r="AU424" s="291" t="s">
        <v>1972</v>
      </c>
    </row>
    <row r="425" spans="1:47" s="816" customFormat="1" ht="15">
      <c r="A425" s="794">
        <v>423</v>
      </c>
      <c r="B425" s="816" t="s">
        <v>148</v>
      </c>
      <c r="C425" s="816" t="s">
        <v>1299</v>
      </c>
      <c r="D425" s="893">
        <v>39448</v>
      </c>
      <c r="E425" s="893">
        <v>39692</v>
      </c>
      <c r="F425" s="857">
        <v>2008</v>
      </c>
      <c r="G425" s="816" t="s">
        <v>1973</v>
      </c>
      <c r="H425" s="808" t="s">
        <v>1452</v>
      </c>
      <c r="I425" s="816" t="s">
        <v>1974</v>
      </c>
      <c r="J425" s="800" t="s">
        <v>2331</v>
      </c>
      <c r="K425" s="808">
        <v>3000</v>
      </c>
      <c r="L425" s="808">
        <v>203495</v>
      </c>
      <c r="M425" s="808">
        <v>200000</v>
      </c>
      <c r="N425" s="808">
        <v>200000</v>
      </c>
      <c r="O425" s="808">
        <f t="shared" si="29"/>
        <v>66.666666666666671</v>
      </c>
      <c r="P425" s="808">
        <v>98</v>
      </c>
      <c r="Q425" s="808">
        <v>3000</v>
      </c>
      <c r="R425" s="808">
        <v>3000</v>
      </c>
      <c r="S425" s="808">
        <v>3000</v>
      </c>
      <c r="T425" s="808"/>
      <c r="U425" s="808"/>
      <c r="V425" s="808"/>
      <c r="W425" s="808">
        <v>28166</v>
      </c>
      <c r="X425" s="808">
        <f>W425*0.98</f>
        <v>27602.68</v>
      </c>
      <c r="Y425" s="808">
        <f>X425/S425</f>
        <v>9.2008933333333331</v>
      </c>
      <c r="Z425" s="808"/>
      <c r="AA425" s="808">
        <v>3000</v>
      </c>
      <c r="AB425" s="808"/>
      <c r="AC425" s="808"/>
      <c r="AD425" s="808"/>
      <c r="AE425" s="808"/>
      <c r="AF425" s="808"/>
      <c r="AG425" s="808"/>
      <c r="AH425" s="808"/>
      <c r="AI425" s="808"/>
      <c r="AJ425" s="808">
        <f t="shared" si="28"/>
        <v>3000</v>
      </c>
      <c r="AK425" s="808">
        <v>1500</v>
      </c>
      <c r="AL425" s="808">
        <f>AK425*0.98</f>
        <v>1470</v>
      </c>
      <c r="AU425" s="291" t="s">
        <v>1975</v>
      </c>
    </row>
    <row r="426" spans="1:47" s="816" customFormat="1" ht="15">
      <c r="A426" s="794">
        <v>424</v>
      </c>
      <c r="B426" s="816" t="s">
        <v>148</v>
      </c>
      <c r="C426" s="816" t="s">
        <v>1299</v>
      </c>
      <c r="D426" s="893">
        <v>39692</v>
      </c>
      <c r="E426" s="893">
        <v>39965</v>
      </c>
      <c r="F426" s="857">
        <v>2008</v>
      </c>
      <c r="G426" s="816" t="s">
        <v>1976</v>
      </c>
      <c r="H426" s="816" t="s">
        <v>1451</v>
      </c>
      <c r="I426" s="816" t="s">
        <v>1977</v>
      </c>
      <c r="J426" s="800" t="s">
        <v>2331</v>
      </c>
      <c r="K426" s="808">
        <v>33939</v>
      </c>
      <c r="L426" s="808">
        <v>191839</v>
      </c>
      <c r="M426" s="808">
        <v>191813</v>
      </c>
      <c r="N426" s="808">
        <v>191813</v>
      </c>
      <c r="O426" s="808">
        <f t="shared" si="29"/>
        <v>5.6516986357877368</v>
      </c>
      <c r="P426" s="808">
        <v>100</v>
      </c>
      <c r="Q426" s="808"/>
      <c r="R426" s="808"/>
      <c r="S426" s="808"/>
      <c r="T426" s="808"/>
      <c r="U426" s="808"/>
      <c r="V426" s="808"/>
      <c r="W426" s="808"/>
      <c r="X426" s="808"/>
      <c r="Y426" s="808"/>
      <c r="Z426" s="808"/>
      <c r="AA426" s="808"/>
      <c r="AB426" s="808"/>
      <c r="AC426" s="808"/>
      <c r="AD426" s="808"/>
      <c r="AE426" s="808"/>
      <c r="AF426" s="808"/>
      <c r="AG426" s="808"/>
      <c r="AH426" s="808"/>
      <c r="AI426" s="808"/>
      <c r="AJ426" s="808">
        <f t="shared" si="28"/>
        <v>0</v>
      </c>
      <c r="AK426" s="808"/>
      <c r="AL426" s="808"/>
      <c r="AU426" s="291" t="s">
        <v>1978</v>
      </c>
    </row>
    <row r="427" spans="1:47" s="816" customFormat="1" ht="15">
      <c r="A427" s="794">
        <v>425</v>
      </c>
      <c r="B427" s="816" t="s">
        <v>1400</v>
      </c>
      <c r="C427" s="816" t="s">
        <v>1261</v>
      </c>
      <c r="D427" s="893">
        <v>39630</v>
      </c>
      <c r="E427" s="893">
        <v>39753</v>
      </c>
      <c r="F427" s="857">
        <v>2008</v>
      </c>
      <c r="G427" s="816" t="s">
        <v>989</v>
      </c>
      <c r="H427" s="808" t="s">
        <v>1452</v>
      </c>
      <c r="I427" s="816" t="s">
        <v>1979</v>
      </c>
      <c r="J427" s="800" t="s">
        <v>2331</v>
      </c>
      <c r="K427" s="808">
        <v>2500</v>
      </c>
      <c r="L427" s="808">
        <v>58770</v>
      </c>
      <c r="M427" s="808">
        <v>58770</v>
      </c>
      <c r="N427" s="808">
        <v>58770</v>
      </c>
      <c r="O427" s="808">
        <f t="shared" si="29"/>
        <v>23.507999999999999</v>
      </c>
      <c r="P427" s="808">
        <v>100</v>
      </c>
      <c r="Q427" s="808"/>
      <c r="R427" s="808"/>
      <c r="S427" s="808"/>
      <c r="T427" s="808"/>
      <c r="U427" s="808"/>
      <c r="V427" s="808"/>
      <c r="W427" s="808"/>
      <c r="X427" s="808"/>
      <c r="Y427" s="808"/>
      <c r="Z427" s="808"/>
      <c r="AA427" s="808"/>
      <c r="AB427" s="808"/>
      <c r="AC427" s="808"/>
      <c r="AD427" s="808"/>
      <c r="AE427" s="808"/>
      <c r="AF427" s="808"/>
      <c r="AG427" s="808"/>
      <c r="AH427" s="808"/>
      <c r="AI427" s="808"/>
      <c r="AJ427" s="808">
        <f t="shared" si="28"/>
        <v>0</v>
      </c>
      <c r="AK427" s="808"/>
      <c r="AL427" s="808"/>
      <c r="AU427" s="291" t="s">
        <v>1980</v>
      </c>
    </row>
    <row r="428" spans="1:47" s="816" customFormat="1" ht="15">
      <c r="A428" s="794">
        <v>426</v>
      </c>
      <c r="B428" s="816" t="s">
        <v>1484</v>
      </c>
      <c r="C428" s="816" t="s">
        <v>1261</v>
      </c>
      <c r="D428" s="893">
        <v>39661</v>
      </c>
      <c r="E428" s="893">
        <v>39753</v>
      </c>
      <c r="F428" s="857">
        <v>2008</v>
      </c>
      <c r="G428" s="816" t="s">
        <v>1981</v>
      </c>
      <c r="H428" s="816" t="s">
        <v>1451</v>
      </c>
      <c r="I428" s="816" t="s">
        <v>1982</v>
      </c>
      <c r="J428" s="800" t="s">
        <v>2331</v>
      </c>
      <c r="K428" s="808">
        <v>24000</v>
      </c>
      <c r="L428" s="808">
        <v>200000</v>
      </c>
      <c r="M428" s="808">
        <v>200000</v>
      </c>
      <c r="N428" s="808">
        <v>200000</v>
      </c>
      <c r="O428" s="808">
        <f t="shared" si="29"/>
        <v>8.3333333333333339</v>
      </c>
      <c r="P428" s="808">
        <v>100</v>
      </c>
      <c r="Q428" s="808"/>
      <c r="R428" s="808"/>
      <c r="S428" s="808"/>
      <c r="T428" s="808"/>
      <c r="U428" s="808"/>
      <c r="V428" s="808"/>
      <c r="W428" s="808"/>
      <c r="X428" s="808"/>
      <c r="Y428" s="808"/>
      <c r="Z428" s="808"/>
      <c r="AA428" s="808"/>
      <c r="AB428" s="808"/>
      <c r="AC428" s="808"/>
      <c r="AD428" s="808"/>
      <c r="AE428" s="808">
        <v>10000</v>
      </c>
      <c r="AF428" s="808"/>
      <c r="AG428" s="808"/>
      <c r="AH428" s="808"/>
      <c r="AI428" s="808"/>
      <c r="AJ428" s="787">
        <f t="shared" si="28"/>
        <v>0</v>
      </c>
      <c r="AK428" s="808"/>
      <c r="AL428" s="808"/>
      <c r="AU428" s="291" t="s">
        <v>1983</v>
      </c>
    </row>
    <row r="429" spans="1:47" s="808" customFormat="1" ht="15">
      <c r="A429" s="794">
        <v>427</v>
      </c>
      <c r="B429" s="808" t="s">
        <v>1484</v>
      </c>
      <c r="C429" s="808" t="s">
        <v>1261</v>
      </c>
      <c r="D429" s="819">
        <v>39722</v>
      </c>
      <c r="E429" s="819">
        <v>39845</v>
      </c>
      <c r="F429" s="857">
        <v>2008</v>
      </c>
      <c r="G429" s="808" t="s">
        <v>1120</v>
      </c>
      <c r="H429" s="808" t="s">
        <v>1451</v>
      </c>
      <c r="I429" s="808" t="s">
        <v>1984</v>
      </c>
      <c r="J429" s="800" t="s">
        <v>2331</v>
      </c>
      <c r="K429" s="808">
        <v>56444</v>
      </c>
      <c r="L429" s="808">
        <v>200000</v>
      </c>
      <c r="M429" s="808">
        <v>200000</v>
      </c>
      <c r="N429" s="808">
        <v>200000</v>
      </c>
      <c r="O429" s="808">
        <f t="shared" si="29"/>
        <v>3.5433349868896604</v>
      </c>
      <c r="P429" s="808">
        <v>100</v>
      </c>
      <c r="AJ429" s="808">
        <f t="shared" si="28"/>
        <v>0</v>
      </c>
      <c r="AU429" s="380" t="s">
        <v>1985</v>
      </c>
    </row>
    <row r="430" spans="1:47" s="816" customFormat="1" ht="15">
      <c r="A430" s="794">
        <v>428</v>
      </c>
      <c r="B430" s="816" t="s">
        <v>462</v>
      </c>
      <c r="C430" s="816" t="s">
        <v>1299</v>
      </c>
      <c r="D430" s="893">
        <v>39569</v>
      </c>
      <c r="E430" s="893">
        <v>39600</v>
      </c>
      <c r="F430" s="857">
        <v>2008</v>
      </c>
      <c r="G430" s="816" t="s">
        <v>1986</v>
      </c>
      <c r="H430" s="808" t="s">
        <v>1452</v>
      </c>
      <c r="I430" s="816" t="s">
        <v>1987</v>
      </c>
      <c r="J430" s="800" t="s">
        <v>2331</v>
      </c>
      <c r="K430" s="808">
        <v>30000</v>
      </c>
      <c r="L430" s="808">
        <v>302378</v>
      </c>
      <c r="M430" s="808">
        <v>302378</v>
      </c>
      <c r="N430" s="808"/>
      <c r="O430" s="808">
        <f t="shared" si="29"/>
        <v>0</v>
      </c>
      <c r="P430" s="808">
        <f>(M430*100)/L430</f>
        <v>100</v>
      </c>
      <c r="Q430" s="808"/>
      <c r="R430" s="808"/>
      <c r="S430" s="808"/>
      <c r="T430" s="808"/>
      <c r="U430" s="808"/>
      <c r="V430" s="808"/>
      <c r="W430" s="808"/>
      <c r="X430" s="808"/>
      <c r="Y430" s="808"/>
      <c r="Z430" s="808"/>
      <c r="AA430" s="808"/>
      <c r="AB430" s="808"/>
      <c r="AC430" s="808"/>
      <c r="AD430" s="808"/>
      <c r="AE430" s="808"/>
      <c r="AF430" s="808"/>
      <c r="AG430" s="808"/>
      <c r="AH430" s="808"/>
      <c r="AI430" s="808"/>
      <c r="AJ430" s="808">
        <f t="shared" si="28"/>
        <v>0</v>
      </c>
      <c r="AK430" s="808"/>
      <c r="AL430" s="808"/>
      <c r="AU430" s="291" t="s">
        <v>1988</v>
      </c>
    </row>
    <row r="431" spans="1:47" s="816" customFormat="1" ht="15">
      <c r="A431" s="794">
        <v>429</v>
      </c>
      <c r="B431" s="816" t="s">
        <v>462</v>
      </c>
      <c r="C431" s="816" t="s">
        <v>1299</v>
      </c>
      <c r="D431" s="893">
        <v>39569</v>
      </c>
      <c r="E431" s="893">
        <v>39995</v>
      </c>
      <c r="F431" s="857">
        <v>2008</v>
      </c>
      <c r="G431" s="816" t="s">
        <v>1986</v>
      </c>
      <c r="H431" s="808" t="s">
        <v>1452</v>
      </c>
      <c r="I431" s="816" t="s">
        <v>1989</v>
      </c>
      <c r="J431" s="800" t="s">
        <v>2331</v>
      </c>
      <c r="K431" s="808">
        <v>30000</v>
      </c>
      <c r="L431" s="808">
        <v>373567</v>
      </c>
      <c r="M431" s="808">
        <v>373567</v>
      </c>
      <c r="N431" s="808">
        <v>371848</v>
      </c>
      <c r="O431" s="808">
        <f t="shared" si="29"/>
        <v>12.394933333333332</v>
      </c>
      <c r="P431" s="808">
        <v>100</v>
      </c>
      <c r="Q431" s="808"/>
      <c r="R431" s="808"/>
      <c r="S431" s="808"/>
      <c r="T431" s="808"/>
      <c r="U431" s="808"/>
      <c r="V431" s="808"/>
      <c r="W431" s="808"/>
      <c r="X431" s="808"/>
      <c r="Y431" s="808"/>
      <c r="Z431" s="808"/>
      <c r="AA431" s="808"/>
      <c r="AB431" s="808"/>
      <c r="AC431" s="808"/>
      <c r="AD431" s="808"/>
      <c r="AE431" s="808"/>
      <c r="AF431" s="808"/>
      <c r="AG431" s="808"/>
      <c r="AH431" s="808"/>
      <c r="AI431" s="808"/>
      <c r="AJ431" s="808">
        <f t="shared" si="28"/>
        <v>0</v>
      </c>
      <c r="AK431" s="808"/>
      <c r="AL431" s="808">
        <v>5</v>
      </c>
      <c r="AU431" s="291" t="s">
        <v>1990</v>
      </c>
    </row>
    <row r="432" spans="1:47" s="816" customFormat="1" ht="15">
      <c r="A432" s="794">
        <v>430</v>
      </c>
      <c r="B432" s="785" t="s">
        <v>270</v>
      </c>
      <c r="C432" s="816" t="s">
        <v>1299</v>
      </c>
      <c r="D432" s="893">
        <v>39479</v>
      </c>
      <c r="E432" s="893">
        <v>39630</v>
      </c>
      <c r="F432" s="857">
        <v>2008</v>
      </c>
      <c r="G432" s="816" t="s">
        <v>1991</v>
      </c>
      <c r="H432" s="816" t="s">
        <v>1451</v>
      </c>
      <c r="I432" s="816" t="s">
        <v>791</v>
      </c>
      <c r="J432" s="800" t="s">
        <v>2331</v>
      </c>
      <c r="K432" s="808">
        <v>1000</v>
      </c>
      <c r="L432" s="808">
        <v>46000</v>
      </c>
      <c r="M432" s="808">
        <v>45996</v>
      </c>
      <c r="N432" s="808">
        <v>45996</v>
      </c>
      <c r="O432" s="808">
        <f t="shared" si="29"/>
        <v>45.996000000000002</v>
      </c>
      <c r="P432" s="808">
        <v>100</v>
      </c>
      <c r="Q432" s="808"/>
      <c r="R432" s="808"/>
      <c r="S432" s="808"/>
      <c r="T432" s="808"/>
      <c r="U432" s="808"/>
      <c r="V432" s="808"/>
      <c r="W432" s="808"/>
      <c r="X432" s="808"/>
      <c r="Y432" s="808"/>
      <c r="Z432" s="808"/>
      <c r="AA432" s="808"/>
      <c r="AB432" s="808"/>
      <c r="AC432" s="808"/>
      <c r="AD432" s="808"/>
      <c r="AE432" s="808"/>
      <c r="AF432" s="808"/>
      <c r="AG432" s="808"/>
      <c r="AH432" s="808"/>
      <c r="AI432" s="808"/>
      <c r="AJ432" s="787">
        <f t="shared" si="28"/>
        <v>0</v>
      </c>
      <c r="AK432" s="808"/>
      <c r="AL432" s="808"/>
      <c r="AU432" s="291" t="s">
        <v>790</v>
      </c>
    </row>
    <row r="433" spans="1:65" s="808" customFormat="1" ht="15">
      <c r="A433" s="794">
        <v>431</v>
      </c>
      <c r="B433" s="808" t="s">
        <v>1992</v>
      </c>
      <c r="C433" s="808" t="s">
        <v>1299</v>
      </c>
      <c r="D433" s="819">
        <v>39479</v>
      </c>
      <c r="E433" s="819">
        <v>39630</v>
      </c>
      <c r="F433" s="857">
        <v>2008</v>
      </c>
      <c r="G433" s="808" t="s">
        <v>799</v>
      </c>
      <c r="H433" s="808" t="s">
        <v>1449</v>
      </c>
      <c r="I433" s="808" t="s">
        <v>798</v>
      </c>
      <c r="J433" s="800" t="s">
        <v>2331</v>
      </c>
      <c r="K433" s="808">
        <v>130000</v>
      </c>
      <c r="L433" s="808">
        <v>57595</v>
      </c>
      <c r="M433" s="808">
        <v>56333</v>
      </c>
      <c r="N433" s="808">
        <v>56333</v>
      </c>
      <c r="O433" s="808">
        <f t="shared" si="29"/>
        <v>0.43333076923076924</v>
      </c>
      <c r="P433" s="808">
        <v>98</v>
      </c>
      <c r="W433" s="808">
        <v>13416</v>
      </c>
      <c r="X433" s="808">
        <v>13416</v>
      </c>
      <c r="AA433" s="808">
        <v>138148</v>
      </c>
      <c r="AB433" s="808">
        <v>150</v>
      </c>
      <c r="AJ433" s="787">
        <f t="shared" si="28"/>
        <v>138148</v>
      </c>
      <c r="AU433" s="808" t="s">
        <v>797</v>
      </c>
    </row>
    <row r="434" spans="1:65" s="816" customFormat="1" ht="15">
      <c r="A434" s="794">
        <v>432</v>
      </c>
      <c r="B434" s="816" t="s">
        <v>28</v>
      </c>
      <c r="C434" s="816" t="s">
        <v>1261</v>
      </c>
      <c r="D434" s="893">
        <v>39753</v>
      </c>
      <c r="E434" s="893">
        <v>40026</v>
      </c>
      <c r="F434" s="857">
        <v>2008</v>
      </c>
      <c r="G434" s="816" t="s">
        <v>695</v>
      </c>
      <c r="H434" s="816" t="s">
        <v>1451</v>
      </c>
      <c r="I434" s="816" t="s">
        <v>694</v>
      </c>
      <c r="J434" s="812" t="s">
        <v>2438</v>
      </c>
      <c r="K434" s="808">
        <v>18965</v>
      </c>
      <c r="L434" s="808">
        <v>2499553</v>
      </c>
      <c r="M434" s="808">
        <v>1215637</v>
      </c>
      <c r="N434" s="808">
        <v>1215637</v>
      </c>
      <c r="O434" s="808">
        <f t="shared" si="29"/>
        <v>64.098971790139728</v>
      </c>
      <c r="P434" s="808">
        <v>49</v>
      </c>
      <c r="Q434" s="808"/>
      <c r="R434" s="808"/>
      <c r="S434" s="808"/>
      <c r="T434" s="808"/>
      <c r="U434" s="808"/>
      <c r="V434" s="808"/>
      <c r="W434" s="808"/>
      <c r="X434" s="808"/>
      <c r="Y434" s="808"/>
      <c r="Z434" s="808"/>
      <c r="AA434" s="817">
        <v>73008</v>
      </c>
      <c r="AB434" s="808">
        <v>58</v>
      </c>
      <c r="AC434" s="808"/>
      <c r="AD434" s="808"/>
      <c r="AE434" s="808"/>
      <c r="AF434" s="808"/>
      <c r="AG434" s="808"/>
      <c r="AH434" s="808"/>
      <c r="AI434" s="808"/>
      <c r="AJ434" s="808">
        <f t="shared" si="28"/>
        <v>73008</v>
      </c>
      <c r="AK434" s="808">
        <v>242114</v>
      </c>
      <c r="AL434" s="808">
        <v>242114</v>
      </c>
      <c r="AT434" s="816" t="s">
        <v>94</v>
      </c>
      <c r="AU434" s="291" t="s">
        <v>693</v>
      </c>
    </row>
    <row r="435" spans="1:65" s="853" customFormat="1" ht="18.75" customHeight="1">
      <c r="A435" s="794">
        <v>433</v>
      </c>
      <c r="B435" s="836" t="s">
        <v>270</v>
      </c>
      <c r="C435" s="836" t="s">
        <v>1299</v>
      </c>
      <c r="D435" s="840">
        <v>39479</v>
      </c>
      <c r="E435" s="840">
        <v>39630</v>
      </c>
      <c r="F435" s="857">
        <v>2008</v>
      </c>
      <c r="G435" s="836" t="s">
        <v>789</v>
      </c>
      <c r="H435" s="841" t="s">
        <v>1449</v>
      </c>
      <c r="I435" s="789" t="s">
        <v>788</v>
      </c>
      <c r="J435" s="800" t="s">
        <v>2331</v>
      </c>
      <c r="K435" s="817">
        <v>10000</v>
      </c>
      <c r="L435" s="817">
        <v>82861</v>
      </c>
      <c r="M435" s="817">
        <v>82831</v>
      </c>
      <c r="N435" s="817">
        <v>82831</v>
      </c>
      <c r="O435" s="808">
        <f t="shared" si="29"/>
        <v>8.2830999999999992</v>
      </c>
      <c r="P435" s="817">
        <v>100</v>
      </c>
      <c r="Q435" s="817">
        <v>10000</v>
      </c>
      <c r="R435" s="817">
        <v>10000</v>
      </c>
      <c r="S435" s="817">
        <v>10000</v>
      </c>
      <c r="T435" s="817" t="s">
        <v>94</v>
      </c>
      <c r="U435" s="817">
        <v>300</v>
      </c>
      <c r="V435" s="817">
        <v>1100000</v>
      </c>
      <c r="W435" s="817">
        <v>13230</v>
      </c>
      <c r="X435" s="817">
        <v>8160</v>
      </c>
      <c r="Y435" s="808">
        <f>X435/S435</f>
        <v>0.81599999999999995</v>
      </c>
      <c r="Z435" s="817" t="s">
        <v>75</v>
      </c>
      <c r="AA435" s="817"/>
      <c r="AB435" s="817">
        <v>300</v>
      </c>
      <c r="AC435" s="817" t="s">
        <v>75</v>
      </c>
      <c r="AD435" s="817" t="s">
        <v>75</v>
      </c>
      <c r="AE435" s="817" t="s">
        <v>75</v>
      </c>
      <c r="AF435" s="817" t="s">
        <v>75</v>
      </c>
      <c r="AG435" s="817" t="s">
        <v>75</v>
      </c>
      <c r="AH435" s="817" t="s">
        <v>75</v>
      </c>
      <c r="AI435" s="817" t="s">
        <v>75</v>
      </c>
      <c r="AJ435" s="808">
        <f t="shared" si="28"/>
        <v>0</v>
      </c>
      <c r="AK435" s="817">
        <v>3000</v>
      </c>
      <c r="AL435" s="817">
        <v>3176</v>
      </c>
      <c r="AM435" s="817"/>
      <c r="AN435" s="817" t="s">
        <v>75</v>
      </c>
      <c r="AO435" s="817" t="s">
        <v>75</v>
      </c>
      <c r="AP435" s="817" t="s">
        <v>75</v>
      </c>
      <c r="AQ435" s="817" t="s">
        <v>75</v>
      </c>
      <c r="AR435" s="817" t="s">
        <v>75</v>
      </c>
      <c r="AS435" s="817" t="s">
        <v>75</v>
      </c>
      <c r="AT435" s="817" t="s">
        <v>75</v>
      </c>
      <c r="AU435" s="356" t="s">
        <v>787</v>
      </c>
      <c r="AV435" s="845"/>
      <c r="AW435" s="845"/>
      <c r="AX435" s="845"/>
      <c r="AY435" s="845"/>
      <c r="AZ435" s="845"/>
      <c r="BA435" s="845"/>
      <c r="BB435" s="845"/>
      <c r="BC435" s="845"/>
      <c r="BD435" s="845"/>
      <c r="BE435" s="845"/>
      <c r="BF435" s="845"/>
      <c r="BG435" s="845"/>
      <c r="BH435" s="845"/>
      <c r="BI435" s="845"/>
      <c r="BJ435" s="845"/>
      <c r="BK435" s="845"/>
      <c r="BL435" s="845"/>
      <c r="BM435" s="845"/>
    </row>
    <row r="436" spans="1:65" s="857" customFormat="1" ht="20.25" customHeight="1">
      <c r="A436" s="794">
        <v>434</v>
      </c>
      <c r="B436" s="789" t="s">
        <v>332</v>
      </c>
      <c r="C436" s="789" t="s">
        <v>1299</v>
      </c>
      <c r="D436" s="840">
        <v>39112</v>
      </c>
      <c r="E436" s="840">
        <v>39232</v>
      </c>
      <c r="F436" s="857">
        <v>2007</v>
      </c>
      <c r="G436" s="789" t="s">
        <v>5</v>
      </c>
      <c r="H436" s="790" t="s">
        <v>1451</v>
      </c>
      <c r="I436" s="789" t="s">
        <v>768</v>
      </c>
      <c r="J436" s="812" t="s">
        <v>2438</v>
      </c>
      <c r="K436" s="817">
        <v>25000</v>
      </c>
      <c r="L436" s="817">
        <v>1416264</v>
      </c>
      <c r="M436" s="817">
        <v>381738</v>
      </c>
      <c r="N436" s="817">
        <v>381738</v>
      </c>
      <c r="O436" s="808">
        <f t="shared" si="29"/>
        <v>15.26952</v>
      </c>
      <c r="P436" s="817">
        <v>27</v>
      </c>
      <c r="Q436" s="817">
        <v>21100</v>
      </c>
      <c r="R436" s="817">
        <v>560</v>
      </c>
      <c r="S436" s="817">
        <v>21100</v>
      </c>
      <c r="T436" s="817" t="s">
        <v>849</v>
      </c>
      <c r="U436" s="817" t="s">
        <v>848</v>
      </c>
      <c r="V436" s="817">
        <v>25720</v>
      </c>
      <c r="W436" s="817">
        <v>224560</v>
      </c>
      <c r="X436" s="817">
        <v>15307</v>
      </c>
      <c r="Y436" s="808">
        <f>X436/S436</f>
        <v>0.72545023696682465</v>
      </c>
      <c r="Z436" s="817" t="s">
        <v>75</v>
      </c>
      <c r="AA436" s="817">
        <v>25720</v>
      </c>
      <c r="AB436" s="817">
        <v>108</v>
      </c>
      <c r="AC436" s="817" t="s">
        <v>75</v>
      </c>
      <c r="AD436" s="817" t="s">
        <v>75</v>
      </c>
      <c r="AE436" s="817" t="s">
        <v>75</v>
      </c>
      <c r="AF436" s="817" t="s">
        <v>75</v>
      </c>
      <c r="AG436" s="817" t="s">
        <v>75</v>
      </c>
      <c r="AH436" s="817" t="s">
        <v>75</v>
      </c>
      <c r="AI436" s="817" t="s">
        <v>75</v>
      </c>
      <c r="AJ436" s="787">
        <f t="shared" si="28"/>
        <v>25720</v>
      </c>
      <c r="AK436" s="817">
        <v>3250</v>
      </c>
      <c r="AL436" s="817">
        <v>877.50000000000011</v>
      </c>
      <c r="AM436" s="817"/>
      <c r="AN436" s="817" t="s">
        <v>75</v>
      </c>
      <c r="AO436" s="817" t="s">
        <v>75</v>
      </c>
      <c r="AP436" s="817" t="s">
        <v>75</v>
      </c>
      <c r="AQ436" s="817" t="s">
        <v>75</v>
      </c>
      <c r="AR436" s="817" t="s">
        <v>75</v>
      </c>
      <c r="AS436" s="817" t="s">
        <v>75</v>
      </c>
      <c r="AT436" s="817" t="s">
        <v>75</v>
      </c>
      <c r="AU436" s="359" t="s">
        <v>767</v>
      </c>
      <c r="AV436" s="789"/>
      <c r="AW436" s="789"/>
      <c r="AX436" s="789"/>
      <c r="AY436" s="789"/>
      <c r="AZ436" s="789"/>
      <c r="BA436" s="789"/>
      <c r="BB436" s="789"/>
      <c r="BC436" s="789"/>
      <c r="BD436" s="789"/>
      <c r="BE436" s="789"/>
      <c r="BF436" s="789"/>
      <c r="BG436" s="789"/>
      <c r="BH436" s="789"/>
      <c r="BI436" s="789"/>
      <c r="BJ436" s="789"/>
      <c r="BK436" s="789"/>
      <c r="BL436" s="789"/>
      <c r="BM436" s="789"/>
    </row>
    <row r="437" spans="1:65" s="857" customFormat="1" ht="17.25" customHeight="1">
      <c r="A437" s="794">
        <v>435</v>
      </c>
      <c r="B437" s="790" t="s">
        <v>1213</v>
      </c>
      <c r="C437" s="790" t="s">
        <v>1286</v>
      </c>
      <c r="D437" s="824">
        <v>39173</v>
      </c>
      <c r="E437" s="824">
        <v>39569</v>
      </c>
      <c r="F437" s="857">
        <v>2007</v>
      </c>
      <c r="G437" s="790" t="s">
        <v>5</v>
      </c>
      <c r="H437" s="790" t="s">
        <v>1451</v>
      </c>
      <c r="I437" s="892" t="s">
        <v>1744</v>
      </c>
      <c r="J437" s="800" t="s">
        <v>2331</v>
      </c>
      <c r="K437" s="817">
        <v>3802</v>
      </c>
      <c r="L437" s="817">
        <v>0</v>
      </c>
      <c r="M437" s="817">
        <v>178330</v>
      </c>
      <c r="N437" s="817">
        <v>178330</v>
      </c>
      <c r="O437" s="808">
        <f t="shared" si="29"/>
        <v>46.904260915307731</v>
      </c>
      <c r="P437" s="879" t="s">
        <v>66</v>
      </c>
      <c r="Q437" s="787"/>
      <c r="R437" s="787"/>
      <c r="S437" s="808"/>
      <c r="T437" s="817" t="s">
        <v>233</v>
      </c>
      <c r="U437" s="787"/>
      <c r="V437" s="787">
        <v>423</v>
      </c>
      <c r="W437" s="787" t="s">
        <v>66</v>
      </c>
      <c r="X437" s="787" t="s">
        <v>66</v>
      </c>
      <c r="Y437" s="808"/>
      <c r="Z437" s="787">
        <v>781</v>
      </c>
      <c r="AA437" s="817">
        <f>438+948</f>
        <v>1386</v>
      </c>
      <c r="AB437" s="787"/>
      <c r="AC437" s="787"/>
      <c r="AD437" s="787"/>
      <c r="AE437" s="787"/>
      <c r="AF437" s="787"/>
      <c r="AG437" s="787"/>
      <c r="AH437" s="808"/>
      <c r="AI437" s="787"/>
      <c r="AJ437" s="787">
        <f t="shared" si="28"/>
        <v>2167</v>
      </c>
      <c r="AK437" s="817">
        <v>0</v>
      </c>
      <c r="AL437" s="817">
        <v>1323</v>
      </c>
      <c r="AM437" s="787"/>
      <c r="AN437" s="787"/>
      <c r="AO437" s="787"/>
      <c r="AP437" s="787"/>
      <c r="AQ437" s="787"/>
      <c r="AR437" s="787"/>
      <c r="AS437" s="787"/>
      <c r="AT437" s="787"/>
      <c r="AU437" s="352" t="s">
        <v>1745</v>
      </c>
      <c r="AV437" s="790"/>
      <c r="AW437" s="790"/>
      <c r="AX437" s="790"/>
      <c r="AY437" s="790"/>
      <c r="AZ437" s="790"/>
      <c r="BA437" s="790"/>
      <c r="BB437" s="790"/>
      <c r="BC437" s="790"/>
      <c r="BD437" s="790"/>
      <c r="BE437" s="790"/>
      <c r="BF437" s="790"/>
      <c r="BG437" s="790"/>
      <c r="BH437" s="790"/>
      <c r="BI437" s="790"/>
      <c r="BJ437" s="790"/>
      <c r="BK437" s="790"/>
      <c r="BL437" s="790"/>
      <c r="BM437" s="790"/>
    </row>
    <row r="438" spans="1:65" s="857" customFormat="1" ht="18.75" customHeight="1">
      <c r="A438" s="794">
        <v>436</v>
      </c>
      <c r="B438" s="785" t="s">
        <v>6</v>
      </c>
      <c r="C438" s="785" t="s">
        <v>1261</v>
      </c>
      <c r="D438" s="792">
        <v>39234</v>
      </c>
      <c r="E438" s="792">
        <v>39934</v>
      </c>
      <c r="F438" s="857">
        <v>2007</v>
      </c>
      <c r="G438" s="789" t="s">
        <v>122</v>
      </c>
      <c r="H438" s="790" t="s">
        <v>1451</v>
      </c>
      <c r="I438" s="785" t="s">
        <v>645</v>
      </c>
      <c r="J438" s="812" t="s">
        <v>2438</v>
      </c>
      <c r="K438" s="842">
        <v>133255</v>
      </c>
      <c r="L438" s="842">
        <v>5095836</v>
      </c>
      <c r="M438" s="842">
        <v>4509412</v>
      </c>
      <c r="N438" s="842">
        <v>4509412</v>
      </c>
      <c r="O438" s="808">
        <f t="shared" si="29"/>
        <v>33.840471276875164</v>
      </c>
      <c r="P438" s="842">
        <v>88</v>
      </c>
      <c r="Q438" s="842">
        <v>73500</v>
      </c>
      <c r="R438" s="842">
        <v>19480</v>
      </c>
      <c r="S438" s="842">
        <v>73500</v>
      </c>
      <c r="T438" s="842" t="s">
        <v>95</v>
      </c>
      <c r="U438" s="842" t="s">
        <v>75</v>
      </c>
      <c r="V438" s="842">
        <v>6065</v>
      </c>
      <c r="W438" s="842">
        <v>434831</v>
      </c>
      <c r="X438" s="842">
        <v>105263</v>
      </c>
      <c r="Y438" s="808">
        <f>X438/S438</f>
        <v>1.4321496598639456</v>
      </c>
      <c r="Z438" s="842" t="s">
        <v>75</v>
      </c>
      <c r="AA438" s="842">
        <v>6065</v>
      </c>
      <c r="AB438" s="842" t="s">
        <v>75</v>
      </c>
      <c r="AC438" s="842" t="s">
        <v>75</v>
      </c>
      <c r="AD438" s="842" t="s">
        <v>75</v>
      </c>
      <c r="AE438" s="842" t="s">
        <v>75</v>
      </c>
      <c r="AF438" s="842" t="s">
        <v>75</v>
      </c>
      <c r="AG438" s="842" t="s">
        <v>75</v>
      </c>
      <c r="AH438" s="842" t="s">
        <v>75</v>
      </c>
      <c r="AI438" s="842" t="s">
        <v>75</v>
      </c>
      <c r="AJ438" s="787">
        <f t="shared" si="28"/>
        <v>6065</v>
      </c>
      <c r="AK438" s="842">
        <v>8475</v>
      </c>
      <c r="AL438" s="842">
        <v>7482</v>
      </c>
      <c r="AM438" s="842"/>
      <c r="AN438" s="842" t="s">
        <v>75</v>
      </c>
      <c r="AO438" s="842" t="s">
        <v>75</v>
      </c>
      <c r="AP438" s="842" t="s">
        <v>75</v>
      </c>
      <c r="AQ438" s="842" t="s">
        <v>75</v>
      </c>
      <c r="AR438" s="842" t="s">
        <v>75</v>
      </c>
      <c r="AS438" s="842" t="s">
        <v>75</v>
      </c>
      <c r="AT438" s="842" t="s">
        <v>75</v>
      </c>
      <c r="AU438" s="344" t="s">
        <v>644</v>
      </c>
      <c r="AV438" s="785"/>
      <c r="AW438" s="785"/>
      <c r="AX438" s="785"/>
      <c r="AY438" s="785"/>
      <c r="AZ438" s="785"/>
      <c r="BA438" s="785"/>
      <c r="BB438" s="785"/>
      <c r="BC438" s="785"/>
      <c r="BD438" s="785"/>
      <c r="BE438" s="785"/>
      <c r="BF438" s="785"/>
      <c r="BG438" s="785"/>
      <c r="BH438" s="785"/>
      <c r="BI438" s="785"/>
      <c r="BJ438" s="785"/>
      <c r="BK438" s="785"/>
      <c r="BL438" s="785"/>
      <c r="BM438" s="785"/>
    </row>
    <row r="439" spans="1:65" s="857" customFormat="1" ht="19.5" customHeight="1">
      <c r="A439" s="794">
        <v>437</v>
      </c>
      <c r="B439" s="850" t="s">
        <v>6</v>
      </c>
      <c r="C439" s="857" t="s">
        <v>1261</v>
      </c>
      <c r="D439" s="840">
        <v>39387</v>
      </c>
      <c r="E439" s="840">
        <v>40118</v>
      </c>
      <c r="F439" s="857">
        <v>2007</v>
      </c>
      <c r="G439" s="857" t="s">
        <v>1025</v>
      </c>
      <c r="H439" s="800" t="s">
        <v>1450</v>
      </c>
      <c r="I439" s="857" t="s">
        <v>1026</v>
      </c>
      <c r="J439" s="812" t="s">
        <v>2438</v>
      </c>
      <c r="K439" s="817">
        <v>1215000</v>
      </c>
      <c r="L439" s="817">
        <v>24483160</v>
      </c>
      <c r="M439" s="817">
        <v>19636901</v>
      </c>
      <c r="N439" s="817">
        <v>16665142</v>
      </c>
      <c r="O439" s="808">
        <f t="shared" si="29"/>
        <v>13.716166255144033</v>
      </c>
      <c r="P439" s="817">
        <v>80</v>
      </c>
      <c r="Q439" s="817">
        <v>33245</v>
      </c>
      <c r="R439" s="817">
        <v>33245</v>
      </c>
      <c r="S439" s="817">
        <v>33245</v>
      </c>
      <c r="T439" s="817" t="s">
        <v>2</v>
      </c>
      <c r="U439" s="817" t="s">
        <v>134</v>
      </c>
      <c r="V439" s="817">
        <v>33245</v>
      </c>
      <c r="W439" s="817">
        <v>992723</v>
      </c>
      <c r="X439" s="817">
        <v>379219</v>
      </c>
      <c r="Y439" s="808">
        <f>X439/S439</f>
        <v>11.406798014739058</v>
      </c>
      <c r="Z439" s="817">
        <v>20000</v>
      </c>
      <c r="AA439" s="817"/>
      <c r="AB439" s="817">
        <v>1000</v>
      </c>
      <c r="AC439" s="817">
        <v>40</v>
      </c>
      <c r="AD439" s="817"/>
      <c r="AE439" s="817"/>
      <c r="AF439" s="817"/>
      <c r="AG439" s="817"/>
      <c r="AH439" s="817">
        <v>83000</v>
      </c>
      <c r="AI439" s="817"/>
      <c r="AJ439" s="787">
        <f t="shared" si="28"/>
        <v>103000</v>
      </c>
      <c r="AK439" s="817">
        <v>230918</v>
      </c>
      <c r="AL439" s="817">
        <v>93627</v>
      </c>
      <c r="AM439" s="817"/>
      <c r="AN439" s="817"/>
      <c r="AO439" s="817"/>
      <c r="AP439" s="817"/>
      <c r="AQ439" s="817"/>
      <c r="AR439" s="817"/>
      <c r="AS439" s="817"/>
      <c r="AT439" s="817" t="s">
        <v>1063</v>
      </c>
      <c r="AU439" s="320" t="s">
        <v>1027</v>
      </c>
    </row>
    <row r="440" spans="1:65" s="857" customFormat="1" ht="15" customHeight="1">
      <c r="A440" s="794">
        <v>438</v>
      </c>
      <c r="B440" s="800" t="s">
        <v>6</v>
      </c>
      <c r="C440" s="800" t="s">
        <v>1261</v>
      </c>
      <c r="D440" s="819">
        <v>39083</v>
      </c>
      <c r="E440" s="819">
        <v>39114</v>
      </c>
      <c r="F440" s="857">
        <v>2007</v>
      </c>
      <c r="G440" s="800" t="s">
        <v>1750</v>
      </c>
      <c r="H440" s="800" t="s">
        <v>1453</v>
      </c>
      <c r="I440" s="859" t="s">
        <v>1751</v>
      </c>
      <c r="J440" s="800" t="s">
        <v>2331</v>
      </c>
      <c r="K440" s="808">
        <v>30000</v>
      </c>
      <c r="L440" s="808">
        <v>150000</v>
      </c>
      <c r="M440" s="808">
        <v>107540</v>
      </c>
      <c r="N440" s="808">
        <v>107540</v>
      </c>
      <c r="O440" s="808">
        <f t="shared" si="29"/>
        <v>3.5846666666666667</v>
      </c>
      <c r="P440" s="808">
        <v>71.69</v>
      </c>
      <c r="Q440" s="808"/>
      <c r="R440" s="808"/>
      <c r="S440" s="808"/>
      <c r="T440" s="808"/>
      <c r="U440" s="808"/>
      <c r="V440" s="808"/>
      <c r="W440" s="808"/>
      <c r="X440" s="808"/>
      <c r="Y440" s="808"/>
      <c r="Z440" s="808"/>
      <c r="AA440" s="808"/>
      <c r="AB440" s="808"/>
      <c r="AC440" s="808"/>
      <c r="AD440" s="808"/>
      <c r="AE440" s="808"/>
      <c r="AF440" s="808"/>
      <c r="AG440" s="808"/>
      <c r="AH440" s="808"/>
      <c r="AI440" s="808"/>
      <c r="AJ440" s="808"/>
      <c r="AK440" s="808"/>
      <c r="AL440" s="808"/>
      <c r="AM440" s="808"/>
      <c r="AN440" s="808"/>
      <c r="AO440" s="808"/>
      <c r="AP440" s="808"/>
      <c r="AQ440" s="808"/>
      <c r="AR440" s="808"/>
      <c r="AS440" s="808"/>
      <c r="AT440" s="808"/>
      <c r="AU440" s="346" t="s">
        <v>1749</v>
      </c>
      <c r="AV440" s="800"/>
      <c r="AW440" s="800"/>
      <c r="AX440" s="800"/>
      <c r="AY440" s="800"/>
      <c r="AZ440" s="800"/>
      <c r="BA440" s="800"/>
      <c r="BB440" s="800"/>
      <c r="BC440" s="800"/>
      <c r="BD440" s="800"/>
      <c r="BE440" s="800"/>
      <c r="BF440" s="800"/>
      <c r="BG440" s="800"/>
      <c r="BH440" s="800"/>
      <c r="BI440" s="800"/>
      <c r="BJ440" s="800"/>
      <c r="BK440" s="800"/>
      <c r="BL440" s="800"/>
      <c r="BM440" s="800"/>
    </row>
    <row r="441" spans="1:65" s="857" customFormat="1" ht="12.75" customHeight="1">
      <c r="A441" s="794">
        <v>439</v>
      </c>
      <c r="B441" s="785" t="s">
        <v>547</v>
      </c>
      <c r="C441" s="785" t="s">
        <v>1286</v>
      </c>
      <c r="D441" s="792">
        <v>39128</v>
      </c>
      <c r="E441" s="792">
        <v>39304</v>
      </c>
      <c r="F441" s="857">
        <v>2007</v>
      </c>
      <c r="G441" s="789" t="s">
        <v>5</v>
      </c>
      <c r="H441" s="790" t="s">
        <v>1451</v>
      </c>
      <c r="I441" s="785" t="s">
        <v>630</v>
      </c>
      <c r="J441" s="812" t="s">
        <v>2438</v>
      </c>
      <c r="K441" s="842">
        <v>50000</v>
      </c>
      <c r="L441" s="842">
        <v>704700</v>
      </c>
      <c r="M441" s="842">
        <v>712494</v>
      </c>
      <c r="N441" s="842">
        <v>712494</v>
      </c>
      <c r="O441" s="808">
        <f t="shared" si="29"/>
        <v>14.249879999999999</v>
      </c>
      <c r="P441" s="842">
        <v>101</v>
      </c>
      <c r="Q441" s="842" t="s">
        <v>75</v>
      </c>
      <c r="R441" s="842" t="s">
        <v>75</v>
      </c>
      <c r="S441" s="842" t="s">
        <v>75</v>
      </c>
      <c r="T441" s="842" t="s">
        <v>95</v>
      </c>
      <c r="U441" s="842" t="s">
        <v>583</v>
      </c>
      <c r="V441" s="842">
        <v>26250</v>
      </c>
      <c r="W441" s="842" t="s">
        <v>75</v>
      </c>
      <c r="X441" s="842" t="s">
        <v>75</v>
      </c>
      <c r="Y441" s="842"/>
      <c r="Z441" s="842" t="s">
        <v>75</v>
      </c>
      <c r="AA441" s="842">
        <v>26250</v>
      </c>
      <c r="AB441" s="842">
        <v>18</v>
      </c>
      <c r="AC441" s="842" t="s">
        <v>75</v>
      </c>
      <c r="AD441" s="842" t="s">
        <v>75</v>
      </c>
      <c r="AE441" s="842">
        <v>10500</v>
      </c>
      <c r="AF441" s="842" t="s">
        <v>75</v>
      </c>
      <c r="AG441" s="842" t="s">
        <v>75</v>
      </c>
      <c r="AH441" s="842" t="s">
        <v>75</v>
      </c>
      <c r="AI441" s="842" t="s">
        <v>75</v>
      </c>
      <c r="AJ441" s="787">
        <f>SUM(Z441,AA441,AH441)</f>
        <v>26250</v>
      </c>
      <c r="AK441" s="842" t="s">
        <v>339</v>
      </c>
      <c r="AL441" s="842">
        <v>82</v>
      </c>
      <c r="AM441" s="842"/>
      <c r="AN441" s="842" t="s">
        <v>75</v>
      </c>
      <c r="AO441" s="842" t="s">
        <v>75</v>
      </c>
      <c r="AP441" s="842" t="s">
        <v>75</v>
      </c>
      <c r="AQ441" s="842" t="s">
        <v>75</v>
      </c>
      <c r="AR441" s="842" t="s">
        <v>75</v>
      </c>
      <c r="AS441" s="842" t="s">
        <v>75</v>
      </c>
      <c r="AT441" s="842" t="s">
        <v>75</v>
      </c>
      <c r="AU441" s="963" t="s">
        <v>629</v>
      </c>
      <c r="AV441" s="785"/>
      <c r="AW441" s="785"/>
      <c r="AX441" s="785"/>
      <c r="AY441" s="785"/>
      <c r="AZ441" s="785"/>
      <c r="BA441" s="785"/>
      <c r="BB441" s="785"/>
      <c r="BC441" s="785"/>
      <c r="BD441" s="785"/>
      <c r="BE441" s="785"/>
      <c r="BF441" s="785"/>
      <c r="BG441" s="785"/>
      <c r="BH441" s="785"/>
      <c r="BI441" s="785"/>
      <c r="BJ441" s="785"/>
      <c r="BK441" s="785"/>
      <c r="BL441" s="785"/>
      <c r="BM441" s="785"/>
    </row>
    <row r="442" spans="1:65" s="785" customFormat="1" ht="12.75" customHeight="1">
      <c r="A442" s="794">
        <v>440</v>
      </c>
      <c r="B442" s="812" t="s">
        <v>354</v>
      </c>
      <c r="C442" s="790" t="s">
        <v>1260</v>
      </c>
      <c r="D442" s="824">
        <v>39295</v>
      </c>
      <c r="E442" s="824">
        <v>39387</v>
      </c>
      <c r="F442" s="857">
        <v>2007</v>
      </c>
      <c r="G442" s="790" t="s">
        <v>1748</v>
      </c>
      <c r="H442" s="790" t="s">
        <v>1453</v>
      </c>
      <c r="I442" s="790" t="s">
        <v>1747</v>
      </c>
      <c r="J442" s="800" t="s">
        <v>2331</v>
      </c>
      <c r="K442" s="787">
        <v>14616</v>
      </c>
      <c r="L442" s="787">
        <v>45615</v>
      </c>
      <c r="M442" s="787">
        <v>45170</v>
      </c>
      <c r="N442" s="787">
        <v>45170</v>
      </c>
      <c r="O442" s="808">
        <f t="shared" si="29"/>
        <v>3.0904488232074439</v>
      </c>
      <c r="P442" s="787">
        <v>99</v>
      </c>
      <c r="Q442" s="787">
        <v>14616</v>
      </c>
      <c r="R442" s="787"/>
      <c r="S442" s="808">
        <v>14616</v>
      </c>
      <c r="T442" s="787"/>
      <c r="U442" s="787"/>
      <c r="V442" s="787"/>
      <c r="W442" s="787">
        <v>42650</v>
      </c>
      <c r="X442" s="787">
        <v>42233</v>
      </c>
      <c r="Y442" s="808">
        <f>X442/S442</f>
        <v>2.8895046524356869</v>
      </c>
      <c r="Z442" s="787"/>
      <c r="AA442" s="787"/>
      <c r="AB442" s="787"/>
      <c r="AC442" s="787"/>
      <c r="AD442" s="787"/>
      <c r="AE442" s="787"/>
      <c r="AF442" s="787"/>
      <c r="AG442" s="787"/>
      <c r="AH442" s="808"/>
      <c r="AI442" s="787"/>
      <c r="AJ442" s="787"/>
      <c r="AK442" s="787"/>
      <c r="AL442" s="787"/>
      <c r="AM442" s="787"/>
      <c r="AN442" s="787"/>
      <c r="AO442" s="787"/>
      <c r="AP442" s="787"/>
      <c r="AQ442" s="787"/>
      <c r="AR442" s="787"/>
      <c r="AS442" s="787"/>
      <c r="AT442" s="787"/>
      <c r="AU442" s="790" t="s">
        <v>1746</v>
      </c>
      <c r="AV442" s="790"/>
      <c r="AW442" s="790"/>
      <c r="AX442" s="790"/>
      <c r="AY442" s="790"/>
      <c r="AZ442" s="790"/>
      <c r="BA442" s="790"/>
      <c r="BB442" s="790"/>
      <c r="BC442" s="790"/>
      <c r="BD442" s="790"/>
      <c r="BE442" s="790"/>
      <c r="BF442" s="790"/>
      <c r="BG442" s="790"/>
      <c r="BH442" s="790"/>
      <c r="BI442" s="790"/>
      <c r="BJ442" s="790"/>
      <c r="BK442" s="790"/>
      <c r="BL442" s="790"/>
      <c r="BM442" s="800"/>
    </row>
    <row r="443" spans="1:65" s="785" customFormat="1" ht="19.5" customHeight="1">
      <c r="A443" s="794">
        <v>441</v>
      </c>
      <c r="B443" s="790" t="s">
        <v>1598</v>
      </c>
      <c r="C443" s="790" t="s">
        <v>1286</v>
      </c>
      <c r="D443" s="824">
        <v>39083</v>
      </c>
      <c r="E443" s="824">
        <v>39234</v>
      </c>
      <c r="F443" s="857">
        <v>2007</v>
      </c>
      <c r="G443" s="790" t="s">
        <v>5</v>
      </c>
      <c r="H443" s="790" t="s">
        <v>1451</v>
      </c>
      <c r="I443" s="880" t="s">
        <v>1755</v>
      </c>
      <c r="J443" s="800" t="s">
        <v>2331</v>
      </c>
      <c r="K443" s="787">
        <v>7500</v>
      </c>
      <c r="L443" s="787">
        <v>95000</v>
      </c>
      <c r="M443" s="787">
        <v>95000</v>
      </c>
      <c r="N443" s="787">
        <v>79346</v>
      </c>
      <c r="O443" s="808">
        <f t="shared" si="29"/>
        <v>10.579466666666667</v>
      </c>
      <c r="P443" s="787">
        <v>100</v>
      </c>
      <c r="Q443" s="787"/>
      <c r="R443" s="787"/>
      <c r="S443" s="808"/>
      <c r="T443" s="787"/>
      <c r="U443" s="787"/>
      <c r="V443" s="787"/>
      <c r="W443" s="787"/>
      <c r="X443" s="787"/>
      <c r="Y443" s="808"/>
      <c r="Z443" s="787"/>
      <c r="AA443" s="787"/>
      <c r="AB443" s="787">
        <v>15</v>
      </c>
      <c r="AC443" s="787"/>
      <c r="AD443" s="787"/>
      <c r="AE443" s="787"/>
      <c r="AF443" s="787"/>
      <c r="AG443" s="787"/>
      <c r="AH443" s="808"/>
      <c r="AI443" s="787"/>
      <c r="AJ443" s="808"/>
      <c r="AK443" s="787"/>
      <c r="AL443" s="787"/>
      <c r="AM443" s="787"/>
      <c r="AN443" s="787"/>
      <c r="AO443" s="787"/>
      <c r="AP443" s="787"/>
      <c r="AQ443" s="787"/>
      <c r="AR443" s="787"/>
      <c r="AS443" s="787" t="s">
        <v>2</v>
      </c>
      <c r="AT443" s="787"/>
      <c r="AU443" s="790" t="s">
        <v>1754</v>
      </c>
      <c r="AV443" s="790"/>
      <c r="AW443" s="790"/>
      <c r="AX443" s="790"/>
      <c r="AY443" s="790"/>
      <c r="AZ443" s="790"/>
      <c r="BA443" s="790"/>
      <c r="BB443" s="790"/>
      <c r="BC443" s="790"/>
      <c r="BD443" s="790"/>
      <c r="BE443" s="790"/>
      <c r="BF443" s="790"/>
      <c r="BG443" s="790"/>
      <c r="BH443" s="790"/>
      <c r="BI443" s="790"/>
      <c r="BJ443" s="790"/>
      <c r="BK443" s="790"/>
      <c r="BL443" s="790"/>
      <c r="BM443" s="800"/>
    </row>
    <row r="444" spans="1:65" s="785" customFormat="1" ht="17.25" customHeight="1">
      <c r="A444" s="794">
        <v>442</v>
      </c>
      <c r="B444" s="785" t="s">
        <v>119</v>
      </c>
      <c r="C444" s="785" t="s">
        <v>1299</v>
      </c>
      <c r="D444" s="792">
        <v>39295</v>
      </c>
      <c r="E444" s="792">
        <v>39417</v>
      </c>
      <c r="F444" s="857">
        <v>2007</v>
      </c>
      <c r="G444" s="789" t="s">
        <v>5</v>
      </c>
      <c r="H444" s="800" t="s">
        <v>1451</v>
      </c>
      <c r="I444" s="785" t="s">
        <v>594</v>
      </c>
      <c r="J444" s="800" t="s">
        <v>2331</v>
      </c>
      <c r="K444" s="842">
        <v>111356</v>
      </c>
      <c r="L444" s="842">
        <v>126065</v>
      </c>
      <c r="M444" s="842">
        <v>122629</v>
      </c>
      <c r="N444" s="842">
        <v>122629</v>
      </c>
      <c r="O444" s="808">
        <f t="shared" ref="O444:O469" si="30">N444/K444</f>
        <v>1.1012338805273179</v>
      </c>
      <c r="P444" s="842">
        <v>97</v>
      </c>
      <c r="Q444" s="842"/>
      <c r="R444" s="842"/>
      <c r="S444" s="842"/>
      <c r="T444" s="842" t="s">
        <v>95</v>
      </c>
      <c r="U444" s="842">
        <v>320</v>
      </c>
      <c r="V444" s="842">
        <v>16394</v>
      </c>
      <c r="W444" s="842">
        <v>27540</v>
      </c>
      <c r="X444" s="842">
        <v>26713.8</v>
      </c>
      <c r="Y444" s="842"/>
      <c r="Z444" s="842" t="s">
        <v>75</v>
      </c>
      <c r="AA444" s="842">
        <v>16394</v>
      </c>
      <c r="AB444" s="842">
        <v>90</v>
      </c>
      <c r="AC444" s="842" t="s">
        <v>75</v>
      </c>
      <c r="AD444" s="842" t="s">
        <v>75</v>
      </c>
      <c r="AE444" s="842">
        <v>8243</v>
      </c>
      <c r="AF444" s="842" t="s">
        <v>75</v>
      </c>
      <c r="AG444" s="842" t="s">
        <v>75</v>
      </c>
      <c r="AH444" s="842" t="s">
        <v>75</v>
      </c>
      <c r="AI444" s="842" t="s">
        <v>75</v>
      </c>
      <c r="AJ444" s="808">
        <f>SUM(Z444,AA444,AH444)</f>
        <v>16394</v>
      </c>
      <c r="AK444" s="842" t="s">
        <v>339</v>
      </c>
      <c r="AL444" s="842">
        <v>18750</v>
      </c>
      <c r="AM444" s="842"/>
      <c r="AN444" s="842" t="s">
        <v>75</v>
      </c>
      <c r="AO444" s="842" t="s">
        <v>75</v>
      </c>
      <c r="AP444" s="842" t="s">
        <v>75</v>
      </c>
      <c r="AQ444" s="842" t="s">
        <v>75</v>
      </c>
      <c r="AR444" s="842" t="s">
        <v>75</v>
      </c>
      <c r="AS444" s="842" t="s">
        <v>75</v>
      </c>
      <c r="AT444" s="842" t="s">
        <v>75</v>
      </c>
      <c r="AU444" s="293" t="s">
        <v>593</v>
      </c>
    </row>
    <row r="445" spans="1:65" s="785" customFormat="1" ht="18" customHeight="1">
      <c r="A445" s="794">
        <v>443</v>
      </c>
      <c r="B445" s="790" t="s">
        <v>119</v>
      </c>
      <c r="C445" s="790" t="s">
        <v>1299</v>
      </c>
      <c r="D445" s="824">
        <v>39114</v>
      </c>
      <c r="E445" s="824">
        <v>39539</v>
      </c>
      <c r="F445" s="857">
        <v>2007</v>
      </c>
      <c r="G445" s="790" t="s">
        <v>569</v>
      </c>
      <c r="H445" s="790" t="s">
        <v>1449</v>
      </c>
      <c r="I445" s="790" t="s">
        <v>1753</v>
      </c>
      <c r="J445" s="800" t="s">
        <v>2331</v>
      </c>
      <c r="K445" s="787">
        <v>200000</v>
      </c>
      <c r="L445" s="787">
        <v>0</v>
      </c>
      <c r="M445" s="787">
        <v>67611</v>
      </c>
      <c r="N445" s="787">
        <v>67611</v>
      </c>
      <c r="O445" s="808">
        <f t="shared" si="30"/>
        <v>0.33805499999999999</v>
      </c>
      <c r="P445" s="879" t="s">
        <v>66</v>
      </c>
      <c r="Q445" s="787"/>
      <c r="R445" s="787"/>
      <c r="S445" s="808"/>
      <c r="T445" s="787"/>
      <c r="U445" s="787"/>
      <c r="V445" s="787"/>
      <c r="W445" s="787"/>
      <c r="X445" s="787"/>
      <c r="Y445" s="808"/>
      <c r="Z445" s="787"/>
      <c r="AA445" s="787">
        <v>4000</v>
      </c>
      <c r="AB445" s="787">
        <v>1625</v>
      </c>
      <c r="AC445" s="787"/>
      <c r="AD445" s="787"/>
      <c r="AE445" s="787"/>
      <c r="AF445" s="787"/>
      <c r="AG445" s="787"/>
      <c r="AH445" s="808"/>
      <c r="AI445" s="787"/>
      <c r="AJ445" s="808"/>
      <c r="AK445" s="787"/>
      <c r="AL445" s="787"/>
      <c r="AM445" s="787"/>
      <c r="AN445" s="787"/>
      <c r="AO445" s="787"/>
      <c r="AP445" s="787"/>
      <c r="AQ445" s="787"/>
      <c r="AR445" s="787"/>
      <c r="AS445" s="787"/>
      <c r="AT445" s="787"/>
      <c r="AU445" s="790" t="s">
        <v>1752</v>
      </c>
      <c r="AV445" s="790"/>
      <c r="AW445" s="790"/>
      <c r="AX445" s="790"/>
      <c r="AY445" s="790"/>
      <c r="AZ445" s="790"/>
      <c r="BA445" s="790"/>
      <c r="BB445" s="790"/>
      <c r="BC445" s="790"/>
      <c r="BD445" s="790"/>
      <c r="BE445" s="790"/>
      <c r="BF445" s="790"/>
      <c r="BG445" s="790"/>
      <c r="BH445" s="790"/>
      <c r="BI445" s="790"/>
      <c r="BJ445" s="790"/>
      <c r="BK445" s="790"/>
      <c r="BL445" s="790"/>
      <c r="BM445" s="800"/>
    </row>
    <row r="446" spans="1:65" s="785" customFormat="1" ht="23.25" customHeight="1">
      <c r="A446" s="794">
        <v>444</v>
      </c>
      <c r="B446" s="789" t="s">
        <v>244</v>
      </c>
      <c r="C446" s="789" t="s">
        <v>1299</v>
      </c>
      <c r="D446" s="840">
        <v>39203</v>
      </c>
      <c r="E446" s="840">
        <v>39417</v>
      </c>
      <c r="F446" s="857">
        <v>2007</v>
      </c>
      <c r="G446" s="789" t="s">
        <v>1310</v>
      </c>
      <c r="H446" s="790" t="s">
        <v>1463</v>
      </c>
      <c r="I446" s="789" t="s">
        <v>843</v>
      </c>
      <c r="J446" s="800" t="s">
        <v>2331</v>
      </c>
      <c r="K446" s="817">
        <v>460</v>
      </c>
      <c r="L446" s="817">
        <v>24967</v>
      </c>
      <c r="M446" s="817">
        <v>20384</v>
      </c>
      <c r="N446" s="817">
        <v>20384</v>
      </c>
      <c r="O446" s="808">
        <f t="shared" si="30"/>
        <v>44.313043478260873</v>
      </c>
      <c r="P446" s="817">
        <v>82</v>
      </c>
      <c r="Q446" s="817" t="s">
        <v>75</v>
      </c>
      <c r="R446" s="817" t="s">
        <v>75</v>
      </c>
      <c r="S446" s="817" t="s">
        <v>75</v>
      </c>
      <c r="T446" s="817" t="s">
        <v>849</v>
      </c>
      <c r="U446" s="817" t="s">
        <v>75</v>
      </c>
      <c r="V446" s="817" t="s">
        <v>75</v>
      </c>
      <c r="W446" s="817" t="s">
        <v>75</v>
      </c>
      <c r="X446" s="817" t="s">
        <v>75</v>
      </c>
      <c r="Y446" s="817"/>
      <c r="Z446" s="817">
        <v>460</v>
      </c>
      <c r="AA446" s="842" t="s">
        <v>75</v>
      </c>
      <c r="AB446" s="817">
        <v>50</v>
      </c>
      <c r="AC446" s="817" t="s">
        <v>75</v>
      </c>
      <c r="AD446" s="817" t="s">
        <v>75</v>
      </c>
      <c r="AE446" s="817" t="s">
        <v>75</v>
      </c>
      <c r="AF446" s="817" t="s">
        <v>75</v>
      </c>
      <c r="AG446" s="817" t="s">
        <v>75</v>
      </c>
      <c r="AH446" s="817" t="s">
        <v>75</v>
      </c>
      <c r="AI446" s="817" t="s">
        <v>75</v>
      </c>
      <c r="AJ446" s="787">
        <f>SUM(Z446,AA446,AH446)</f>
        <v>460</v>
      </c>
      <c r="AK446" s="817">
        <v>7350</v>
      </c>
      <c r="AL446" s="817">
        <v>5388</v>
      </c>
      <c r="AM446" s="817"/>
      <c r="AN446" s="817" t="s">
        <v>75</v>
      </c>
      <c r="AO446" s="817" t="s">
        <v>75</v>
      </c>
      <c r="AP446" s="817" t="s">
        <v>75</v>
      </c>
      <c r="AQ446" s="817" t="s">
        <v>75</v>
      </c>
      <c r="AR446" s="817" t="s">
        <v>75</v>
      </c>
      <c r="AS446" s="817" t="s">
        <v>75</v>
      </c>
      <c r="AT446" s="817" t="s">
        <v>75</v>
      </c>
      <c r="AU446" s="359" t="s">
        <v>842</v>
      </c>
      <c r="AV446" s="789"/>
      <c r="AW446" s="789"/>
      <c r="AX446" s="789"/>
      <c r="AY446" s="789"/>
      <c r="AZ446" s="789"/>
      <c r="BA446" s="789"/>
      <c r="BB446" s="789"/>
      <c r="BC446" s="789"/>
      <c r="BD446" s="789"/>
      <c r="BE446" s="789"/>
      <c r="BF446" s="789"/>
      <c r="BG446" s="789"/>
      <c r="BH446" s="789"/>
      <c r="BI446" s="789"/>
      <c r="BJ446" s="789"/>
      <c r="BK446" s="789"/>
      <c r="BL446" s="789"/>
      <c r="BM446" s="789"/>
    </row>
    <row r="447" spans="1:65" s="785" customFormat="1" ht="16.5" customHeight="1">
      <c r="A447" s="794">
        <v>445</v>
      </c>
      <c r="B447" s="790" t="s">
        <v>244</v>
      </c>
      <c r="C447" s="790" t="s">
        <v>1299</v>
      </c>
      <c r="D447" s="824">
        <v>39203</v>
      </c>
      <c r="E447" s="824">
        <v>39508</v>
      </c>
      <c r="F447" s="857">
        <v>2007</v>
      </c>
      <c r="G447" s="790" t="s">
        <v>615</v>
      </c>
      <c r="H447" s="790" t="s">
        <v>1452</v>
      </c>
      <c r="I447" s="790" t="s">
        <v>1762</v>
      </c>
      <c r="J447" s="800" t="s">
        <v>2331</v>
      </c>
      <c r="K447" s="787">
        <v>20000</v>
      </c>
      <c r="L447" s="787">
        <v>166874</v>
      </c>
      <c r="M447" s="787">
        <v>166876</v>
      </c>
      <c r="N447" s="787">
        <v>166876</v>
      </c>
      <c r="O447" s="808">
        <f t="shared" si="30"/>
        <v>8.3437999999999999</v>
      </c>
      <c r="P447" s="787">
        <v>100</v>
      </c>
      <c r="Q447" s="787">
        <v>13000</v>
      </c>
      <c r="R447" s="787"/>
      <c r="S447" s="808">
        <v>13000</v>
      </c>
      <c r="T447" s="787" t="s">
        <v>233</v>
      </c>
      <c r="U447" s="787">
        <v>50</v>
      </c>
      <c r="V447" s="787">
        <v>13000</v>
      </c>
      <c r="W447" s="787">
        <v>10800</v>
      </c>
      <c r="X447" s="787">
        <v>10800</v>
      </c>
      <c r="Y447" s="808">
        <f>X447/S447</f>
        <v>0.83076923076923082</v>
      </c>
      <c r="Z447" s="787"/>
      <c r="AA447" s="787"/>
      <c r="AB447" s="787">
        <v>50</v>
      </c>
      <c r="AC447" s="787"/>
      <c r="AD447" s="787"/>
      <c r="AE447" s="787"/>
      <c r="AF447" s="787"/>
      <c r="AG447" s="787"/>
      <c r="AH447" s="808"/>
      <c r="AI447" s="787"/>
      <c r="AJ447" s="808"/>
      <c r="AK447" s="787">
        <v>2400</v>
      </c>
      <c r="AL447" s="787">
        <v>2400</v>
      </c>
      <c r="AM447" s="787"/>
      <c r="AN447" s="787"/>
      <c r="AO447" s="787"/>
      <c r="AP447" s="787"/>
      <c r="AQ447" s="787"/>
      <c r="AR447" s="787"/>
      <c r="AS447" s="787"/>
      <c r="AT447" s="787"/>
      <c r="AU447" s="790" t="s">
        <v>1761</v>
      </c>
      <c r="AV447" s="790"/>
      <c r="AW447" s="790"/>
      <c r="AX447" s="790"/>
      <c r="AY447" s="790"/>
      <c r="AZ447" s="790"/>
      <c r="BA447" s="790"/>
      <c r="BB447" s="790"/>
      <c r="BC447" s="790"/>
      <c r="BD447" s="790"/>
      <c r="BE447" s="790"/>
      <c r="BF447" s="790"/>
      <c r="BG447" s="790"/>
      <c r="BH447" s="790"/>
      <c r="BI447" s="790"/>
      <c r="BJ447" s="790"/>
      <c r="BK447" s="790"/>
      <c r="BL447" s="790"/>
      <c r="BM447" s="800"/>
    </row>
    <row r="448" spans="1:65" s="785" customFormat="1" ht="15.75" customHeight="1">
      <c r="A448" s="794">
        <v>446</v>
      </c>
      <c r="B448" s="790" t="s">
        <v>244</v>
      </c>
      <c r="C448" s="790" t="s">
        <v>1299</v>
      </c>
      <c r="D448" s="824">
        <v>39295</v>
      </c>
      <c r="E448" s="824">
        <v>39142</v>
      </c>
      <c r="F448" s="857">
        <v>2007</v>
      </c>
      <c r="G448" s="790" t="s">
        <v>1765</v>
      </c>
      <c r="H448" s="790" t="s">
        <v>1451</v>
      </c>
      <c r="I448" s="790" t="s">
        <v>1764</v>
      </c>
      <c r="J448" s="800" t="s">
        <v>2331</v>
      </c>
      <c r="K448" s="787">
        <v>10279</v>
      </c>
      <c r="L448" s="787">
        <v>0</v>
      </c>
      <c r="M448" s="787">
        <v>79714</v>
      </c>
      <c r="N448" s="787">
        <v>79714</v>
      </c>
      <c r="O448" s="808">
        <f t="shared" si="30"/>
        <v>7.7550345364335049</v>
      </c>
      <c r="P448" s="879" t="s">
        <v>66</v>
      </c>
      <c r="Q448" s="787">
        <f>15*400</f>
        <v>6000</v>
      </c>
      <c r="R448" s="787">
        <v>200</v>
      </c>
      <c r="S448" s="808">
        <v>6000</v>
      </c>
      <c r="T448" s="787" t="s">
        <v>233</v>
      </c>
      <c r="U448" s="787">
        <v>37</v>
      </c>
      <c r="V448" s="787">
        <v>10279</v>
      </c>
      <c r="W448" s="787">
        <v>0</v>
      </c>
      <c r="X448" s="787">
        <v>2997</v>
      </c>
      <c r="Y448" s="808">
        <f>X448/S448</f>
        <v>0.4995</v>
      </c>
      <c r="Z448" s="787"/>
      <c r="AA448" s="787"/>
      <c r="AB448" s="787">
        <v>37</v>
      </c>
      <c r="AC448" s="787"/>
      <c r="AD448" s="787"/>
      <c r="AE448" s="787">
        <v>14</v>
      </c>
      <c r="AF448" s="787"/>
      <c r="AG448" s="787"/>
      <c r="AH448" s="808"/>
      <c r="AI448" s="787"/>
      <c r="AJ448" s="808"/>
      <c r="AK448" s="787">
        <v>0</v>
      </c>
      <c r="AL448" s="787">
        <v>2550</v>
      </c>
      <c r="AM448" s="787"/>
      <c r="AN448" s="787"/>
      <c r="AO448" s="787"/>
      <c r="AP448" s="787"/>
      <c r="AQ448" s="787"/>
      <c r="AR448" s="787"/>
      <c r="AS448" s="787"/>
      <c r="AT448" s="787"/>
      <c r="AU448" s="352" t="s">
        <v>1763</v>
      </c>
      <c r="AV448" s="790"/>
      <c r="AW448" s="790"/>
      <c r="AX448" s="790"/>
      <c r="AY448" s="790"/>
      <c r="AZ448" s="790"/>
      <c r="BA448" s="790"/>
      <c r="BB448" s="790"/>
      <c r="BC448" s="790"/>
      <c r="BD448" s="790"/>
      <c r="BE448" s="790"/>
      <c r="BF448" s="790"/>
      <c r="BG448" s="790"/>
      <c r="BH448" s="790"/>
      <c r="BI448" s="790"/>
      <c r="BJ448" s="790"/>
      <c r="BK448" s="790"/>
      <c r="BL448" s="790"/>
      <c r="BM448" s="800"/>
    </row>
    <row r="449" spans="1:218" s="785" customFormat="1" ht="14.25" customHeight="1">
      <c r="A449" s="794">
        <v>447</v>
      </c>
      <c r="B449" s="857" t="s">
        <v>22</v>
      </c>
      <c r="C449" s="857" t="s">
        <v>1286</v>
      </c>
      <c r="D449" s="840">
        <v>39356</v>
      </c>
      <c r="E449" s="840">
        <v>39845</v>
      </c>
      <c r="F449" s="857">
        <v>2007</v>
      </c>
      <c r="G449" s="857" t="s">
        <v>1007</v>
      </c>
      <c r="H449" s="800" t="s">
        <v>1450</v>
      </c>
      <c r="I449" s="857" t="s">
        <v>643</v>
      </c>
      <c r="J449" s="812" t="s">
        <v>2438</v>
      </c>
      <c r="K449" s="817">
        <v>116225</v>
      </c>
      <c r="L449" s="817">
        <v>1750541</v>
      </c>
      <c r="M449" s="817">
        <v>1746227</v>
      </c>
      <c r="N449" s="817">
        <v>1722641</v>
      </c>
      <c r="O449" s="808">
        <f t="shared" si="30"/>
        <v>14.821604646160464</v>
      </c>
      <c r="P449" s="817">
        <v>100</v>
      </c>
      <c r="Q449" s="817">
        <v>70620</v>
      </c>
      <c r="R449" s="817">
        <v>25000</v>
      </c>
      <c r="S449" s="817">
        <v>70620</v>
      </c>
      <c r="T449" s="817" t="s">
        <v>233</v>
      </c>
      <c r="U449" s="817" t="s">
        <v>75</v>
      </c>
      <c r="V449" s="817" t="s">
        <v>75</v>
      </c>
      <c r="W449" s="817" t="s">
        <v>66</v>
      </c>
      <c r="X449" s="817" t="s">
        <v>66</v>
      </c>
      <c r="Y449" s="808"/>
      <c r="Z449" s="817" t="s">
        <v>2</v>
      </c>
      <c r="AA449" s="817"/>
      <c r="AB449" s="817"/>
      <c r="AC449" s="817"/>
      <c r="AD449" s="817"/>
      <c r="AE449" s="817">
        <v>10901</v>
      </c>
      <c r="AF449" s="817"/>
      <c r="AG449" s="817"/>
      <c r="AH449" s="817"/>
      <c r="AI449" s="817"/>
      <c r="AJ449" s="808">
        <f>SUM(Z449,AA449,AH449)</f>
        <v>0</v>
      </c>
      <c r="AK449" s="817" t="s">
        <v>66</v>
      </c>
      <c r="AL449" s="817" t="s">
        <v>66</v>
      </c>
      <c r="AM449" s="817"/>
      <c r="AN449" s="817"/>
      <c r="AO449" s="817"/>
      <c r="AP449" s="817"/>
      <c r="AQ449" s="817"/>
      <c r="AR449" s="817"/>
      <c r="AS449" s="817" t="s">
        <v>75</v>
      </c>
      <c r="AT449" s="817" t="s">
        <v>75</v>
      </c>
      <c r="AU449" s="320" t="s">
        <v>1008</v>
      </c>
    </row>
    <row r="450" spans="1:218" s="785" customFormat="1" ht="18" customHeight="1">
      <c r="A450" s="794">
        <v>448</v>
      </c>
      <c r="B450" s="789" t="s">
        <v>353</v>
      </c>
      <c r="C450" s="789" t="s">
        <v>1299</v>
      </c>
      <c r="D450" s="840">
        <v>39326</v>
      </c>
      <c r="E450" s="840">
        <v>39508</v>
      </c>
      <c r="F450" s="857">
        <v>2007</v>
      </c>
      <c r="G450" s="789" t="s">
        <v>5</v>
      </c>
      <c r="H450" s="790" t="s">
        <v>1451</v>
      </c>
      <c r="I450" s="789" t="s">
        <v>744</v>
      </c>
      <c r="J450" s="800" t="s">
        <v>2331</v>
      </c>
      <c r="K450" s="817">
        <v>3780</v>
      </c>
      <c r="L450" s="817">
        <v>0</v>
      </c>
      <c r="M450" s="817">
        <v>98248</v>
      </c>
      <c r="N450" s="817">
        <v>98248</v>
      </c>
      <c r="O450" s="808">
        <f t="shared" si="30"/>
        <v>25.99153439153439</v>
      </c>
      <c r="P450" s="817">
        <v>0</v>
      </c>
      <c r="Q450" s="817" t="s">
        <v>339</v>
      </c>
      <c r="R450" s="838" t="s">
        <v>339</v>
      </c>
      <c r="S450" s="817">
        <v>2835</v>
      </c>
      <c r="T450" s="817" t="s">
        <v>849</v>
      </c>
      <c r="U450" s="817" t="s">
        <v>848</v>
      </c>
      <c r="V450" s="817">
        <v>3402</v>
      </c>
      <c r="W450" s="817" t="s">
        <v>339</v>
      </c>
      <c r="X450" s="817">
        <v>1250</v>
      </c>
      <c r="Y450" s="808">
        <f>X450/S450</f>
        <v>0.44091710758377423</v>
      </c>
      <c r="Z450" s="817" t="s">
        <v>75</v>
      </c>
      <c r="AA450" s="817">
        <v>2835</v>
      </c>
      <c r="AB450" s="817">
        <v>45</v>
      </c>
      <c r="AC450" s="817" t="s">
        <v>75</v>
      </c>
      <c r="AD450" s="817" t="s">
        <v>75</v>
      </c>
      <c r="AE450" s="817">
        <v>500</v>
      </c>
      <c r="AF450" s="817" t="s">
        <v>75</v>
      </c>
      <c r="AG450" s="817" t="s">
        <v>75</v>
      </c>
      <c r="AH450" s="817" t="s">
        <v>75</v>
      </c>
      <c r="AI450" s="817" t="s">
        <v>75</v>
      </c>
      <c r="AJ450" s="787">
        <f>SUM(Z450,AA450,AH450)</f>
        <v>2835</v>
      </c>
      <c r="AK450" s="817" t="s">
        <v>75</v>
      </c>
      <c r="AL450" s="817" t="s">
        <v>75</v>
      </c>
      <c r="AM450" s="817"/>
      <c r="AN450" s="817" t="s">
        <v>75</v>
      </c>
      <c r="AO450" s="817" t="s">
        <v>75</v>
      </c>
      <c r="AP450" s="817" t="s">
        <v>75</v>
      </c>
      <c r="AQ450" s="817" t="s">
        <v>75</v>
      </c>
      <c r="AR450" s="817" t="s">
        <v>75</v>
      </c>
      <c r="AS450" s="817" t="s">
        <v>75</v>
      </c>
      <c r="AT450" s="817" t="s">
        <v>75</v>
      </c>
      <c r="AU450" s="359" t="s">
        <v>743</v>
      </c>
      <c r="AV450" s="789"/>
      <c r="AW450" s="789"/>
      <c r="AX450" s="789"/>
      <c r="AY450" s="789"/>
      <c r="AZ450" s="789"/>
      <c r="BA450" s="789"/>
      <c r="BB450" s="789"/>
      <c r="BC450" s="789"/>
      <c r="BD450" s="789"/>
      <c r="BE450" s="789"/>
      <c r="BF450" s="789"/>
      <c r="BG450" s="789"/>
      <c r="BH450" s="789"/>
      <c r="BI450" s="789"/>
      <c r="BJ450" s="789"/>
      <c r="BK450" s="789"/>
      <c r="BL450" s="789"/>
      <c r="BM450" s="789"/>
    </row>
    <row r="451" spans="1:218" s="785" customFormat="1" ht="16.5" customHeight="1">
      <c r="A451" s="794">
        <v>449</v>
      </c>
      <c r="B451" s="790" t="s">
        <v>1295</v>
      </c>
      <c r="C451" s="790" t="s">
        <v>1286</v>
      </c>
      <c r="D451" s="824">
        <v>39083</v>
      </c>
      <c r="E451" s="824">
        <v>39234</v>
      </c>
      <c r="F451" s="857">
        <v>2007</v>
      </c>
      <c r="G451" s="790" t="s">
        <v>24</v>
      </c>
      <c r="H451" s="790" t="s">
        <v>1454</v>
      </c>
      <c r="I451" s="790" t="s">
        <v>1759</v>
      </c>
      <c r="J451" s="800" t="s">
        <v>2331</v>
      </c>
      <c r="K451" s="787">
        <v>6250</v>
      </c>
      <c r="L451" s="787">
        <v>150000</v>
      </c>
      <c r="M451" s="787">
        <v>141141</v>
      </c>
      <c r="N451" s="787">
        <v>141141</v>
      </c>
      <c r="O451" s="808">
        <f t="shared" si="30"/>
        <v>22.582560000000001</v>
      </c>
      <c r="P451" s="787">
        <v>94</v>
      </c>
      <c r="Q451" s="787"/>
      <c r="R451" s="787"/>
      <c r="S451" s="808"/>
      <c r="T451" s="787"/>
      <c r="U451" s="787"/>
      <c r="V451" s="787"/>
      <c r="W451" s="787"/>
      <c r="X451" s="787"/>
      <c r="Y451" s="808"/>
      <c r="Z451" s="787"/>
      <c r="AA451" s="787"/>
      <c r="AB451" s="787">
        <v>50</v>
      </c>
      <c r="AC451" s="787"/>
      <c r="AD451" s="787"/>
      <c r="AE451" s="787"/>
      <c r="AF451" s="787"/>
      <c r="AG451" s="787"/>
      <c r="AH451" s="808"/>
      <c r="AI451" s="787"/>
      <c r="AJ451" s="808"/>
      <c r="AK451" s="787"/>
      <c r="AL451" s="787"/>
      <c r="AM451" s="787"/>
      <c r="AN451" s="787"/>
      <c r="AO451" s="787"/>
      <c r="AP451" s="787"/>
      <c r="AQ451" s="787"/>
      <c r="AR451" s="787"/>
      <c r="AS451" s="787">
        <v>2</v>
      </c>
      <c r="AT451" s="787"/>
      <c r="AU451" s="790" t="s">
        <v>1758</v>
      </c>
      <c r="AV451" s="790"/>
      <c r="AW451" s="790"/>
      <c r="AX451" s="790"/>
      <c r="AY451" s="790"/>
      <c r="AZ451" s="790"/>
      <c r="BA451" s="790"/>
      <c r="BB451" s="790"/>
      <c r="BC451" s="790"/>
      <c r="BD451" s="790"/>
      <c r="BE451" s="790"/>
      <c r="BF451" s="790"/>
      <c r="BG451" s="790"/>
      <c r="BH451" s="790"/>
      <c r="BI451" s="790"/>
      <c r="BJ451" s="790"/>
      <c r="BK451" s="790"/>
      <c r="BL451" s="790"/>
      <c r="BM451" s="800"/>
    </row>
    <row r="452" spans="1:218" s="891" customFormat="1" ht="16.5" customHeight="1">
      <c r="A452" s="794">
        <v>450</v>
      </c>
      <c r="B452" s="785" t="s">
        <v>121</v>
      </c>
      <c r="C452" s="785" t="s">
        <v>1261</v>
      </c>
      <c r="D452" s="792">
        <v>39083</v>
      </c>
      <c r="E452" s="792">
        <v>39934</v>
      </c>
      <c r="F452" s="857">
        <v>2007</v>
      </c>
      <c r="G452" s="789" t="s">
        <v>5</v>
      </c>
      <c r="H452" s="790" t="s">
        <v>1451</v>
      </c>
      <c r="I452" s="785" t="s">
        <v>617</v>
      </c>
      <c r="J452" s="812" t="s">
        <v>2438</v>
      </c>
      <c r="K452" s="842">
        <v>400000</v>
      </c>
      <c r="L452" s="842">
        <v>9462000</v>
      </c>
      <c r="M452" s="842">
        <v>2357164</v>
      </c>
      <c r="N452" s="842">
        <v>2357164</v>
      </c>
      <c r="O452" s="808">
        <f t="shared" si="30"/>
        <v>5.8929099999999996</v>
      </c>
      <c r="P452" s="842">
        <v>25</v>
      </c>
      <c r="Q452" s="842">
        <v>100000</v>
      </c>
      <c r="R452" s="838" t="s">
        <v>339</v>
      </c>
      <c r="S452" s="842">
        <v>100000</v>
      </c>
      <c r="T452" s="842" t="s">
        <v>95</v>
      </c>
      <c r="U452" s="842" t="s">
        <v>75</v>
      </c>
      <c r="V452" s="842" t="s">
        <v>75</v>
      </c>
      <c r="W452" s="842">
        <v>180000</v>
      </c>
      <c r="X452" s="842">
        <v>45000</v>
      </c>
      <c r="Y452" s="808">
        <f>X452/S452</f>
        <v>0.45</v>
      </c>
      <c r="Z452" s="842" t="s">
        <v>75</v>
      </c>
      <c r="AA452" s="842" t="s">
        <v>75</v>
      </c>
      <c r="AB452" s="842" t="s">
        <v>75</v>
      </c>
      <c r="AC452" s="842" t="s">
        <v>75</v>
      </c>
      <c r="AD452" s="842" t="s">
        <v>75</v>
      </c>
      <c r="AE452" s="842" t="s">
        <v>75</v>
      </c>
      <c r="AF452" s="842" t="s">
        <v>75</v>
      </c>
      <c r="AG452" s="842" t="s">
        <v>75</v>
      </c>
      <c r="AH452" s="842" t="s">
        <v>75</v>
      </c>
      <c r="AI452" s="842" t="s">
        <v>75</v>
      </c>
      <c r="AJ452" s="787">
        <f>SUM(Z452,AA452,AH452)</f>
        <v>0</v>
      </c>
      <c r="AK452" s="842" t="s">
        <v>75</v>
      </c>
      <c r="AL452" s="842" t="s">
        <v>75</v>
      </c>
      <c r="AM452" s="842"/>
      <c r="AN452" s="842" t="s">
        <v>75</v>
      </c>
      <c r="AO452" s="842" t="s">
        <v>75</v>
      </c>
      <c r="AP452" s="842" t="s">
        <v>75</v>
      </c>
      <c r="AQ452" s="842" t="s">
        <v>75</v>
      </c>
      <c r="AR452" s="842" t="s">
        <v>75</v>
      </c>
      <c r="AS452" s="842" t="s">
        <v>75</v>
      </c>
      <c r="AT452" s="842" t="s">
        <v>75</v>
      </c>
      <c r="AU452" s="344" t="s">
        <v>616</v>
      </c>
      <c r="AV452" s="785"/>
      <c r="AW452" s="785"/>
      <c r="AX452" s="785"/>
      <c r="AY452" s="785"/>
      <c r="AZ452" s="785"/>
      <c r="BA452" s="785"/>
      <c r="BB452" s="785"/>
      <c r="BC452" s="785"/>
      <c r="BD452" s="785"/>
      <c r="BE452" s="785"/>
      <c r="BF452" s="785"/>
      <c r="BG452" s="785"/>
      <c r="BH452" s="785"/>
      <c r="BI452" s="785"/>
      <c r="BJ452" s="785"/>
      <c r="BK452" s="785"/>
      <c r="BL452" s="785"/>
      <c r="BM452" s="785"/>
      <c r="BN452" s="785"/>
      <c r="BO452" s="785"/>
      <c r="BP452" s="785"/>
      <c r="BQ452" s="785"/>
      <c r="BR452" s="785"/>
      <c r="BS452" s="785"/>
      <c r="BT452" s="785"/>
      <c r="BU452" s="785"/>
      <c r="BV452" s="785"/>
      <c r="BW452" s="785"/>
      <c r="BX452" s="785"/>
      <c r="BY452" s="785"/>
      <c r="BZ452" s="785"/>
      <c r="CA452" s="785"/>
      <c r="CB452" s="785"/>
      <c r="CC452" s="785"/>
      <c r="CD452" s="785"/>
      <c r="CE452" s="785"/>
      <c r="CF452" s="785"/>
      <c r="CG452" s="785"/>
      <c r="CH452" s="785"/>
      <c r="CI452" s="785"/>
      <c r="CJ452" s="785"/>
      <c r="CK452" s="785"/>
      <c r="CL452" s="785"/>
      <c r="CM452" s="785"/>
      <c r="CN452" s="785"/>
      <c r="CO452" s="785"/>
      <c r="CP452" s="785"/>
      <c r="CQ452" s="785"/>
      <c r="CR452" s="785"/>
      <c r="CS452" s="785"/>
      <c r="CT452" s="785"/>
      <c r="CU452" s="785"/>
      <c r="CV452" s="785"/>
      <c r="CW452" s="785"/>
      <c r="CX452" s="785"/>
      <c r="CY452" s="785"/>
      <c r="CZ452" s="785"/>
      <c r="DA452" s="785"/>
      <c r="DB452" s="785"/>
      <c r="DC452" s="785"/>
      <c r="DD452" s="785"/>
      <c r="DE452" s="785"/>
      <c r="DF452" s="785"/>
      <c r="DG452" s="785"/>
      <c r="DH452" s="785"/>
      <c r="DI452" s="785"/>
      <c r="DJ452" s="785"/>
      <c r="DK452" s="785"/>
      <c r="DL452" s="785"/>
      <c r="DM452" s="785"/>
      <c r="DN452" s="785"/>
      <c r="DO452" s="785"/>
      <c r="DP452" s="785"/>
      <c r="DQ452" s="785"/>
      <c r="DR452" s="785"/>
      <c r="DS452" s="785"/>
      <c r="DT452" s="785"/>
      <c r="DU452" s="785"/>
      <c r="DV452" s="785"/>
      <c r="DW452" s="785"/>
      <c r="DX452" s="785"/>
      <c r="DY452" s="785"/>
      <c r="DZ452" s="785"/>
      <c r="EA452" s="785"/>
      <c r="EB452" s="785"/>
      <c r="EC452" s="785"/>
      <c r="ED452" s="785"/>
      <c r="EE452" s="785"/>
      <c r="EF452" s="785"/>
      <c r="EG452" s="785"/>
      <c r="EH452" s="785"/>
      <c r="EI452" s="785"/>
      <c r="EJ452" s="785"/>
      <c r="EK452" s="785"/>
      <c r="EL452" s="785"/>
      <c r="EM452" s="785"/>
      <c r="EN452" s="785"/>
      <c r="EO452" s="785"/>
      <c r="EP452" s="785"/>
      <c r="EQ452" s="785"/>
      <c r="ER452" s="785"/>
      <c r="ES452" s="785"/>
      <c r="ET452" s="785"/>
      <c r="EU452" s="785"/>
      <c r="EV452" s="785"/>
      <c r="EW452" s="785"/>
      <c r="EX452" s="785"/>
      <c r="EY452" s="785"/>
      <c r="EZ452" s="785"/>
      <c r="FA452" s="785"/>
      <c r="FB452" s="785"/>
      <c r="FC452" s="785"/>
      <c r="FD452" s="785"/>
      <c r="FE452" s="785"/>
      <c r="FF452" s="785"/>
      <c r="FG452" s="785"/>
      <c r="FH452" s="785"/>
      <c r="FI452" s="785"/>
      <c r="FJ452" s="785"/>
      <c r="FK452" s="785"/>
      <c r="FL452" s="785"/>
      <c r="FM452" s="785"/>
      <c r="FN452" s="785"/>
      <c r="FO452" s="785"/>
      <c r="FP452" s="785"/>
      <c r="FQ452" s="785"/>
      <c r="FR452" s="785"/>
      <c r="FS452" s="785"/>
      <c r="FT452" s="785"/>
      <c r="FU452" s="785"/>
      <c r="FV452" s="785"/>
      <c r="FW452" s="785"/>
      <c r="FX452" s="785"/>
      <c r="FY452" s="785"/>
      <c r="FZ452" s="785"/>
      <c r="GA452" s="785"/>
      <c r="GB452" s="785"/>
      <c r="GC452" s="785"/>
      <c r="GD452" s="785"/>
      <c r="GE452" s="785"/>
      <c r="GF452" s="785"/>
      <c r="GG452" s="785"/>
      <c r="GH452" s="785"/>
      <c r="GI452" s="785"/>
      <c r="GJ452" s="785"/>
      <c r="GK452" s="785"/>
      <c r="GL452" s="785"/>
      <c r="GM452" s="785"/>
      <c r="GN452" s="785"/>
      <c r="GO452" s="785"/>
      <c r="GP452" s="785"/>
      <c r="GQ452" s="785"/>
      <c r="GR452" s="785"/>
      <c r="GS452" s="785"/>
      <c r="GT452" s="785"/>
      <c r="GU452" s="785"/>
      <c r="GV452" s="785"/>
      <c r="GW452" s="785"/>
      <c r="GX452" s="785"/>
      <c r="GY452" s="785"/>
      <c r="GZ452" s="785"/>
      <c r="HA452" s="785"/>
      <c r="HB452" s="785"/>
      <c r="HC452" s="785"/>
      <c r="HD452" s="785"/>
      <c r="HE452" s="785"/>
      <c r="HF452" s="785"/>
      <c r="HG452" s="785"/>
      <c r="HH452" s="785"/>
      <c r="HI452" s="785"/>
      <c r="HJ452" s="785"/>
    </row>
    <row r="453" spans="1:218" s="785" customFormat="1" ht="12" customHeight="1">
      <c r="A453" s="794">
        <v>451</v>
      </c>
      <c r="B453" s="790" t="s">
        <v>992</v>
      </c>
      <c r="C453" s="790" t="s">
        <v>1286</v>
      </c>
      <c r="D453" s="824">
        <v>39295</v>
      </c>
      <c r="E453" s="824">
        <v>39387</v>
      </c>
      <c r="F453" s="857">
        <v>2007</v>
      </c>
      <c r="G453" s="790" t="s">
        <v>5</v>
      </c>
      <c r="H453" s="790" t="s">
        <v>1451</v>
      </c>
      <c r="I453" s="790" t="s">
        <v>1767</v>
      </c>
      <c r="J453" s="800" t="s">
        <v>2331</v>
      </c>
      <c r="K453" s="787">
        <v>5000</v>
      </c>
      <c r="L453" s="787">
        <v>172000</v>
      </c>
      <c r="M453" s="787">
        <v>161826</v>
      </c>
      <c r="N453" s="787">
        <v>161826</v>
      </c>
      <c r="O453" s="808">
        <f t="shared" si="30"/>
        <v>32.365200000000002</v>
      </c>
      <c r="P453" s="787">
        <v>94</v>
      </c>
      <c r="Q453" s="787">
        <v>59818</v>
      </c>
      <c r="R453" s="787"/>
      <c r="S453" s="808">
        <v>59818</v>
      </c>
      <c r="T453" s="787"/>
      <c r="U453" s="787"/>
      <c r="V453" s="787">
        <v>1463</v>
      </c>
      <c r="W453" s="787"/>
      <c r="X453" s="787"/>
      <c r="Y453" s="808">
        <f>X453/S453</f>
        <v>0</v>
      </c>
      <c r="Z453" s="787">
        <v>77</v>
      </c>
      <c r="AA453" s="787">
        <f>657+46+569</f>
        <v>1272</v>
      </c>
      <c r="AB453" s="787"/>
      <c r="AC453" s="787"/>
      <c r="AD453" s="787"/>
      <c r="AE453" s="787"/>
      <c r="AF453" s="787"/>
      <c r="AG453" s="787"/>
      <c r="AH453" s="808">
        <v>1008</v>
      </c>
      <c r="AI453" s="787"/>
      <c r="AJ453" s="808"/>
      <c r="AK453" s="787">
        <v>62155</v>
      </c>
      <c r="AL453" s="787">
        <v>16046</v>
      </c>
      <c r="AM453" s="787"/>
      <c r="AN453" s="787"/>
      <c r="AO453" s="787"/>
      <c r="AP453" s="787"/>
      <c r="AQ453" s="787"/>
      <c r="AR453" s="787"/>
      <c r="AS453" s="787"/>
      <c r="AT453" s="787"/>
      <c r="AU453" s="352" t="s">
        <v>1766</v>
      </c>
      <c r="AV453" s="790"/>
      <c r="AW453" s="790"/>
      <c r="AX453" s="790"/>
      <c r="AY453" s="790"/>
      <c r="AZ453" s="790"/>
      <c r="BA453" s="790"/>
      <c r="BB453" s="790"/>
      <c r="BC453" s="790"/>
      <c r="BD453" s="790"/>
      <c r="BE453" s="790"/>
      <c r="BF453" s="790"/>
      <c r="BG453" s="790"/>
      <c r="BH453" s="790"/>
      <c r="BI453" s="790"/>
      <c r="BJ453" s="790"/>
      <c r="BK453" s="790"/>
      <c r="BL453" s="790"/>
      <c r="BM453" s="800"/>
    </row>
    <row r="454" spans="1:218" s="785" customFormat="1" ht="16.5" customHeight="1">
      <c r="A454" s="794">
        <v>452</v>
      </c>
      <c r="B454" s="790" t="s">
        <v>1994</v>
      </c>
      <c r="C454" s="790" t="s">
        <v>1261</v>
      </c>
      <c r="D454" s="824">
        <v>39264</v>
      </c>
      <c r="E454" s="824">
        <v>39356</v>
      </c>
      <c r="F454" s="857">
        <v>2007</v>
      </c>
      <c r="G454" s="790" t="s">
        <v>1126</v>
      </c>
      <c r="H454" s="790" t="s">
        <v>1449</v>
      </c>
      <c r="I454" s="790" t="s">
        <v>1808</v>
      </c>
      <c r="J454" s="800" t="s">
        <v>2331</v>
      </c>
      <c r="K454" s="787">
        <f>1615*5</f>
        <v>8075</v>
      </c>
      <c r="L454" s="787">
        <v>140900</v>
      </c>
      <c r="M454" s="787">
        <v>136952</v>
      </c>
      <c r="N454" s="787">
        <v>136952</v>
      </c>
      <c r="O454" s="808">
        <f t="shared" si="30"/>
        <v>16.96</v>
      </c>
      <c r="P454" s="787">
        <v>97</v>
      </c>
      <c r="Q454" s="787"/>
      <c r="R454" s="787"/>
      <c r="S454" s="808"/>
      <c r="T454" s="787"/>
      <c r="U454" s="787">
        <v>1136</v>
      </c>
      <c r="V454" s="787">
        <v>400000</v>
      </c>
      <c r="W454" s="787">
        <v>0</v>
      </c>
      <c r="X454" s="787">
        <v>72192</v>
      </c>
      <c r="Y454" s="808"/>
      <c r="Z454" s="787"/>
      <c r="AA454" s="787"/>
      <c r="AB454" s="787">
        <v>1040</v>
      </c>
      <c r="AC454" s="787"/>
      <c r="AD454" s="787"/>
      <c r="AE454" s="787">
        <f>2*1615</f>
        <v>3230</v>
      </c>
      <c r="AF454" s="787"/>
      <c r="AG454" s="787"/>
      <c r="AH454" s="808"/>
      <c r="AI454" s="787"/>
      <c r="AJ454" s="808"/>
      <c r="AK454" s="787">
        <v>84700</v>
      </c>
      <c r="AL454" s="787">
        <f>0.97*84700</f>
        <v>82159</v>
      </c>
      <c r="AM454" s="787"/>
      <c r="AN454" s="787"/>
      <c r="AO454" s="787"/>
      <c r="AP454" s="787"/>
      <c r="AQ454" s="787"/>
      <c r="AR454" s="787"/>
      <c r="AS454" s="787"/>
      <c r="AT454" s="787"/>
      <c r="AU454" s="790" t="s">
        <v>1807</v>
      </c>
      <c r="AV454" s="790"/>
      <c r="AW454" s="790"/>
      <c r="AX454" s="790"/>
      <c r="AY454" s="790"/>
      <c r="AZ454" s="790"/>
      <c r="BA454" s="790"/>
      <c r="BB454" s="790"/>
      <c r="BC454" s="790"/>
      <c r="BD454" s="790"/>
      <c r="BE454" s="790"/>
      <c r="BF454" s="790"/>
      <c r="BG454" s="790"/>
      <c r="BH454" s="790"/>
      <c r="BI454" s="790"/>
      <c r="BJ454" s="790"/>
      <c r="BK454" s="790"/>
      <c r="BL454" s="790"/>
      <c r="BM454" s="800"/>
    </row>
    <row r="455" spans="1:218" s="785" customFormat="1" ht="15">
      <c r="A455" s="794">
        <v>453</v>
      </c>
      <c r="B455" s="790" t="s">
        <v>1641</v>
      </c>
      <c r="C455" s="790" t="s">
        <v>1299</v>
      </c>
      <c r="D455" s="824">
        <v>39326</v>
      </c>
      <c r="E455" s="824">
        <v>39387</v>
      </c>
      <c r="F455" s="857">
        <v>2007</v>
      </c>
      <c r="G455" s="790" t="s">
        <v>168</v>
      </c>
      <c r="H455" s="790" t="s">
        <v>1449</v>
      </c>
      <c r="I455" s="790" t="s">
        <v>1810</v>
      </c>
      <c r="J455" s="800" t="s">
        <v>2331</v>
      </c>
      <c r="K455" s="787">
        <v>150000</v>
      </c>
      <c r="L455" s="787">
        <v>148663</v>
      </c>
      <c r="M455" s="787">
        <v>139000</v>
      </c>
      <c r="N455" s="787">
        <v>138999</v>
      </c>
      <c r="O455" s="808">
        <f t="shared" si="30"/>
        <v>0.92666000000000004</v>
      </c>
      <c r="P455" s="787">
        <v>94</v>
      </c>
      <c r="Q455" s="787"/>
      <c r="R455" s="787">
        <f>621*5</f>
        <v>3105</v>
      </c>
      <c r="S455" s="808">
        <f>621*5</f>
        <v>3105</v>
      </c>
      <c r="T455" s="787"/>
      <c r="U455" s="787">
        <v>100</v>
      </c>
      <c r="V455" s="787">
        <v>150000</v>
      </c>
      <c r="W455" s="787">
        <v>0</v>
      </c>
      <c r="X455" s="787">
        <v>21668</v>
      </c>
      <c r="Y455" s="808">
        <f>X455/S455</f>
        <v>6.978421900161031</v>
      </c>
      <c r="Z455" s="787"/>
      <c r="AA455" s="787"/>
      <c r="AB455" s="787">
        <v>90</v>
      </c>
      <c r="AC455" s="787"/>
      <c r="AD455" s="787"/>
      <c r="AE455" s="787"/>
      <c r="AF455" s="787"/>
      <c r="AG455" s="787"/>
      <c r="AH455" s="808">
        <v>1448</v>
      </c>
      <c r="AI455" s="787"/>
      <c r="AJ455" s="808"/>
      <c r="AK455" s="787">
        <v>16350</v>
      </c>
      <c r="AL455" s="787">
        <f>AK455*0.94</f>
        <v>15369</v>
      </c>
      <c r="AM455" s="787"/>
      <c r="AN455" s="787"/>
      <c r="AO455" s="787"/>
      <c r="AP455" s="787"/>
      <c r="AQ455" s="787"/>
      <c r="AR455" s="787"/>
      <c r="AS455" s="787"/>
      <c r="AT455" s="787"/>
      <c r="AU455" s="790" t="s">
        <v>1809</v>
      </c>
      <c r="AV455" s="790"/>
      <c r="AW455" s="790"/>
      <c r="AX455" s="790"/>
      <c r="AY455" s="790"/>
      <c r="AZ455" s="790"/>
      <c r="BA455" s="790"/>
      <c r="BB455" s="790"/>
      <c r="BC455" s="790"/>
      <c r="BD455" s="790"/>
      <c r="BE455" s="790"/>
      <c r="BF455" s="790"/>
      <c r="BG455" s="790"/>
      <c r="BH455" s="790"/>
      <c r="BI455" s="790"/>
      <c r="BJ455" s="790"/>
      <c r="BK455" s="790"/>
      <c r="BL455" s="790"/>
      <c r="BM455" s="800"/>
    </row>
    <row r="456" spans="1:218" s="785" customFormat="1" ht="20.25" customHeight="1">
      <c r="A456" s="794">
        <v>454</v>
      </c>
      <c r="B456" s="800" t="s">
        <v>1760</v>
      </c>
      <c r="C456" s="800" t="s">
        <v>1286</v>
      </c>
      <c r="D456" s="819">
        <v>39326</v>
      </c>
      <c r="E456" s="819">
        <v>39203</v>
      </c>
      <c r="F456" s="857">
        <v>2007</v>
      </c>
      <c r="G456" s="800" t="s">
        <v>5</v>
      </c>
      <c r="H456" s="800" t="s">
        <v>1451</v>
      </c>
      <c r="I456" s="859" t="s">
        <v>1769</v>
      </c>
      <c r="J456" s="800" t="s">
        <v>2331</v>
      </c>
      <c r="K456" s="808">
        <v>2500</v>
      </c>
      <c r="L456" s="808">
        <v>49831</v>
      </c>
      <c r="M456" s="808">
        <v>46002</v>
      </c>
      <c r="N456" s="808">
        <v>46002</v>
      </c>
      <c r="O456" s="808">
        <f t="shared" si="30"/>
        <v>18.4008</v>
      </c>
      <c r="P456" s="808">
        <v>92</v>
      </c>
      <c r="Q456" s="808"/>
      <c r="R456" s="808"/>
      <c r="S456" s="808"/>
      <c r="T456" s="808"/>
      <c r="U456" s="808"/>
      <c r="V456" s="808"/>
      <c r="W456" s="808"/>
      <c r="X456" s="808"/>
      <c r="Y456" s="808"/>
      <c r="Z456" s="808"/>
      <c r="AA456" s="808"/>
      <c r="AB456" s="808"/>
      <c r="AC456" s="808"/>
      <c r="AD456" s="808"/>
      <c r="AE456" s="808"/>
      <c r="AF456" s="808"/>
      <c r="AG456" s="808"/>
      <c r="AH456" s="808"/>
      <c r="AI456" s="808"/>
      <c r="AJ456" s="808"/>
      <c r="AK456" s="808"/>
      <c r="AL456" s="808"/>
      <c r="AM456" s="808"/>
      <c r="AN456" s="808"/>
      <c r="AO456" s="808"/>
      <c r="AP456" s="808"/>
      <c r="AQ456" s="808"/>
      <c r="AR456" s="808"/>
      <c r="AS456" s="808"/>
      <c r="AT456" s="808"/>
      <c r="AU456" s="800" t="s">
        <v>1768</v>
      </c>
      <c r="AV456" s="800"/>
      <c r="AW456" s="800"/>
      <c r="AX456" s="800"/>
      <c r="AY456" s="800"/>
      <c r="AZ456" s="800"/>
      <c r="BA456" s="800"/>
      <c r="BB456" s="800"/>
      <c r="BC456" s="800"/>
      <c r="BD456" s="800"/>
      <c r="BE456" s="800"/>
      <c r="BF456" s="800"/>
      <c r="BG456" s="800"/>
      <c r="BH456" s="800"/>
      <c r="BI456" s="800"/>
      <c r="BJ456" s="800"/>
      <c r="BK456" s="800"/>
      <c r="BL456" s="800"/>
      <c r="BM456" s="800"/>
    </row>
    <row r="457" spans="1:218" s="785" customFormat="1" ht="16.5" customHeight="1">
      <c r="A457" s="794">
        <v>455</v>
      </c>
      <c r="B457" s="790" t="s">
        <v>1760</v>
      </c>
      <c r="C457" s="790" t="s">
        <v>1286</v>
      </c>
      <c r="D457" s="824">
        <v>39083</v>
      </c>
      <c r="E457" s="824">
        <v>39539</v>
      </c>
      <c r="F457" s="857">
        <v>2007</v>
      </c>
      <c r="G457" s="790" t="s">
        <v>5</v>
      </c>
      <c r="H457" s="790" t="s">
        <v>1451</v>
      </c>
      <c r="I457" s="790" t="s">
        <v>1770</v>
      </c>
      <c r="J457" s="800" t="s">
        <v>2331</v>
      </c>
      <c r="K457" s="787">
        <v>3750</v>
      </c>
      <c r="L457" s="787">
        <v>78568</v>
      </c>
      <c r="M457" s="787">
        <v>68205</v>
      </c>
      <c r="N457" s="787">
        <v>68205</v>
      </c>
      <c r="O457" s="808">
        <f t="shared" si="30"/>
        <v>18.187999999999999</v>
      </c>
      <c r="P457" s="787">
        <v>87</v>
      </c>
      <c r="Q457" s="787"/>
      <c r="R457" s="787"/>
      <c r="S457" s="808"/>
      <c r="T457" s="787"/>
      <c r="U457" s="787"/>
      <c r="V457" s="787"/>
      <c r="W457" s="787">
        <v>7509</v>
      </c>
      <c r="X457" s="787">
        <f>0.87*W457</f>
        <v>6532.83</v>
      </c>
      <c r="Y457" s="808"/>
      <c r="Z457" s="787"/>
      <c r="AA457" s="787"/>
      <c r="AB457" s="787"/>
      <c r="AC457" s="787"/>
      <c r="AD457" s="787"/>
      <c r="AE457" s="787"/>
      <c r="AF457" s="787"/>
      <c r="AG457" s="787"/>
      <c r="AH457" s="808"/>
      <c r="AI457" s="787"/>
      <c r="AJ457" s="808"/>
      <c r="AK457" s="787"/>
      <c r="AL457" s="787"/>
      <c r="AM457" s="787"/>
      <c r="AN457" s="787"/>
      <c r="AO457" s="787"/>
      <c r="AP457" s="787"/>
      <c r="AQ457" s="787"/>
      <c r="AR457" s="787"/>
      <c r="AS457" s="787"/>
      <c r="AT457" s="787"/>
      <c r="AU457" s="790" t="s">
        <v>1771</v>
      </c>
      <c r="AV457" s="790"/>
      <c r="AW457" s="790"/>
      <c r="AX457" s="790"/>
      <c r="AY457" s="790"/>
      <c r="AZ457" s="790"/>
      <c r="BA457" s="790"/>
      <c r="BB457" s="790"/>
      <c r="BC457" s="790"/>
      <c r="BD457" s="790"/>
      <c r="BE457" s="790"/>
      <c r="BF457" s="790"/>
      <c r="BG457" s="790"/>
      <c r="BH457" s="790"/>
      <c r="BI457" s="790"/>
      <c r="BJ457" s="790"/>
      <c r="BK457" s="790"/>
      <c r="BL457" s="790"/>
      <c r="BM457" s="800"/>
    </row>
    <row r="458" spans="1:218" s="785" customFormat="1" ht="18.75" customHeight="1">
      <c r="A458" s="794">
        <v>456</v>
      </c>
      <c r="B458" s="785" t="s">
        <v>1180</v>
      </c>
      <c r="C458" s="785" t="s">
        <v>1261</v>
      </c>
      <c r="D458" s="792">
        <v>39295</v>
      </c>
      <c r="E458" s="792">
        <v>39569</v>
      </c>
      <c r="F458" s="857">
        <v>2007</v>
      </c>
      <c r="G458" s="789" t="s">
        <v>1466</v>
      </c>
      <c r="H458" s="790" t="s">
        <v>1451</v>
      </c>
      <c r="I458" s="785" t="s">
        <v>584</v>
      </c>
      <c r="J458" s="812" t="s">
        <v>2438</v>
      </c>
      <c r="K458" s="842">
        <v>3700000</v>
      </c>
      <c r="L458" s="842">
        <v>5451295</v>
      </c>
      <c r="M458" s="842">
        <v>5196072</v>
      </c>
      <c r="N458" s="842">
        <v>5196072</v>
      </c>
      <c r="O458" s="808">
        <f t="shared" si="30"/>
        <v>1.4043437837837838</v>
      </c>
      <c r="P458" s="842">
        <v>95</v>
      </c>
      <c r="Q458" s="842" t="s">
        <v>75</v>
      </c>
      <c r="R458" s="842" t="s">
        <v>75</v>
      </c>
      <c r="S458" s="842" t="s">
        <v>75</v>
      </c>
      <c r="T458" s="842" t="s">
        <v>95</v>
      </c>
      <c r="U458" s="842">
        <v>200</v>
      </c>
      <c r="V458" s="842">
        <v>3700000</v>
      </c>
      <c r="W458" s="842">
        <v>289652</v>
      </c>
      <c r="X458" s="842">
        <v>289657</v>
      </c>
      <c r="Y458" s="842"/>
      <c r="Z458" s="842" t="s">
        <v>339</v>
      </c>
      <c r="AA458" s="842">
        <v>3700000</v>
      </c>
      <c r="AB458" s="842" t="s">
        <v>75</v>
      </c>
      <c r="AC458" s="842" t="s">
        <v>75</v>
      </c>
      <c r="AD458" s="842" t="s">
        <v>75</v>
      </c>
      <c r="AE458" s="842" t="s">
        <v>75</v>
      </c>
      <c r="AF458" s="842" t="s">
        <v>75</v>
      </c>
      <c r="AG458" s="842" t="s">
        <v>75</v>
      </c>
      <c r="AH458" s="842" t="s">
        <v>75</v>
      </c>
      <c r="AI458" s="842" t="s">
        <v>75</v>
      </c>
      <c r="AJ458" s="787">
        <f t="shared" ref="AJ458:AJ521" si="31">SUM(Z458,AA458,AH458)</f>
        <v>3700000</v>
      </c>
      <c r="AK458" s="842">
        <v>2056302</v>
      </c>
      <c r="AL458" s="842">
        <v>1916931</v>
      </c>
      <c r="AM458" s="842"/>
      <c r="AN458" s="842" t="s">
        <v>75</v>
      </c>
      <c r="AO458" s="842" t="s">
        <v>75</v>
      </c>
      <c r="AP458" s="842" t="s">
        <v>75</v>
      </c>
      <c r="AQ458" s="842" t="s">
        <v>75</v>
      </c>
      <c r="AR458" s="842" t="s">
        <v>75</v>
      </c>
      <c r="AS458" s="842" t="s">
        <v>75</v>
      </c>
      <c r="AT458" s="842" t="s">
        <v>75</v>
      </c>
      <c r="AU458" s="344" t="s">
        <v>582</v>
      </c>
    </row>
    <row r="459" spans="1:218" s="785" customFormat="1" ht="12.75" customHeight="1">
      <c r="A459" s="794">
        <v>457</v>
      </c>
      <c r="B459" s="789" t="s">
        <v>270</v>
      </c>
      <c r="C459" s="785" t="s">
        <v>1299</v>
      </c>
      <c r="D459" s="792">
        <v>39392</v>
      </c>
      <c r="E459" s="792">
        <v>39660</v>
      </c>
      <c r="F459" s="857">
        <v>2007</v>
      </c>
      <c r="G459" s="789" t="s">
        <v>660</v>
      </c>
      <c r="H459" s="800" t="s">
        <v>1451</v>
      </c>
      <c r="I459" s="785" t="s">
        <v>659</v>
      </c>
      <c r="J459" s="800" t="s">
        <v>2331</v>
      </c>
      <c r="K459" s="842">
        <v>11000</v>
      </c>
      <c r="L459" s="842">
        <v>284893</v>
      </c>
      <c r="M459" s="842">
        <v>284886</v>
      </c>
      <c r="N459" s="842">
        <v>284886</v>
      </c>
      <c r="O459" s="808">
        <f t="shared" si="30"/>
        <v>25.898727272727271</v>
      </c>
      <c r="P459" s="842">
        <v>100</v>
      </c>
      <c r="Q459" s="817" t="s">
        <v>339</v>
      </c>
      <c r="R459" s="842">
        <f>900*5</f>
        <v>4500</v>
      </c>
      <c r="S459" s="842">
        <v>4500</v>
      </c>
      <c r="T459" s="842" t="s">
        <v>95</v>
      </c>
      <c r="U459" s="842">
        <v>100</v>
      </c>
      <c r="V459" s="842">
        <v>35000</v>
      </c>
      <c r="W459" s="842">
        <v>18308</v>
      </c>
      <c r="X459" s="842">
        <v>16460</v>
      </c>
      <c r="Y459" s="808">
        <f>X459/S459</f>
        <v>3.6577777777777776</v>
      </c>
      <c r="Z459" s="842" t="s">
        <v>75</v>
      </c>
      <c r="AA459" s="842">
        <v>35000</v>
      </c>
      <c r="AB459" s="842" t="s">
        <v>75</v>
      </c>
      <c r="AC459" s="842" t="s">
        <v>75</v>
      </c>
      <c r="AD459" s="842" t="s">
        <v>75</v>
      </c>
      <c r="AE459" s="842">
        <v>4300</v>
      </c>
      <c r="AF459" s="842" t="s">
        <v>75</v>
      </c>
      <c r="AG459" s="842" t="s">
        <v>75</v>
      </c>
      <c r="AH459" s="842" t="s">
        <v>75</v>
      </c>
      <c r="AI459" s="842" t="s">
        <v>75</v>
      </c>
      <c r="AJ459" s="808">
        <f t="shared" si="31"/>
        <v>35000</v>
      </c>
      <c r="AK459" s="842" t="s">
        <v>75</v>
      </c>
      <c r="AL459" s="842" t="s">
        <v>75</v>
      </c>
      <c r="AM459" s="842"/>
      <c r="AN459" s="842" t="s">
        <v>75</v>
      </c>
      <c r="AO459" s="842" t="s">
        <v>75</v>
      </c>
      <c r="AP459" s="842" t="s">
        <v>75</v>
      </c>
      <c r="AQ459" s="842" t="s">
        <v>75</v>
      </c>
      <c r="AR459" s="842" t="s">
        <v>75</v>
      </c>
      <c r="AS459" s="842" t="s">
        <v>75</v>
      </c>
      <c r="AT459" s="842" t="s">
        <v>75</v>
      </c>
      <c r="AU459" s="293" t="s">
        <v>658</v>
      </c>
    </row>
    <row r="460" spans="1:218" s="785" customFormat="1" ht="15" customHeight="1">
      <c r="A460" s="794">
        <v>458</v>
      </c>
      <c r="B460" s="836" t="s">
        <v>270</v>
      </c>
      <c r="C460" s="789" t="s">
        <v>1299</v>
      </c>
      <c r="D460" s="840">
        <v>39326</v>
      </c>
      <c r="E460" s="840">
        <v>39600</v>
      </c>
      <c r="F460" s="857">
        <v>2007</v>
      </c>
      <c r="G460" s="789" t="s">
        <v>786</v>
      </c>
      <c r="H460" s="800" t="s">
        <v>1449</v>
      </c>
      <c r="I460" s="789" t="s">
        <v>785</v>
      </c>
      <c r="J460" s="800" t="s">
        <v>2331</v>
      </c>
      <c r="K460" s="817">
        <v>1000000</v>
      </c>
      <c r="L460" s="817">
        <v>180994</v>
      </c>
      <c r="M460" s="817">
        <v>170574</v>
      </c>
      <c r="N460" s="817">
        <v>170574</v>
      </c>
      <c r="O460" s="808">
        <f t="shared" si="30"/>
        <v>0.170574</v>
      </c>
      <c r="P460" s="817">
        <v>94</v>
      </c>
      <c r="Q460" s="817" t="s">
        <v>339</v>
      </c>
      <c r="R460" s="838" t="s">
        <v>339</v>
      </c>
      <c r="S460" s="817"/>
      <c r="T460" s="817" t="s">
        <v>849</v>
      </c>
      <c r="U460" s="817" t="s">
        <v>848</v>
      </c>
      <c r="V460" s="817">
        <v>3360</v>
      </c>
      <c r="W460" s="817">
        <v>30624</v>
      </c>
      <c r="X460" s="817">
        <v>21495</v>
      </c>
      <c r="Y460" s="817"/>
      <c r="Z460" s="817">
        <v>10000</v>
      </c>
      <c r="AA460" s="817">
        <v>10000</v>
      </c>
      <c r="AB460" s="817">
        <v>100</v>
      </c>
      <c r="AC460" s="817"/>
      <c r="AD460" s="817" t="s">
        <v>75</v>
      </c>
      <c r="AE460" s="817" t="s">
        <v>75</v>
      </c>
      <c r="AF460" s="817" t="s">
        <v>75</v>
      </c>
      <c r="AG460" s="817" t="s">
        <v>75</v>
      </c>
      <c r="AH460" s="817" t="s">
        <v>75</v>
      </c>
      <c r="AI460" s="817" t="s">
        <v>75</v>
      </c>
      <c r="AJ460" s="808">
        <f t="shared" si="31"/>
        <v>20000</v>
      </c>
      <c r="AK460" s="817">
        <v>5325</v>
      </c>
      <c r="AL460" s="817">
        <v>5219</v>
      </c>
      <c r="AM460" s="817"/>
      <c r="AN460" s="817" t="s">
        <v>75</v>
      </c>
      <c r="AO460" s="817" t="s">
        <v>75</v>
      </c>
      <c r="AP460" s="817" t="s">
        <v>75</v>
      </c>
      <c r="AQ460" s="817" t="s">
        <v>75</v>
      </c>
      <c r="AR460" s="817" t="s">
        <v>75</v>
      </c>
      <c r="AS460" s="817" t="s">
        <v>75</v>
      </c>
      <c r="AT460" s="817" t="s">
        <v>75</v>
      </c>
      <c r="AU460" s="356" t="s">
        <v>784</v>
      </c>
      <c r="AV460" s="789"/>
      <c r="AW460" s="789"/>
      <c r="AX460" s="789"/>
      <c r="AY460" s="789"/>
      <c r="AZ460" s="789"/>
      <c r="BA460" s="789"/>
      <c r="BB460" s="789"/>
      <c r="BC460" s="789"/>
      <c r="BD460" s="789"/>
      <c r="BE460" s="789"/>
      <c r="BF460" s="789"/>
      <c r="BG460" s="789"/>
      <c r="BH460" s="789"/>
      <c r="BI460" s="789"/>
      <c r="BJ460" s="789"/>
      <c r="BK460" s="789"/>
      <c r="BL460" s="789"/>
      <c r="BM460" s="789"/>
    </row>
    <row r="461" spans="1:218" s="785" customFormat="1" ht="14.25" customHeight="1">
      <c r="A461" s="794">
        <v>459</v>
      </c>
      <c r="B461" s="789" t="s">
        <v>170</v>
      </c>
      <c r="C461" s="800" t="s">
        <v>1299</v>
      </c>
      <c r="D461" s="819">
        <v>39114</v>
      </c>
      <c r="E461" s="819">
        <v>39417</v>
      </c>
      <c r="F461" s="857">
        <v>2007</v>
      </c>
      <c r="G461" s="800" t="s">
        <v>168</v>
      </c>
      <c r="H461" s="800" t="s">
        <v>1449</v>
      </c>
      <c r="I461" s="800" t="s">
        <v>1757</v>
      </c>
      <c r="J461" s="800" t="s">
        <v>2331</v>
      </c>
      <c r="K461" s="808">
        <v>484145</v>
      </c>
      <c r="L461" s="808">
        <v>38000</v>
      </c>
      <c r="M461" s="808">
        <v>36120</v>
      </c>
      <c r="N461" s="808">
        <v>36120</v>
      </c>
      <c r="O461" s="808">
        <f t="shared" si="30"/>
        <v>7.4605748277891959E-2</v>
      </c>
      <c r="P461" s="808">
        <v>95</v>
      </c>
      <c r="Q461" s="808">
        <f>18300*5</f>
        <v>91500</v>
      </c>
      <c r="R461" s="808">
        <f>5*2581</f>
        <v>12905</v>
      </c>
      <c r="S461" s="808">
        <f>18300*5</f>
        <v>91500</v>
      </c>
      <c r="T461" s="808" t="s">
        <v>233</v>
      </c>
      <c r="U461" s="808"/>
      <c r="V461" s="808">
        <v>484145</v>
      </c>
      <c r="W461" s="808">
        <v>1800</v>
      </c>
      <c r="X461" s="808">
        <v>2653</v>
      </c>
      <c r="Y461" s="808">
        <f>X461/S461</f>
        <v>2.8994535519125682E-2</v>
      </c>
      <c r="Z461" s="808"/>
      <c r="AA461" s="808"/>
      <c r="AB461" s="808">
        <v>130</v>
      </c>
      <c r="AC461" s="808"/>
      <c r="AD461" s="808"/>
      <c r="AE461" s="808"/>
      <c r="AF461" s="808"/>
      <c r="AG461" s="808"/>
      <c r="AH461" s="808"/>
      <c r="AI461" s="808"/>
      <c r="AJ461" s="787">
        <f t="shared" si="31"/>
        <v>0</v>
      </c>
      <c r="AK461" s="808">
        <v>900</v>
      </c>
      <c r="AL461" s="808">
        <f>0.95*AK461</f>
        <v>855</v>
      </c>
      <c r="AM461" s="808"/>
      <c r="AN461" s="808"/>
      <c r="AO461" s="808"/>
      <c r="AP461" s="808"/>
      <c r="AQ461" s="808"/>
      <c r="AR461" s="808"/>
      <c r="AS461" s="808"/>
      <c r="AT461" s="808"/>
      <c r="AU461" s="346" t="s">
        <v>1756</v>
      </c>
      <c r="AV461" s="800"/>
      <c r="AW461" s="800"/>
      <c r="AX461" s="800"/>
      <c r="AY461" s="800"/>
      <c r="AZ461" s="800"/>
      <c r="BA461" s="800"/>
      <c r="BB461" s="800"/>
      <c r="BC461" s="800"/>
      <c r="BD461" s="800"/>
      <c r="BE461" s="800"/>
      <c r="BF461" s="800"/>
      <c r="BG461" s="800"/>
      <c r="BH461" s="800"/>
      <c r="BI461" s="800"/>
      <c r="BJ461" s="800"/>
      <c r="BK461" s="800"/>
      <c r="BL461" s="800"/>
      <c r="BM461" s="800"/>
    </row>
    <row r="462" spans="1:218" s="890" customFormat="1" ht="17.25" customHeight="1">
      <c r="A462" s="794">
        <v>460</v>
      </c>
      <c r="B462" s="789" t="s">
        <v>452</v>
      </c>
      <c r="C462" s="789" t="s">
        <v>1278</v>
      </c>
      <c r="D462" s="840">
        <v>39417</v>
      </c>
      <c r="E462" s="840">
        <v>39692</v>
      </c>
      <c r="F462" s="857">
        <v>2007</v>
      </c>
      <c r="G462" s="789" t="s">
        <v>837</v>
      </c>
      <c r="H462" s="790" t="s">
        <v>1452</v>
      </c>
      <c r="I462" s="789" t="s">
        <v>836</v>
      </c>
      <c r="J462" s="800" t="s">
        <v>2331</v>
      </c>
      <c r="K462" s="817">
        <v>2800</v>
      </c>
      <c r="L462" s="817">
        <v>150000</v>
      </c>
      <c r="M462" s="817">
        <v>150000</v>
      </c>
      <c r="N462" s="817">
        <v>150000</v>
      </c>
      <c r="O462" s="808">
        <f t="shared" si="30"/>
        <v>53.571428571428569</v>
      </c>
      <c r="P462" s="817">
        <v>100</v>
      </c>
      <c r="Q462" s="817" t="s">
        <v>75</v>
      </c>
      <c r="R462" s="817" t="s">
        <v>75</v>
      </c>
      <c r="S462" s="817" t="s">
        <v>75</v>
      </c>
      <c r="T462" s="817" t="s">
        <v>849</v>
      </c>
      <c r="U462" s="817" t="s">
        <v>75</v>
      </c>
      <c r="V462" s="817" t="s">
        <v>75</v>
      </c>
      <c r="W462" s="817" t="s">
        <v>75</v>
      </c>
      <c r="X462" s="817" t="s">
        <v>75</v>
      </c>
      <c r="Y462" s="817"/>
      <c r="Z462" s="817" t="s">
        <v>75</v>
      </c>
      <c r="AA462" s="817" t="s">
        <v>75</v>
      </c>
      <c r="AB462" s="817" t="s">
        <v>75</v>
      </c>
      <c r="AC462" s="817">
        <v>21</v>
      </c>
      <c r="AD462" s="817" t="s">
        <v>75</v>
      </c>
      <c r="AE462" s="817" t="s">
        <v>75</v>
      </c>
      <c r="AF462" s="817" t="s">
        <v>75</v>
      </c>
      <c r="AG462" s="817" t="s">
        <v>75</v>
      </c>
      <c r="AH462" s="817" t="s">
        <v>75</v>
      </c>
      <c r="AI462" s="817" t="s">
        <v>75</v>
      </c>
      <c r="AJ462" s="787">
        <f t="shared" si="31"/>
        <v>0</v>
      </c>
      <c r="AK462" s="817" t="s">
        <v>75</v>
      </c>
      <c r="AL462" s="817" t="s">
        <v>75</v>
      </c>
      <c r="AM462" s="817"/>
      <c r="AN462" s="817" t="s">
        <v>75</v>
      </c>
      <c r="AO462" s="817" t="s">
        <v>75</v>
      </c>
      <c r="AP462" s="817" t="s">
        <v>75</v>
      </c>
      <c r="AQ462" s="817" t="s">
        <v>75</v>
      </c>
      <c r="AR462" s="817" t="s">
        <v>75</v>
      </c>
      <c r="AS462" s="817" t="s">
        <v>75</v>
      </c>
      <c r="AT462" s="817" t="s">
        <v>75</v>
      </c>
      <c r="AU462" s="359" t="s">
        <v>835</v>
      </c>
      <c r="AV462" s="789"/>
      <c r="AW462" s="789"/>
      <c r="AX462" s="789"/>
      <c r="AY462" s="789"/>
      <c r="AZ462" s="789"/>
      <c r="BA462" s="789"/>
      <c r="BB462" s="789"/>
      <c r="BC462" s="789"/>
      <c r="BD462" s="789"/>
      <c r="BE462" s="789"/>
      <c r="BF462" s="789"/>
      <c r="BG462" s="789"/>
      <c r="BH462" s="789"/>
      <c r="BI462" s="789"/>
      <c r="BJ462" s="789"/>
      <c r="BK462" s="789"/>
      <c r="BL462" s="789"/>
      <c r="BM462" s="789"/>
      <c r="BN462" s="785"/>
      <c r="BO462" s="785"/>
      <c r="BP462" s="785"/>
      <c r="BQ462" s="785"/>
      <c r="BR462" s="785"/>
      <c r="BS462" s="785"/>
      <c r="BT462" s="785"/>
      <c r="BU462" s="785"/>
      <c r="BV462" s="785"/>
      <c r="BW462" s="785"/>
      <c r="BX462" s="785"/>
      <c r="BY462" s="785"/>
      <c r="BZ462" s="785"/>
      <c r="CA462" s="785"/>
      <c r="CB462" s="785"/>
      <c r="CC462" s="785"/>
      <c r="CD462" s="785"/>
      <c r="CE462" s="785"/>
      <c r="CF462" s="785"/>
      <c r="CG462" s="785"/>
      <c r="CH462" s="785"/>
      <c r="CI462" s="785"/>
      <c r="CJ462" s="785"/>
      <c r="CK462" s="785"/>
      <c r="CL462" s="785"/>
      <c r="CM462" s="785"/>
      <c r="CN462" s="785"/>
      <c r="CO462" s="785"/>
      <c r="CP462" s="785"/>
      <c r="CQ462" s="785"/>
      <c r="CR462" s="785"/>
      <c r="CS462" s="785"/>
      <c r="CT462" s="785"/>
      <c r="CU462" s="785"/>
      <c r="CV462" s="785"/>
      <c r="CW462" s="785"/>
      <c r="CX462" s="785"/>
      <c r="CY462" s="785"/>
      <c r="CZ462" s="785"/>
      <c r="DA462" s="785"/>
      <c r="DB462" s="785"/>
      <c r="DC462" s="785"/>
      <c r="DD462" s="785"/>
      <c r="DE462" s="785"/>
      <c r="DF462" s="785"/>
      <c r="DG462" s="785"/>
      <c r="DH462" s="785"/>
      <c r="DI462" s="785"/>
      <c r="DJ462" s="785"/>
      <c r="DK462" s="785"/>
      <c r="DL462" s="785"/>
      <c r="DM462" s="785"/>
      <c r="DN462" s="785"/>
      <c r="DO462" s="785"/>
      <c r="DP462" s="785"/>
      <c r="DQ462" s="785"/>
      <c r="DR462" s="785"/>
      <c r="DS462" s="785"/>
      <c r="DT462" s="785"/>
      <c r="DU462" s="785"/>
      <c r="DV462" s="785"/>
      <c r="DW462" s="785"/>
      <c r="DX462" s="785"/>
      <c r="DY462" s="785"/>
      <c r="DZ462" s="785"/>
      <c r="EA462" s="785"/>
      <c r="EB462" s="785"/>
      <c r="EC462" s="785"/>
      <c r="ED462" s="785"/>
      <c r="EE462" s="785"/>
      <c r="EF462" s="785"/>
      <c r="EG462" s="785"/>
      <c r="EH462" s="785"/>
      <c r="EI462" s="785"/>
      <c r="EJ462" s="785"/>
      <c r="EK462" s="785"/>
      <c r="EL462" s="785"/>
      <c r="EM462" s="785"/>
      <c r="EN462" s="785"/>
      <c r="EO462" s="785"/>
      <c r="EP462" s="785"/>
      <c r="EQ462" s="785"/>
      <c r="ER462" s="785"/>
      <c r="ES462" s="785"/>
      <c r="ET462" s="785"/>
      <c r="EU462" s="785"/>
      <c r="EV462" s="785"/>
      <c r="EW462" s="785"/>
      <c r="EX462" s="785"/>
      <c r="EY462" s="785"/>
      <c r="EZ462" s="785"/>
      <c r="FA462" s="785"/>
      <c r="FB462" s="785"/>
      <c r="FC462" s="785"/>
      <c r="FD462" s="785"/>
      <c r="FE462" s="785"/>
      <c r="FF462" s="785"/>
      <c r="FG462" s="785"/>
      <c r="FH462" s="785"/>
      <c r="FI462" s="785"/>
      <c r="FJ462" s="785"/>
      <c r="FK462" s="785"/>
      <c r="FL462" s="785"/>
      <c r="FM462" s="785"/>
      <c r="FN462" s="785"/>
      <c r="FO462" s="785"/>
      <c r="FP462" s="785"/>
      <c r="FQ462" s="785"/>
      <c r="FR462" s="785"/>
      <c r="FS462" s="785"/>
      <c r="FT462" s="785"/>
      <c r="FU462" s="785"/>
      <c r="FV462" s="785"/>
      <c r="FW462" s="785"/>
      <c r="FX462" s="785"/>
      <c r="FY462" s="785"/>
      <c r="FZ462" s="785"/>
      <c r="GA462" s="785"/>
      <c r="GB462" s="785"/>
      <c r="GC462" s="785"/>
      <c r="GD462" s="785"/>
      <c r="GE462" s="785"/>
      <c r="GF462" s="785"/>
      <c r="GG462" s="785"/>
      <c r="GH462" s="785"/>
      <c r="GI462" s="785"/>
      <c r="GJ462" s="785"/>
      <c r="GK462" s="785"/>
      <c r="GL462" s="785"/>
      <c r="GM462" s="785"/>
      <c r="GN462" s="785"/>
      <c r="GO462" s="785"/>
      <c r="GP462" s="785"/>
      <c r="GQ462" s="785"/>
      <c r="GR462" s="785"/>
      <c r="GS462" s="785"/>
      <c r="GT462" s="785"/>
      <c r="GU462" s="785"/>
      <c r="GV462" s="785"/>
      <c r="GW462" s="785"/>
      <c r="GX462" s="785"/>
      <c r="GY462" s="785"/>
      <c r="GZ462" s="785"/>
      <c r="HA462" s="785"/>
      <c r="HB462" s="785"/>
      <c r="HC462" s="785"/>
      <c r="HD462" s="785"/>
      <c r="HE462" s="785"/>
      <c r="HF462" s="785"/>
      <c r="HG462" s="785"/>
      <c r="HH462" s="785"/>
      <c r="HI462" s="785"/>
      <c r="HJ462" s="785"/>
    </row>
    <row r="463" spans="1:218" s="785" customFormat="1" ht="15.75" customHeight="1">
      <c r="A463" s="794">
        <v>461</v>
      </c>
      <c r="B463" s="800" t="s">
        <v>452</v>
      </c>
      <c r="C463" s="800" t="s">
        <v>1278</v>
      </c>
      <c r="D463" s="819">
        <v>39142</v>
      </c>
      <c r="E463" s="819">
        <v>39264</v>
      </c>
      <c r="F463" s="857">
        <v>2007</v>
      </c>
      <c r="G463" s="800" t="s">
        <v>1774</v>
      </c>
      <c r="H463" s="800" t="s">
        <v>1464</v>
      </c>
      <c r="I463" s="800" t="s">
        <v>1773</v>
      </c>
      <c r="J463" s="800" t="s">
        <v>2331</v>
      </c>
      <c r="K463" s="808">
        <f>301*5</f>
        <v>1505</v>
      </c>
      <c r="L463" s="808">
        <v>70000</v>
      </c>
      <c r="M463" s="808">
        <v>70000</v>
      </c>
      <c r="N463" s="808">
        <v>70000</v>
      </c>
      <c r="O463" s="808">
        <f t="shared" si="30"/>
        <v>46.511627906976742</v>
      </c>
      <c r="P463" s="808">
        <v>100</v>
      </c>
      <c r="Q463" s="808"/>
      <c r="R463" s="808"/>
      <c r="S463" s="808"/>
      <c r="T463" s="808"/>
      <c r="U463" s="808"/>
      <c r="V463" s="808"/>
      <c r="W463" s="808"/>
      <c r="X463" s="808"/>
      <c r="Y463" s="808"/>
      <c r="Z463" s="808">
        <v>1505</v>
      </c>
      <c r="AA463" s="808"/>
      <c r="AB463" s="808"/>
      <c r="AC463" s="808"/>
      <c r="AD463" s="808"/>
      <c r="AE463" s="808"/>
      <c r="AF463" s="808"/>
      <c r="AG463" s="808"/>
      <c r="AH463" s="808"/>
      <c r="AI463" s="808"/>
      <c r="AJ463" s="808">
        <f t="shared" si="31"/>
        <v>1505</v>
      </c>
      <c r="AK463" s="808"/>
      <c r="AL463" s="808"/>
      <c r="AM463" s="808"/>
      <c r="AN463" s="808"/>
      <c r="AO463" s="808"/>
      <c r="AP463" s="808"/>
      <c r="AQ463" s="808"/>
      <c r="AR463" s="808"/>
      <c r="AS463" s="808"/>
      <c r="AT463" s="808"/>
      <c r="AU463" s="800" t="s">
        <v>1772</v>
      </c>
      <c r="AV463" s="800"/>
      <c r="AW463" s="800"/>
      <c r="AX463" s="800"/>
      <c r="AY463" s="800"/>
      <c r="AZ463" s="800"/>
      <c r="BA463" s="800"/>
      <c r="BB463" s="800"/>
      <c r="BC463" s="800"/>
      <c r="BD463" s="800"/>
      <c r="BE463" s="800"/>
      <c r="BF463" s="800"/>
      <c r="BG463" s="800"/>
      <c r="BH463" s="800"/>
      <c r="BI463" s="800"/>
      <c r="BJ463" s="800"/>
      <c r="BK463" s="800"/>
      <c r="BL463" s="800"/>
      <c r="BM463" s="800"/>
    </row>
    <row r="464" spans="1:218" s="785" customFormat="1" ht="15" customHeight="1">
      <c r="A464" s="794">
        <v>462</v>
      </c>
      <c r="B464" s="790" t="s">
        <v>452</v>
      </c>
      <c r="C464" s="790" t="s">
        <v>1278</v>
      </c>
      <c r="D464" s="824">
        <v>39264</v>
      </c>
      <c r="E464" s="824">
        <v>39356</v>
      </c>
      <c r="F464" s="857">
        <v>2007</v>
      </c>
      <c r="G464" s="790" t="s">
        <v>1776</v>
      </c>
      <c r="H464" s="790" t="s">
        <v>1452</v>
      </c>
      <c r="I464" s="790" t="s">
        <v>1777</v>
      </c>
      <c r="J464" s="800" t="s">
        <v>2331</v>
      </c>
      <c r="K464" s="787">
        <v>5110</v>
      </c>
      <c r="L464" s="787">
        <v>100000</v>
      </c>
      <c r="M464" s="787">
        <v>99997</v>
      </c>
      <c r="N464" s="787">
        <v>99997</v>
      </c>
      <c r="O464" s="808">
        <f t="shared" si="30"/>
        <v>19.568884540117416</v>
      </c>
      <c r="P464" s="787">
        <v>100</v>
      </c>
      <c r="Q464" s="787"/>
      <c r="R464" s="787"/>
      <c r="S464" s="808"/>
      <c r="T464" s="787"/>
      <c r="U464" s="787"/>
      <c r="V464" s="787"/>
      <c r="W464" s="787"/>
      <c r="X464" s="787"/>
      <c r="Y464" s="808"/>
      <c r="Z464" s="787"/>
      <c r="AA464" s="787"/>
      <c r="AB464" s="787"/>
      <c r="AC464" s="787"/>
      <c r="AD464" s="787"/>
      <c r="AE464" s="787"/>
      <c r="AF464" s="787"/>
      <c r="AG464" s="787"/>
      <c r="AH464" s="808"/>
      <c r="AI464" s="787"/>
      <c r="AJ464" s="787">
        <f t="shared" si="31"/>
        <v>0</v>
      </c>
      <c r="AK464" s="787"/>
      <c r="AL464" s="787"/>
      <c r="AM464" s="787"/>
      <c r="AN464" s="787"/>
      <c r="AO464" s="787"/>
      <c r="AP464" s="787"/>
      <c r="AQ464" s="787"/>
      <c r="AR464" s="787"/>
      <c r="AS464" s="787"/>
      <c r="AT464" s="787"/>
      <c r="AU464" s="790" t="s">
        <v>1778</v>
      </c>
      <c r="AV464" s="790"/>
      <c r="AW464" s="790"/>
      <c r="AX464" s="790"/>
      <c r="AY464" s="790"/>
      <c r="AZ464" s="790"/>
      <c r="BA464" s="790"/>
      <c r="BB464" s="790"/>
      <c r="BC464" s="790"/>
      <c r="BD464" s="790"/>
      <c r="BE464" s="790"/>
      <c r="BF464" s="790"/>
      <c r="BG464" s="790"/>
      <c r="BH464" s="790"/>
      <c r="BI464" s="790"/>
      <c r="BJ464" s="790"/>
      <c r="BK464" s="790"/>
      <c r="BL464" s="790"/>
      <c r="BM464" s="800"/>
    </row>
    <row r="465" spans="1:218" s="785" customFormat="1" ht="16.5" customHeight="1">
      <c r="A465" s="794">
        <v>463</v>
      </c>
      <c r="B465" s="785" t="s">
        <v>607</v>
      </c>
      <c r="C465" s="785" t="s">
        <v>1299</v>
      </c>
      <c r="D465" s="792">
        <v>39340</v>
      </c>
      <c r="E465" s="792">
        <v>39903</v>
      </c>
      <c r="F465" s="857">
        <v>2007</v>
      </c>
      <c r="G465" s="789" t="s">
        <v>5</v>
      </c>
      <c r="H465" s="800" t="s">
        <v>1451</v>
      </c>
      <c r="I465" s="785" t="s">
        <v>606</v>
      </c>
      <c r="J465" s="812" t="s">
        <v>2438</v>
      </c>
      <c r="K465" s="842">
        <v>42200</v>
      </c>
      <c r="L465" s="842">
        <v>941088</v>
      </c>
      <c r="M465" s="842">
        <v>811061</v>
      </c>
      <c r="N465" s="842">
        <v>809444</v>
      </c>
      <c r="O465" s="808">
        <f t="shared" si="30"/>
        <v>19.181137440758295</v>
      </c>
      <c r="P465" s="842">
        <v>86</v>
      </c>
      <c r="Q465" s="842">
        <v>78000</v>
      </c>
      <c r="R465" s="842"/>
      <c r="S465" s="842">
        <v>78000</v>
      </c>
      <c r="T465" s="842" t="s">
        <v>2</v>
      </c>
      <c r="U465" s="842">
        <v>15600</v>
      </c>
      <c r="V465" s="842">
        <v>78000</v>
      </c>
      <c r="W465" s="842">
        <v>32823</v>
      </c>
      <c r="X465" s="842">
        <v>28227.78</v>
      </c>
      <c r="Y465" s="808">
        <f>X465/S465</f>
        <v>0.36189461538461537</v>
      </c>
      <c r="Z465" s="842">
        <v>5600</v>
      </c>
      <c r="AA465" s="842">
        <v>78000</v>
      </c>
      <c r="AB465" s="842"/>
      <c r="AC465" s="842" t="s">
        <v>75</v>
      </c>
      <c r="AD465" s="842" t="s">
        <v>75</v>
      </c>
      <c r="AE465" s="842" t="s">
        <v>75</v>
      </c>
      <c r="AF465" s="842" t="s">
        <v>75</v>
      </c>
      <c r="AG465" s="842" t="s">
        <v>75</v>
      </c>
      <c r="AH465" s="842">
        <v>5441</v>
      </c>
      <c r="AI465" s="842" t="s">
        <v>75</v>
      </c>
      <c r="AJ465" s="808">
        <f t="shared" si="31"/>
        <v>89041</v>
      </c>
      <c r="AK465" s="842">
        <v>204819</v>
      </c>
      <c r="AL465" s="842">
        <v>47029</v>
      </c>
      <c r="AM465" s="842"/>
      <c r="AN465" s="842" t="s">
        <v>75</v>
      </c>
      <c r="AO465" s="842" t="s">
        <v>75</v>
      </c>
      <c r="AP465" s="842" t="s">
        <v>75</v>
      </c>
      <c r="AQ465" s="842" t="s">
        <v>75</v>
      </c>
      <c r="AR465" s="842" t="s">
        <v>75</v>
      </c>
      <c r="AS465" s="842" t="s">
        <v>75</v>
      </c>
      <c r="AT465" s="842" t="s">
        <v>75</v>
      </c>
      <c r="AU465" s="293" t="s">
        <v>605</v>
      </c>
    </row>
    <row r="466" spans="1:218" s="785" customFormat="1" ht="15.75" customHeight="1">
      <c r="A466" s="794">
        <v>464</v>
      </c>
      <c r="B466" s="790" t="s">
        <v>472</v>
      </c>
      <c r="C466" s="790" t="s">
        <v>1299</v>
      </c>
      <c r="D466" s="824">
        <v>39203</v>
      </c>
      <c r="E466" s="824">
        <v>39417</v>
      </c>
      <c r="F466" s="857">
        <v>2007</v>
      </c>
      <c r="G466" s="790" t="s">
        <v>1780</v>
      </c>
      <c r="H466" s="790" t="s">
        <v>1449</v>
      </c>
      <c r="I466" s="790" t="s">
        <v>1781</v>
      </c>
      <c r="J466" s="800" t="s">
        <v>2331</v>
      </c>
      <c r="K466" s="787">
        <v>600000</v>
      </c>
      <c r="L466" s="787">
        <v>38082</v>
      </c>
      <c r="M466" s="787">
        <v>32713</v>
      </c>
      <c r="N466" s="787">
        <v>32713</v>
      </c>
      <c r="O466" s="808">
        <f t="shared" si="30"/>
        <v>5.452166666666667E-2</v>
      </c>
      <c r="P466" s="787">
        <v>86</v>
      </c>
      <c r="Q466" s="787"/>
      <c r="R466" s="787">
        <f>2480*5</f>
        <v>12400</v>
      </c>
      <c r="S466" s="808">
        <f>2480*5</f>
        <v>12400</v>
      </c>
      <c r="T466" s="787"/>
      <c r="U466" s="787">
        <v>100</v>
      </c>
      <c r="V466" s="787"/>
      <c r="W466" s="787">
        <v>1260</v>
      </c>
      <c r="X466" s="787">
        <f>0.86*W466</f>
        <v>1083.5999999999999</v>
      </c>
      <c r="Y466" s="808">
        <f>X466/S466</f>
        <v>8.738709677419354E-2</v>
      </c>
      <c r="Z466" s="787"/>
      <c r="AA466" s="787"/>
      <c r="AB466" s="787">
        <v>100</v>
      </c>
      <c r="AC466" s="787"/>
      <c r="AD466" s="787"/>
      <c r="AE466" s="787"/>
      <c r="AF466" s="787"/>
      <c r="AG466" s="787"/>
      <c r="AH466" s="808"/>
      <c r="AI466" s="787"/>
      <c r="AJ466" s="787">
        <f t="shared" si="31"/>
        <v>0</v>
      </c>
      <c r="AK466" s="787">
        <v>5232</v>
      </c>
      <c r="AL466" s="787">
        <v>7663</v>
      </c>
      <c r="AM466" s="787"/>
      <c r="AN466" s="787"/>
      <c r="AO466" s="787"/>
      <c r="AP466" s="787"/>
      <c r="AQ466" s="787"/>
      <c r="AR466" s="787"/>
      <c r="AS466" s="787"/>
      <c r="AT466" s="787"/>
      <c r="AU466" s="790" t="s">
        <v>1779</v>
      </c>
      <c r="AV466" s="790"/>
      <c r="AW466" s="790"/>
      <c r="AX466" s="790"/>
      <c r="AY466" s="790"/>
      <c r="AZ466" s="790"/>
      <c r="BA466" s="790"/>
      <c r="BB466" s="790"/>
      <c r="BC466" s="790"/>
      <c r="BD466" s="790"/>
      <c r="BE466" s="790"/>
      <c r="BF466" s="790"/>
      <c r="BG466" s="790"/>
      <c r="BH466" s="790"/>
      <c r="BI466" s="790"/>
      <c r="BJ466" s="790"/>
      <c r="BK466" s="790"/>
      <c r="BL466" s="790"/>
      <c r="BM466" s="800"/>
    </row>
    <row r="467" spans="1:218" s="785" customFormat="1" ht="18.75" customHeight="1">
      <c r="A467" s="794">
        <v>465</v>
      </c>
      <c r="B467" s="789" t="s">
        <v>27</v>
      </c>
      <c r="C467" s="789" t="s">
        <v>1299</v>
      </c>
      <c r="D467" s="840">
        <v>39203</v>
      </c>
      <c r="E467" s="840">
        <v>39600</v>
      </c>
      <c r="F467" s="857">
        <v>2007</v>
      </c>
      <c r="G467" s="789" t="s">
        <v>1469</v>
      </c>
      <c r="H467" s="800" t="s">
        <v>1451</v>
      </c>
      <c r="I467" s="789" t="s">
        <v>783</v>
      </c>
      <c r="J467" s="800" t="s">
        <v>2331</v>
      </c>
      <c r="K467" s="817">
        <v>300</v>
      </c>
      <c r="L467" s="817">
        <v>10533</v>
      </c>
      <c r="M467" s="817">
        <v>21353</v>
      </c>
      <c r="N467" s="817">
        <v>21353</v>
      </c>
      <c r="O467" s="808">
        <f t="shared" si="30"/>
        <v>71.176666666666662</v>
      </c>
      <c r="P467" s="817">
        <v>203</v>
      </c>
      <c r="Q467" s="817"/>
      <c r="R467" s="817">
        <v>1250</v>
      </c>
      <c r="S467" s="817">
        <v>1250</v>
      </c>
      <c r="T467" s="817" t="s">
        <v>849</v>
      </c>
      <c r="U467" s="817">
        <v>15</v>
      </c>
      <c r="V467" s="817">
        <v>1250</v>
      </c>
      <c r="W467" s="817">
        <v>2115</v>
      </c>
      <c r="X467" s="817">
        <v>4293.45</v>
      </c>
      <c r="Y467" s="808">
        <f>X467/S467</f>
        <v>3.4347599999999998</v>
      </c>
      <c r="Z467" s="817" t="s">
        <v>75</v>
      </c>
      <c r="AA467" s="817">
        <v>1250</v>
      </c>
      <c r="AB467" s="817" t="s">
        <v>75</v>
      </c>
      <c r="AC467" s="817" t="s">
        <v>75</v>
      </c>
      <c r="AD467" s="817" t="s">
        <v>75</v>
      </c>
      <c r="AE467" s="817" t="s">
        <v>75</v>
      </c>
      <c r="AF467" s="817" t="s">
        <v>75</v>
      </c>
      <c r="AG467" s="817" t="s">
        <v>75</v>
      </c>
      <c r="AH467" s="817" t="s">
        <v>75</v>
      </c>
      <c r="AI467" s="817" t="s">
        <v>75</v>
      </c>
      <c r="AJ467" s="808">
        <f t="shared" si="31"/>
        <v>1250</v>
      </c>
      <c r="AK467" s="817" t="s">
        <v>75</v>
      </c>
      <c r="AL467" s="817" t="s">
        <v>75</v>
      </c>
      <c r="AM467" s="817"/>
      <c r="AN467" s="817" t="s">
        <v>75</v>
      </c>
      <c r="AO467" s="817" t="s">
        <v>75</v>
      </c>
      <c r="AP467" s="817" t="s">
        <v>75</v>
      </c>
      <c r="AQ467" s="817" t="s">
        <v>75</v>
      </c>
      <c r="AR467" s="817" t="s">
        <v>75</v>
      </c>
      <c r="AS467" s="817" t="s">
        <v>75</v>
      </c>
      <c r="AT467" s="817" t="s">
        <v>75</v>
      </c>
      <c r="AU467" s="356" t="s">
        <v>782</v>
      </c>
      <c r="AV467" s="789"/>
      <c r="AW467" s="789"/>
      <c r="AX467" s="789"/>
      <c r="AY467" s="789"/>
      <c r="AZ467" s="789"/>
      <c r="BA467" s="789"/>
      <c r="BB467" s="789"/>
      <c r="BC467" s="789"/>
      <c r="BD467" s="789"/>
      <c r="BE467" s="789"/>
      <c r="BF467" s="789"/>
      <c r="BG467" s="789"/>
      <c r="BH467" s="789"/>
      <c r="BI467" s="789"/>
      <c r="BJ467" s="789"/>
      <c r="BK467" s="789"/>
      <c r="BL467" s="789"/>
      <c r="BM467" s="789"/>
    </row>
    <row r="468" spans="1:218" s="785" customFormat="1" ht="17.25" customHeight="1">
      <c r="A468" s="794">
        <v>466</v>
      </c>
      <c r="B468" s="785" t="s">
        <v>167</v>
      </c>
      <c r="C468" s="785" t="s">
        <v>1299</v>
      </c>
      <c r="D468" s="792">
        <v>39092</v>
      </c>
      <c r="E468" s="792">
        <v>39272</v>
      </c>
      <c r="F468" s="857">
        <v>2007</v>
      </c>
      <c r="G468" s="789" t="s">
        <v>615</v>
      </c>
      <c r="H468" s="790" t="s">
        <v>1452</v>
      </c>
      <c r="I468" s="785" t="s">
        <v>657</v>
      </c>
      <c r="J468" s="800" t="s">
        <v>2331</v>
      </c>
      <c r="K468" s="842">
        <v>400</v>
      </c>
      <c r="L468" s="842">
        <v>0</v>
      </c>
      <c r="M468" s="842">
        <v>129278</v>
      </c>
      <c r="N468" s="842">
        <v>129278</v>
      </c>
      <c r="O468" s="808">
        <f t="shared" si="30"/>
        <v>323.19499999999999</v>
      </c>
      <c r="P468" s="842" t="s">
        <v>66</v>
      </c>
      <c r="Q468" s="842" t="s">
        <v>75</v>
      </c>
      <c r="R468" s="842" t="s">
        <v>75</v>
      </c>
      <c r="S468" s="842" t="s">
        <v>75</v>
      </c>
      <c r="T468" s="842" t="s">
        <v>95</v>
      </c>
      <c r="U468" s="842" t="s">
        <v>75</v>
      </c>
      <c r="V468" s="842" t="s">
        <v>75</v>
      </c>
      <c r="W468" s="842" t="s">
        <v>75</v>
      </c>
      <c r="X468" s="842" t="s">
        <v>75</v>
      </c>
      <c r="Y468" s="842"/>
      <c r="Z468" s="842" t="s">
        <v>75</v>
      </c>
      <c r="AA468" s="842" t="s">
        <v>75</v>
      </c>
      <c r="AB468" s="842" t="s">
        <v>75</v>
      </c>
      <c r="AC468" s="842">
        <v>100</v>
      </c>
      <c r="AD468" s="842" t="s">
        <v>75</v>
      </c>
      <c r="AE468" s="842" t="s">
        <v>75</v>
      </c>
      <c r="AF468" s="842" t="s">
        <v>75</v>
      </c>
      <c r="AG468" s="842" t="s">
        <v>75</v>
      </c>
      <c r="AH468" s="842" t="s">
        <v>75</v>
      </c>
      <c r="AI468" s="842" t="s">
        <v>75</v>
      </c>
      <c r="AJ468" s="787">
        <f t="shared" si="31"/>
        <v>0</v>
      </c>
      <c r="AK468" s="842">
        <v>6183</v>
      </c>
      <c r="AL468" s="842">
        <v>6183</v>
      </c>
      <c r="AM468" s="842"/>
      <c r="AN468" s="842" t="s">
        <v>75</v>
      </c>
      <c r="AO468" s="842" t="s">
        <v>75</v>
      </c>
      <c r="AP468" s="842" t="s">
        <v>75</v>
      </c>
      <c r="AQ468" s="842" t="s">
        <v>75</v>
      </c>
      <c r="AR468" s="842" t="s">
        <v>75</v>
      </c>
      <c r="AS468" s="842" t="s">
        <v>75</v>
      </c>
      <c r="AT468" s="842" t="s">
        <v>2</v>
      </c>
      <c r="AU468" s="276" t="s">
        <v>656</v>
      </c>
    </row>
    <row r="469" spans="1:218" s="785" customFormat="1" ht="15.75" customHeight="1">
      <c r="A469" s="794">
        <v>467</v>
      </c>
      <c r="B469" s="790" t="s">
        <v>18</v>
      </c>
      <c r="C469" s="790" t="s">
        <v>1286</v>
      </c>
      <c r="D469" s="824">
        <v>39173</v>
      </c>
      <c r="E469" s="824">
        <v>39264</v>
      </c>
      <c r="F469" s="857">
        <v>2007</v>
      </c>
      <c r="G469" s="790" t="s">
        <v>5</v>
      </c>
      <c r="H469" s="790" t="s">
        <v>1451</v>
      </c>
      <c r="I469" s="880" t="s">
        <v>1783</v>
      </c>
      <c r="J469" s="800" t="s">
        <v>2331</v>
      </c>
      <c r="K469" s="787">
        <v>4850</v>
      </c>
      <c r="L469" s="787">
        <v>200003</v>
      </c>
      <c r="M469" s="787">
        <v>164600</v>
      </c>
      <c r="N469" s="787">
        <v>164600</v>
      </c>
      <c r="O469" s="808">
        <f t="shared" si="30"/>
        <v>33.938144329896907</v>
      </c>
      <c r="P469" s="787">
        <v>82</v>
      </c>
      <c r="Q469" s="787">
        <f>970*5</f>
        <v>4850</v>
      </c>
      <c r="R469" s="787"/>
      <c r="S469" s="808">
        <f>970*5</f>
        <v>4850</v>
      </c>
      <c r="T469" s="787"/>
      <c r="U469" s="787"/>
      <c r="V469" s="787"/>
      <c r="W469" s="787">
        <v>10567</v>
      </c>
      <c r="X469" s="787">
        <v>8535</v>
      </c>
      <c r="Y469" s="808">
        <f>X469/S469</f>
        <v>1.7597938144329897</v>
      </c>
      <c r="Z469" s="787"/>
      <c r="AA469" s="787"/>
      <c r="AB469" s="787"/>
      <c r="AC469" s="787"/>
      <c r="AD469" s="787"/>
      <c r="AE469" s="787">
        <v>1940</v>
      </c>
      <c r="AF469" s="787"/>
      <c r="AG469" s="787"/>
      <c r="AH469" s="808"/>
      <c r="AI469" s="787"/>
      <c r="AJ469" s="787">
        <f t="shared" si="31"/>
        <v>0</v>
      </c>
      <c r="AK469" s="787"/>
      <c r="AL469" s="787"/>
      <c r="AM469" s="787"/>
      <c r="AN469" s="787"/>
      <c r="AO469" s="787"/>
      <c r="AP469" s="787"/>
      <c r="AQ469" s="787"/>
      <c r="AR469" s="787"/>
      <c r="AS469" s="787"/>
      <c r="AT469" s="787"/>
      <c r="AU469" s="790" t="s">
        <v>1782</v>
      </c>
      <c r="AV469" s="790"/>
      <c r="AW469" s="790"/>
      <c r="AX469" s="790"/>
      <c r="AY469" s="790"/>
      <c r="AZ469" s="790"/>
      <c r="BA469" s="790"/>
      <c r="BB469" s="790"/>
      <c r="BC469" s="790"/>
      <c r="BD469" s="790"/>
      <c r="BE469" s="790"/>
      <c r="BF469" s="790"/>
      <c r="BG469" s="790"/>
      <c r="BH469" s="790"/>
      <c r="BI469" s="790"/>
      <c r="BJ469" s="790"/>
      <c r="BK469" s="790"/>
      <c r="BL469" s="790"/>
      <c r="BM469" s="800"/>
    </row>
    <row r="470" spans="1:218" s="785" customFormat="1" ht="15.75" customHeight="1">
      <c r="A470" s="794">
        <v>468</v>
      </c>
      <c r="B470" s="790" t="s">
        <v>373</v>
      </c>
      <c r="C470" s="790" t="s">
        <v>1261</v>
      </c>
      <c r="D470" s="824">
        <v>39083</v>
      </c>
      <c r="E470" s="824">
        <v>39508</v>
      </c>
      <c r="F470" s="857">
        <v>2007</v>
      </c>
      <c r="G470" s="790" t="s">
        <v>5</v>
      </c>
      <c r="H470" s="790" t="s">
        <v>1451</v>
      </c>
      <c r="I470" s="790" t="s">
        <v>1791</v>
      </c>
      <c r="J470" s="800" t="s">
        <v>2331</v>
      </c>
      <c r="K470" s="787" t="s">
        <v>134</v>
      </c>
      <c r="L470" s="787">
        <v>250000</v>
      </c>
      <c r="M470" s="787">
        <v>250000</v>
      </c>
      <c r="N470" s="787">
        <v>250000</v>
      </c>
      <c r="O470" s="808"/>
      <c r="P470" s="787">
        <v>100</v>
      </c>
      <c r="Q470" s="787">
        <v>5000</v>
      </c>
      <c r="R470" s="787"/>
      <c r="S470" s="808">
        <v>5000</v>
      </c>
      <c r="T470" s="787"/>
      <c r="U470" s="787"/>
      <c r="V470" s="787" t="s">
        <v>134</v>
      </c>
      <c r="W470" s="787">
        <v>1000</v>
      </c>
      <c r="X470" s="787">
        <v>1000</v>
      </c>
      <c r="Y470" s="808">
        <f>X470/S470</f>
        <v>0.2</v>
      </c>
      <c r="Z470" s="787"/>
      <c r="AA470" s="787"/>
      <c r="AB470" s="787"/>
      <c r="AC470" s="787"/>
      <c r="AD470" s="787"/>
      <c r="AE470" s="787"/>
      <c r="AF470" s="787"/>
      <c r="AG470" s="787"/>
      <c r="AH470" s="808"/>
      <c r="AI470" s="787"/>
      <c r="AJ470" s="787">
        <f t="shared" si="31"/>
        <v>0</v>
      </c>
      <c r="AK470" s="787"/>
      <c r="AL470" s="787"/>
      <c r="AM470" s="787"/>
      <c r="AN470" s="787"/>
      <c r="AO470" s="787"/>
      <c r="AP470" s="787"/>
      <c r="AQ470" s="787"/>
      <c r="AR470" s="787"/>
      <c r="AS470" s="787"/>
      <c r="AT470" s="787"/>
      <c r="AU470" s="790" t="s">
        <v>1790</v>
      </c>
      <c r="AV470" s="790"/>
      <c r="AW470" s="790"/>
      <c r="AX470" s="790"/>
      <c r="AY470" s="790"/>
      <c r="AZ470" s="790"/>
      <c r="BA470" s="790"/>
      <c r="BB470" s="790"/>
      <c r="BC470" s="790"/>
      <c r="BD470" s="790"/>
      <c r="BE470" s="790"/>
      <c r="BF470" s="790"/>
      <c r="BG470" s="790"/>
      <c r="BH470" s="790"/>
      <c r="BI470" s="790"/>
      <c r="BJ470" s="790"/>
      <c r="BK470" s="790"/>
      <c r="BL470" s="790"/>
      <c r="BM470" s="800"/>
    </row>
    <row r="471" spans="1:218" s="789" customFormat="1" ht="18.75" customHeight="1">
      <c r="A471" s="794">
        <v>469</v>
      </c>
      <c r="B471" s="790" t="s">
        <v>1775</v>
      </c>
      <c r="C471" s="790" t="s">
        <v>1261</v>
      </c>
      <c r="D471" s="824">
        <v>39114</v>
      </c>
      <c r="E471" s="824">
        <v>39417</v>
      </c>
      <c r="F471" s="857">
        <v>2007</v>
      </c>
      <c r="G471" s="790" t="s">
        <v>1789</v>
      </c>
      <c r="H471" s="790" t="s">
        <v>1451</v>
      </c>
      <c r="I471" s="790" t="s">
        <v>1788</v>
      </c>
      <c r="J471" s="790" t="s">
        <v>2440</v>
      </c>
      <c r="K471" s="787">
        <v>35000</v>
      </c>
      <c r="L471" s="787">
        <v>529408</v>
      </c>
      <c r="M471" s="787">
        <v>370158</v>
      </c>
      <c r="N471" s="787">
        <v>370158</v>
      </c>
      <c r="O471" s="808">
        <f>N471/K471</f>
        <v>10.575942857142858</v>
      </c>
      <c r="P471" s="787">
        <v>70</v>
      </c>
      <c r="Q471" s="787">
        <v>13895</v>
      </c>
      <c r="R471" s="787"/>
      <c r="S471" s="808">
        <v>13895</v>
      </c>
      <c r="T471" s="787"/>
      <c r="U471" s="787"/>
      <c r="V471" s="787"/>
      <c r="W471" s="787"/>
      <c r="X471" s="787"/>
      <c r="Y471" s="808">
        <f>X471/S471</f>
        <v>0</v>
      </c>
      <c r="Z471" s="787"/>
      <c r="AA471" s="787"/>
      <c r="AB471" s="787"/>
      <c r="AC471" s="787"/>
      <c r="AD471" s="787"/>
      <c r="AE471" s="787"/>
      <c r="AF471" s="787"/>
      <c r="AG471" s="787"/>
      <c r="AH471" s="808"/>
      <c r="AI471" s="787"/>
      <c r="AJ471" s="787">
        <f t="shared" si="31"/>
        <v>0</v>
      </c>
      <c r="AK471" s="787"/>
      <c r="AL471" s="787"/>
      <c r="AM471" s="787"/>
      <c r="AN471" s="787"/>
      <c r="AO471" s="787"/>
      <c r="AP471" s="787"/>
      <c r="AQ471" s="787"/>
      <c r="AR471" s="787"/>
      <c r="AS471" s="787"/>
      <c r="AT471" s="787"/>
      <c r="AU471" s="790" t="s">
        <v>1787</v>
      </c>
      <c r="AV471" s="790"/>
      <c r="AW471" s="790"/>
      <c r="AX471" s="790"/>
      <c r="AY471" s="790"/>
      <c r="AZ471" s="790"/>
      <c r="BA471" s="790"/>
      <c r="BB471" s="790"/>
      <c r="BC471" s="790"/>
      <c r="BD471" s="790"/>
      <c r="BE471" s="790"/>
      <c r="BF471" s="790"/>
      <c r="BG471" s="790"/>
      <c r="BH471" s="790"/>
      <c r="BI471" s="790"/>
      <c r="BJ471" s="790"/>
      <c r="BK471" s="790"/>
      <c r="BL471" s="790"/>
      <c r="BM471" s="800"/>
    </row>
    <row r="472" spans="1:218" s="802" customFormat="1" ht="18.75" customHeight="1">
      <c r="A472" s="794">
        <v>470</v>
      </c>
      <c r="B472" s="790" t="s">
        <v>129</v>
      </c>
      <c r="C472" s="790" t="s">
        <v>1278</v>
      </c>
      <c r="D472" s="824">
        <v>39114</v>
      </c>
      <c r="E472" s="824">
        <v>39508</v>
      </c>
      <c r="F472" s="857">
        <v>2007</v>
      </c>
      <c r="G472" s="790" t="s">
        <v>1794</v>
      </c>
      <c r="H472" s="790" t="s">
        <v>1452</v>
      </c>
      <c r="I472" s="889" t="s">
        <v>1793</v>
      </c>
      <c r="J472" s="812" t="s">
        <v>2438</v>
      </c>
      <c r="K472" s="787">
        <v>300000</v>
      </c>
      <c r="L472" s="787">
        <v>10346869</v>
      </c>
      <c r="M472" s="787">
        <v>5066942</v>
      </c>
      <c r="N472" s="787">
        <v>5022577</v>
      </c>
      <c r="O472" s="808">
        <f>N472/K472</f>
        <v>16.741923333333332</v>
      </c>
      <c r="P472" s="787">
        <v>49</v>
      </c>
      <c r="Q472" s="787"/>
      <c r="R472" s="787"/>
      <c r="S472" s="808"/>
      <c r="T472" s="787"/>
      <c r="U472" s="787"/>
      <c r="V472" s="787"/>
      <c r="W472" s="787" t="s">
        <v>66</v>
      </c>
      <c r="X472" s="787" t="s">
        <v>66</v>
      </c>
      <c r="Y472" s="808"/>
      <c r="Z472" s="787"/>
      <c r="AA472" s="787">
        <v>46000</v>
      </c>
      <c r="AB472" s="787"/>
      <c r="AC472" s="787">
        <v>1400</v>
      </c>
      <c r="AD472" s="787"/>
      <c r="AE472" s="787"/>
      <c r="AF472" s="787"/>
      <c r="AG472" s="787"/>
      <c r="AH472" s="808"/>
      <c r="AI472" s="787"/>
      <c r="AJ472" s="787">
        <f t="shared" si="31"/>
        <v>46000</v>
      </c>
      <c r="AK472" s="787">
        <v>323588</v>
      </c>
      <c r="AL472" s="787">
        <v>365440</v>
      </c>
      <c r="AM472" s="787"/>
      <c r="AN472" s="787"/>
      <c r="AO472" s="787"/>
      <c r="AP472" s="787"/>
      <c r="AQ472" s="787"/>
      <c r="AR472" s="787"/>
      <c r="AS472" s="787"/>
      <c r="AT472" s="787"/>
      <c r="AU472" s="376" t="s">
        <v>1792</v>
      </c>
      <c r="AV472" s="790"/>
      <c r="AW472" s="790"/>
      <c r="AX472" s="790"/>
      <c r="AY472" s="790"/>
      <c r="AZ472" s="790"/>
      <c r="BA472" s="790"/>
      <c r="BB472" s="790"/>
      <c r="BC472" s="790"/>
      <c r="BD472" s="790"/>
      <c r="BE472" s="790"/>
      <c r="BF472" s="790"/>
      <c r="BG472" s="790"/>
      <c r="BH472" s="790"/>
      <c r="BI472" s="790"/>
      <c r="BJ472" s="790"/>
      <c r="BK472" s="790"/>
      <c r="BL472" s="790"/>
      <c r="BM472" s="800"/>
      <c r="BN472" s="789"/>
      <c r="BO472" s="789"/>
      <c r="BP472" s="789"/>
      <c r="BQ472" s="789"/>
      <c r="BR472" s="789"/>
      <c r="BS472" s="789"/>
      <c r="BT472" s="789"/>
      <c r="BU472" s="789"/>
      <c r="BV472" s="789"/>
      <c r="BW472" s="789"/>
      <c r="BX472" s="789"/>
      <c r="BY472" s="789"/>
      <c r="BZ472" s="789"/>
      <c r="CA472" s="789"/>
      <c r="CB472" s="789"/>
      <c r="CC472" s="789"/>
      <c r="CD472" s="789"/>
      <c r="CE472" s="789"/>
      <c r="CF472" s="789"/>
      <c r="CG472" s="789"/>
      <c r="CH472" s="789"/>
      <c r="CI472" s="789"/>
      <c r="CJ472" s="789"/>
      <c r="CK472" s="789"/>
      <c r="CL472" s="789"/>
      <c r="CM472" s="789"/>
      <c r="CN472" s="789"/>
      <c r="CO472" s="789"/>
      <c r="CP472" s="789"/>
      <c r="CQ472" s="789"/>
      <c r="CR472" s="789"/>
      <c r="CS472" s="789"/>
      <c r="CT472" s="789"/>
      <c r="CU472" s="789"/>
      <c r="CV472" s="789"/>
      <c r="CW472" s="789"/>
      <c r="CX472" s="789"/>
      <c r="CY472" s="789"/>
      <c r="CZ472" s="789"/>
      <c r="DA472" s="789"/>
      <c r="DB472" s="789"/>
      <c r="DC472" s="789"/>
      <c r="DD472" s="789"/>
      <c r="DE472" s="789"/>
      <c r="DF472" s="789"/>
      <c r="DG472" s="789"/>
      <c r="DH472" s="789"/>
      <c r="DI472" s="789"/>
      <c r="DJ472" s="789"/>
      <c r="DK472" s="789"/>
      <c r="DL472" s="789"/>
      <c r="DM472" s="789"/>
      <c r="DN472" s="789"/>
      <c r="DO472" s="789"/>
      <c r="DP472" s="789"/>
      <c r="DQ472" s="789"/>
      <c r="DR472" s="789"/>
      <c r="DS472" s="789"/>
      <c r="DT472" s="789"/>
      <c r="DU472" s="789"/>
      <c r="DV472" s="789"/>
      <c r="DW472" s="789"/>
      <c r="DX472" s="789"/>
      <c r="DY472" s="789"/>
      <c r="DZ472" s="789"/>
      <c r="EA472" s="789"/>
      <c r="EB472" s="789"/>
      <c r="EC472" s="789"/>
      <c r="ED472" s="789"/>
      <c r="EE472" s="789"/>
      <c r="EF472" s="789"/>
      <c r="EG472" s="789"/>
      <c r="EH472" s="789"/>
      <c r="EI472" s="789"/>
      <c r="EJ472" s="789"/>
      <c r="EK472" s="789"/>
      <c r="EL472" s="789"/>
      <c r="EM472" s="789"/>
      <c r="EN472" s="789"/>
      <c r="EO472" s="789"/>
      <c r="EP472" s="789"/>
      <c r="EQ472" s="789"/>
      <c r="ER472" s="789"/>
      <c r="ES472" s="789"/>
      <c r="ET472" s="789"/>
      <c r="EU472" s="789"/>
      <c r="EV472" s="789"/>
      <c r="EW472" s="789"/>
      <c r="EX472" s="789"/>
      <c r="EY472" s="789"/>
      <c r="EZ472" s="789"/>
      <c r="FA472" s="789"/>
      <c r="FB472" s="789"/>
      <c r="FC472" s="789"/>
      <c r="FD472" s="789"/>
      <c r="FE472" s="789"/>
      <c r="FF472" s="789"/>
      <c r="FG472" s="789"/>
      <c r="FH472" s="789"/>
      <c r="FI472" s="789"/>
      <c r="FJ472" s="789"/>
      <c r="FK472" s="789"/>
      <c r="FL472" s="789"/>
      <c r="FM472" s="789"/>
      <c r="FN472" s="789"/>
      <c r="FO472" s="789"/>
      <c r="FP472" s="789"/>
      <c r="FQ472" s="789"/>
      <c r="FR472" s="789"/>
      <c r="FS472" s="789"/>
      <c r="FT472" s="789"/>
      <c r="FU472" s="789"/>
      <c r="FV472" s="789"/>
      <c r="FW472" s="789"/>
      <c r="FX472" s="789"/>
      <c r="FY472" s="789"/>
      <c r="FZ472" s="789"/>
      <c r="GA472" s="789"/>
      <c r="GB472" s="789"/>
      <c r="GC472" s="789"/>
      <c r="GD472" s="789"/>
      <c r="GE472" s="789"/>
      <c r="GF472" s="789"/>
      <c r="GG472" s="789"/>
      <c r="GH472" s="789"/>
      <c r="GI472" s="789"/>
      <c r="GJ472" s="789"/>
      <c r="GK472" s="789"/>
      <c r="GL472" s="789"/>
      <c r="GM472" s="789"/>
      <c r="GN472" s="789"/>
      <c r="GO472" s="789"/>
      <c r="GP472" s="789"/>
      <c r="GQ472" s="789"/>
      <c r="GR472" s="789"/>
      <c r="GS472" s="789"/>
      <c r="GT472" s="789"/>
      <c r="GU472" s="789"/>
      <c r="GV472" s="789"/>
      <c r="GW472" s="789"/>
      <c r="GX472" s="789"/>
      <c r="GY472" s="789"/>
      <c r="GZ472" s="789"/>
      <c r="HA472" s="789"/>
      <c r="HB472" s="789"/>
      <c r="HC472" s="789"/>
      <c r="HD472" s="789"/>
      <c r="HE472" s="789"/>
      <c r="HF472" s="789"/>
      <c r="HG472" s="789"/>
      <c r="HH472" s="789"/>
      <c r="HI472" s="789"/>
      <c r="HJ472" s="789"/>
    </row>
    <row r="473" spans="1:218" s="802" customFormat="1" ht="18.75" customHeight="1">
      <c r="A473" s="794">
        <v>471</v>
      </c>
      <c r="B473" s="790" t="s">
        <v>12</v>
      </c>
      <c r="C473" s="790" t="s">
        <v>1299</v>
      </c>
      <c r="D473" s="824">
        <v>39264</v>
      </c>
      <c r="E473" s="824">
        <v>39356</v>
      </c>
      <c r="F473" s="857">
        <v>2007</v>
      </c>
      <c r="G473" s="790" t="s">
        <v>1796</v>
      </c>
      <c r="H473" s="790" t="s">
        <v>1452</v>
      </c>
      <c r="I473" s="790" t="s">
        <v>1797</v>
      </c>
      <c r="J473" s="800" t="s">
        <v>2331</v>
      </c>
      <c r="K473" s="787">
        <v>40000</v>
      </c>
      <c r="L473" s="787">
        <v>113430</v>
      </c>
      <c r="M473" s="787" t="s">
        <v>66</v>
      </c>
      <c r="N473" s="787" t="s">
        <v>66</v>
      </c>
      <c r="O473" s="808"/>
      <c r="P473" s="787" t="s">
        <v>66</v>
      </c>
      <c r="Q473" s="787">
        <v>5000</v>
      </c>
      <c r="R473" s="787"/>
      <c r="S473" s="808">
        <v>5000</v>
      </c>
      <c r="T473" s="787"/>
      <c r="U473" s="787"/>
      <c r="V473" s="787">
        <v>5000</v>
      </c>
      <c r="W473" s="787"/>
      <c r="X473" s="787"/>
      <c r="Y473" s="808">
        <f>X473/S473</f>
        <v>0</v>
      </c>
      <c r="Z473" s="787"/>
      <c r="AA473" s="787">
        <v>18658</v>
      </c>
      <c r="AB473" s="787"/>
      <c r="AC473" s="787"/>
      <c r="AD473" s="787"/>
      <c r="AE473" s="787"/>
      <c r="AF473" s="787"/>
      <c r="AG473" s="787"/>
      <c r="AH473" s="808"/>
      <c r="AI473" s="787"/>
      <c r="AJ473" s="787">
        <f t="shared" si="31"/>
        <v>18658</v>
      </c>
      <c r="AK473" s="787"/>
      <c r="AL473" s="787"/>
      <c r="AM473" s="787"/>
      <c r="AN473" s="787"/>
      <c r="AO473" s="787"/>
      <c r="AP473" s="787"/>
      <c r="AQ473" s="787"/>
      <c r="AR473" s="787"/>
      <c r="AS473" s="787"/>
      <c r="AT473" s="787"/>
      <c r="AU473" s="790" t="s">
        <v>1795</v>
      </c>
      <c r="AV473" s="790"/>
      <c r="AW473" s="790"/>
      <c r="AX473" s="790"/>
      <c r="AY473" s="790"/>
      <c r="AZ473" s="790"/>
      <c r="BA473" s="790"/>
      <c r="BB473" s="790"/>
      <c r="BC473" s="790"/>
      <c r="BD473" s="790"/>
      <c r="BE473" s="790"/>
      <c r="BF473" s="790"/>
      <c r="BG473" s="790"/>
      <c r="BH473" s="790"/>
      <c r="BI473" s="790"/>
      <c r="BJ473" s="790"/>
      <c r="BK473" s="790"/>
      <c r="BL473" s="790"/>
      <c r="BM473" s="800"/>
      <c r="BN473" s="789"/>
      <c r="BO473" s="789"/>
      <c r="BP473" s="789"/>
      <c r="BQ473" s="789"/>
      <c r="BR473" s="789"/>
      <c r="BS473" s="789"/>
      <c r="BT473" s="789"/>
      <c r="BU473" s="789"/>
      <c r="BV473" s="789"/>
      <c r="BW473" s="789"/>
      <c r="BX473" s="789"/>
      <c r="BY473" s="789"/>
      <c r="BZ473" s="789"/>
      <c r="CA473" s="789"/>
      <c r="CB473" s="789"/>
      <c r="CC473" s="789"/>
      <c r="CD473" s="789"/>
      <c r="CE473" s="789"/>
      <c r="CF473" s="789"/>
      <c r="CG473" s="789"/>
      <c r="CH473" s="789"/>
      <c r="CI473" s="789"/>
      <c r="CJ473" s="789"/>
      <c r="CK473" s="789"/>
      <c r="CL473" s="789"/>
      <c r="CM473" s="789"/>
      <c r="CN473" s="789"/>
      <c r="CO473" s="789"/>
      <c r="CP473" s="789"/>
      <c r="CQ473" s="789"/>
      <c r="CR473" s="789"/>
      <c r="CS473" s="789"/>
      <c r="CT473" s="789"/>
      <c r="CU473" s="789"/>
      <c r="CV473" s="789"/>
      <c r="CW473" s="789"/>
      <c r="CX473" s="789"/>
      <c r="CY473" s="789"/>
      <c r="CZ473" s="789"/>
      <c r="DA473" s="789"/>
      <c r="DB473" s="789"/>
      <c r="DC473" s="789"/>
      <c r="DD473" s="789"/>
      <c r="DE473" s="789"/>
      <c r="DF473" s="789"/>
      <c r="DG473" s="789"/>
      <c r="DH473" s="789"/>
      <c r="DI473" s="789"/>
      <c r="DJ473" s="789"/>
      <c r="DK473" s="789"/>
      <c r="DL473" s="789"/>
      <c r="DM473" s="789"/>
      <c r="DN473" s="789"/>
      <c r="DO473" s="789"/>
      <c r="DP473" s="789"/>
      <c r="DQ473" s="789"/>
      <c r="DR473" s="789"/>
      <c r="DS473" s="789"/>
      <c r="DT473" s="789"/>
      <c r="DU473" s="789"/>
      <c r="DV473" s="789"/>
      <c r="DW473" s="789"/>
      <c r="DX473" s="789"/>
      <c r="DY473" s="789"/>
      <c r="DZ473" s="789"/>
      <c r="EA473" s="789"/>
      <c r="EB473" s="789"/>
      <c r="EC473" s="789"/>
      <c r="ED473" s="789"/>
      <c r="EE473" s="789"/>
      <c r="EF473" s="789"/>
      <c r="EG473" s="789"/>
      <c r="EH473" s="789"/>
      <c r="EI473" s="789"/>
      <c r="EJ473" s="789"/>
      <c r="EK473" s="789"/>
      <c r="EL473" s="789"/>
      <c r="EM473" s="789"/>
      <c r="EN473" s="789"/>
      <c r="EO473" s="789"/>
      <c r="EP473" s="789"/>
      <c r="EQ473" s="789"/>
      <c r="ER473" s="789"/>
      <c r="ES473" s="789"/>
      <c r="ET473" s="789"/>
      <c r="EU473" s="789"/>
      <c r="EV473" s="789"/>
      <c r="EW473" s="789"/>
      <c r="EX473" s="789"/>
      <c r="EY473" s="789"/>
      <c r="EZ473" s="789"/>
      <c r="FA473" s="789"/>
      <c r="FB473" s="789"/>
      <c r="FC473" s="789"/>
      <c r="FD473" s="789"/>
      <c r="FE473" s="789"/>
      <c r="FF473" s="789"/>
      <c r="FG473" s="789"/>
      <c r="FH473" s="789"/>
      <c r="FI473" s="789"/>
      <c r="FJ473" s="789"/>
      <c r="FK473" s="789"/>
      <c r="FL473" s="789"/>
      <c r="FM473" s="789"/>
      <c r="FN473" s="789"/>
      <c r="FO473" s="789"/>
      <c r="FP473" s="789"/>
      <c r="FQ473" s="789"/>
      <c r="FR473" s="789"/>
      <c r="FS473" s="789"/>
      <c r="FT473" s="789"/>
      <c r="FU473" s="789"/>
      <c r="FV473" s="789"/>
      <c r="FW473" s="789"/>
      <c r="FX473" s="789"/>
      <c r="FY473" s="789"/>
      <c r="FZ473" s="789"/>
      <c r="GA473" s="789"/>
      <c r="GB473" s="789"/>
      <c r="GC473" s="789"/>
      <c r="GD473" s="789"/>
      <c r="GE473" s="789"/>
      <c r="GF473" s="789"/>
      <c r="GG473" s="789"/>
      <c r="GH473" s="789"/>
      <c r="GI473" s="789"/>
      <c r="GJ473" s="789"/>
      <c r="GK473" s="789"/>
      <c r="GL473" s="789"/>
      <c r="GM473" s="789"/>
      <c r="GN473" s="789"/>
      <c r="GO473" s="789"/>
      <c r="GP473" s="789"/>
      <c r="GQ473" s="789"/>
      <c r="GR473" s="789"/>
      <c r="GS473" s="789"/>
      <c r="GT473" s="789"/>
      <c r="GU473" s="789"/>
      <c r="GV473" s="789"/>
      <c r="GW473" s="789"/>
      <c r="GX473" s="789"/>
      <c r="GY473" s="789"/>
      <c r="GZ473" s="789"/>
      <c r="HA473" s="789"/>
      <c r="HB473" s="789"/>
      <c r="HC473" s="789"/>
      <c r="HD473" s="789"/>
      <c r="HE473" s="789"/>
      <c r="HF473" s="789"/>
      <c r="HG473" s="789"/>
      <c r="HH473" s="789"/>
      <c r="HI473" s="789"/>
      <c r="HJ473" s="789"/>
    </row>
    <row r="474" spans="1:218" s="846" customFormat="1" ht="18.75" customHeight="1">
      <c r="A474" s="794">
        <v>472</v>
      </c>
      <c r="B474" s="800" t="s">
        <v>932</v>
      </c>
      <c r="C474" s="800" t="s">
        <v>1260</v>
      </c>
      <c r="D474" s="819">
        <v>39417</v>
      </c>
      <c r="E474" s="819">
        <v>39539</v>
      </c>
      <c r="F474" s="857">
        <v>2007</v>
      </c>
      <c r="G474" s="800" t="s">
        <v>1800</v>
      </c>
      <c r="H474" s="800" t="s">
        <v>1452</v>
      </c>
      <c r="I474" s="800" t="s">
        <v>1799</v>
      </c>
      <c r="J474" s="800" t="s">
        <v>2331</v>
      </c>
      <c r="K474" s="808">
        <v>2852</v>
      </c>
      <c r="L474" s="808">
        <v>58286</v>
      </c>
      <c r="M474" s="808">
        <v>58286</v>
      </c>
      <c r="N474" s="808">
        <v>58286</v>
      </c>
      <c r="O474" s="808">
        <f t="shared" ref="O474:O519" si="32">N474/K474</f>
        <v>20.436886395511923</v>
      </c>
      <c r="P474" s="808">
        <v>100</v>
      </c>
      <c r="Q474" s="808"/>
      <c r="R474" s="808"/>
      <c r="S474" s="808"/>
      <c r="T474" s="808"/>
      <c r="U474" s="808"/>
      <c r="V474" s="808"/>
      <c r="W474" s="808"/>
      <c r="X474" s="808"/>
      <c r="Y474" s="808"/>
      <c r="Z474" s="808"/>
      <c r="AA474" s="808"/>
      <c r="AB474" s="808"/>
      <c r="AC474" s="808"/>
      <c r="AD474" s="808"/>
      <c r="AE474" s="808"/>
      <c r="AF474" s="808"/>
      <c r="AG474" s="808"/>
      <c r="AH474" s="808"/>
      <c r="AI474" s="808"/>
      <c r="AJ474" s="808">
        <f t="shared" si="31"/>
        <v>0</v>
      </c>
      <c r="AK474" s="808"/>
      <c r="AL474" s="808"/>
      <c r="AM474" s="808"/>
      <c r="AN474" s="808"/>
      <c r="AO474" s="808"/>
      <c r="AP474" s="808"/>
      <c r="AQ474" s="808"/>
      <c r="AR474" s="808"/>
      <c r="AS474" s="808"/>
      <c r="AT474" s="808"/>
      <c r="AU474" s="800" t="s">
        <v>1798</v>
      </c>
      <c r="AV474" s="800"/>
      <c r="AW474" s="800"/>
      <c r="AX474" s="800"/>
      <c r="AY474" s="800"/>
      <c r="AZ474" s="800"/>
      <c r="BA474" s="800"/>
      <c r="BB474" s="800"/>
      <c r="BC474" s="800"/>
      <c r="BD474" s="800"/>
      <c r="BE474" s="800"/>
      <c r="BF474" s="800"/>
      <c r="BG474" s="800"/>
      <c r="BH474" s="800"/>
      <c r="BI474" s="800"/>
      <c r="BJ474" s="800"/>
      <c r="BK474" s="800"/>
      <c r="BL474" s="800"/>
      <c r="BM474" s="800"/>
    </row>
    <row r="475" spans="1:218" s="790" customFormat="1" ht="21" customHeight="1">
      <c r="A475" s="794">
        <v>473</v>
      </c>
      <c r="B475" s="789" t="s">
        <v>485</v>
      </c>
      <c r="C475" s="789" t="s">
        <v>1299</v>
      </c>
      <c r="D475" s="840">
        <v>39142</v>
      </c>
      <c r="E475" s="840">
        <v>39417</v>
      </c>
      <c r="F475" s="857">
        <v>2007</v>
      </c>
      <c r="G475" s="789" t="s">
        <v>1467</v>
      </c>
      <c r="H475" s="800" t="s">
        <v>1450</v>
      </c>
      <c r="I475" s="789" t="s">
        <v>818</v>
      </c>
      <c r="J475" s="812" t="s">
        <v>2438</v>
      </c>
      <c r="K475" s="817">
        <v>60000</v>
      </c>
      <c r="L475" s="817">
        <v>2005707</v>
      </c>
      <c r="M475" s="817">
        <v>1512888</v>
      </c>
      <c r="N475" s="817">
        <v>1512888</v>
      </c>
      <c r="O475" s="808">
        <f t="shared" si="32"/>
        <v>25.2148</v>
      </c>
      <c r="P475" s="817">
        <v>75</v>
      </c>
      <c r="Q475" s="817">
        <v>50000</v>
      </c>
      <c r="R475" s="817">
        <v>10000</v>
      </c>
      <c r="S475" s="817">
        <v>50000</v>
      </c>
      <c r="T475" s="817" t="s">
        <v>2</v>
      </c>
      <c r="U475" s="817">
        <v>40</v>
      </c>
      <c r="V475" s="817">
        <v>50000</v>
      </c>
      <c r="W475" s="817">
        <v>9500</v>
      </c>
      <c r="X475" s="817">
        <v>4829</v>
      </c>
      <c r="Y475" s="808">
        <f>X475/S475</f>
        <v>9.6579999999999999E-2</v>
      </c>
      <c r="Z475" s="817" t="s">
        <v>75</v>
      </c>
      <c r="AA475" s="817">
        <v>50000</v>
      </c>
      <c r="AB475" s="817" t="s">
        <v>75</v>
      </c>
      <c r="AC475" s="817" t="s">
        <v>75</v>
      </c>
      <c r="AD475" s="817" t="s">
        <v>75</v>
      </c>
      <c r="AE475" s="817">
        <v>10000</v>
      </c>
      <c r="AF475" s="817" t="s">
        <v>75</v>
      </c>
      <c r="AG475" s="817" t="s">
        <v>75</v>
      </c>
      <c r="AH475" s="817" t="s">
        <v>75</v>
      </c>
      <c r="AI475" s="817" t="s">
        <v>75</v>
      </c>
      <c r="AJ475" s="787">
        <f t="shared" si="31"/>
        <v>50000</v>
      </c>
      <c r="AK475" s="817" t="s">
        <v>75</v>
      </c>
      <c r="AL475" s="817" t="s">
        <v>75</v>
      </c>
      <c r="AM475" s="817"/>
      <c r="AN475" s="817" t="s">
        <v>75</v>
      </c>
      <c r="AO475" s="817" t="s">
        <v>75</v>
      </c>
      <c r="AP475" s="817" t="s">
        <v>75</v>
      </c>
      <c r="AQ475" s="817" t="s">
        <v>75</v>
      </c>
      <c r="AR475" s="817" t="s">
        <v>75</v>
      </c>
      <c r="AS475" s="817" t="s">
        <v>75</v>
      </c>
      <c r="AT475" s="817" t="s">
        <v>75</v>
      </c>
      <c r="AU475" s="359" t="s">
        <v>817</v>
      </c>
      <c r="AV475" s="789"/>
      <c r="AW475" s="789"/>
      <c r="AX475" s="789"/>
      <c r="AY475" s="789"/>
      <c r="AZ475" s="789"/>
      <c r="BA475" s="789"/>
      <c r="BB475" s="789"/>
      <c r="BC475" s="789"/>
      <c r="BD475" s="789"/>
      <c r="BE475" s="789"/>
      <c r="BF475" s="789"/>
      <c r="BG475" s="789"/>
      <c r="BH475" s="789"/>
      <c r="BI475" s="789"/>
      <c r="BJ475" s="789"/>
      <c r="BK475" s="789"/>
      <c r="BL475" s="789"/>
      <c r="BM475" s="789"/>
      <c r="BN475" s="800"/>
      <c r="BO475" s="800"/>
      <c r="BP475" s="800"/>
      <c r="BQ475" s="800"/>
      <c r="BR475" s="800"/>
      <c r="BS475" s="800"/>
      <c r="BT475" s="800"/>
      <c r="BU475" s="800"/>
      <c r="BV475" s="800"/>
      <c r="BW475" s="800"/>
      <c r="BX475" s="800"/>
      <c r="BY475" s="800"/>
      <c r="BZ475" s="800"/>
      <c r="CA475" s="800"/>
      <c r="CB475" s="800"/>
      <c r="CC475" s="800"/>
      <c r="CD475" s="800"/>
      <c r="CE475" s="800"/>
      <c r="CF475" s="800"/>
      <c r="CG475" s="800"/>
      <c r="CH475" s="800"/>
      <c r="CI475" s="800"/>
      <c r="CJ475" s="800"/>
      <c r="CK475" s="800"/>
      <c r="CL475" s="800"/>
      <c r="CM475" s="800"/>
      <c r="CN475" s="800"/>
      <c r="CO475" s="800"/>
      <c r="CP475" s="800"/>
      <c r="CQ475" s="800"/>
      <c r="CR475" s="800"/>
      <c r="CS475" s="800"/>
      <c r="CT475" s="800"/>
      <c r="CU475" s="800"/>
      <c r="CV475" s="800"/>
      <c r="CW475" s="800"/>
      <c r="CX475" s="800"/>
      <c r="CY475" s="800"/>
      <c r="CZ475" s="800"/>
      <c r="DA475" s="800"/>
      <c r="DB475" s="800"/>
      <c r="DC475" s="800"/>
      <c r="DD475" s="800"/>
      <c r="DE475" s="800"/>
      <c r="DF475" s="800"/>
      <c r="DG475" s="800"/>
      <c r="DH475" s="800"/>
      <c r="DI475" s="800"/>
      <c r="DJ475" s="800"/>
      <c r="DK475" s="800"/>
      <c r="DL475" s="800"/>
      <c r="DM475" s="800"/>
      <c r="DN475" s="800"/>
      <c r="DO475" s="800"/>
      <c r="DP475" s="800"/>
      <c r="DQ475" s="800"/>
      <c r="DR475" s="800"/>
      <c r="DS475" s="800"/>
      <c r="DT475" s="800"/>
      <c r="DU475" s="800"/>
      <c r="DV475" s="800"/>
      <c r="DW475" s="800"/>
      <c r="DX475" s="800"/>
      <c r="DY475" s="800"/>
      <c r="DZ475" s="800"/>
      <c r="EA475" s="800"/>
      <c r="EB475" s="800"/>
      <c r="EC475" s="800"/>
      <c r="ED475" s="800"/>
      <c r="EE475" s="800"/>
      <c r="EF475" s="800"/>
      <c r="EG475" s="800"/>
      <c r="EH475" s="800"/>
      <c r="EI475" s="800"/>
      <c r="EJ475" s="800"/>
      <c r="EK475" s="800"/>
      <c r="EL475" s="800"/>
      <c r="EM475" s="800"/>
      <c r="EN475" s="800"/>
      <c r="EO475" s="800"/>
      <c r="EP475" s="800"/>
      <c r="EQ475" s="800"/>
      <c r="ER475" s="800"/>
      <c r="ES475" s="800"/>
      <c r="ET475" s="800"/>
      <c r="EU475" s="800"/>
      <c r="EV475" s="800"/>
      <c r="EW475" s="800"/>
      <c r="EX475" s="800"/>
      <c r="EY475" s="800"/>
      <c r="EZ475" s="800"/>
      <c r="FA475" s="800"/>
      <c r="FB475" s="800"/>
      <c r="FC475" s="800"/>
      <c r="FD475" s="800"/>
      <c r="FE475" s="800"/>
      <c r="FF475" s="800"/>
      <c r="FG475" s="800"/>
      <c r="FH475" s="800"/>
      <c r="FI475" s="800"/>
      <c r="FJ475" s="800"/>
      <c r="FK475" s="800"/>
      <c r="FL475" s="800"/>
      <c r="FM475" s="800"/>
      <c r="FN475" s="800"/>
      <c r="FO475" s="800"/>
      <c r="FP475" s="800"/>
      <c r="FQ475" s="800"/>
      <c r="FR475" s="800"/>
      <c r="FS475" s="800"/>
      <c r="FT475" s="800"/>
      <c r="FU475" s="800"/>
      <c r="FV475" s="800"/>
      <c r="FW475" s="800"/>
      <c r="FX475" s="800"/>
      <c r="FY475" s="800"/>
      <c r="FZ475" s="800"/>
      <c r="GA475" s="800"/>
      <c r="GB475" s="800"/>
      <c r="GC475" s="800"/>
      <c r="GD475" s="800"/>
      <c r="GE475" s="800"/>
      <c r="GF475" s="800"/>
      <c r="GG475" s="800"/>
      <c r="GH475" s="800"/>
      <c r="GI475" s="800"/>
      <c r="GJ475" s="800"/>
      <c r="GK475" s="800"/>
      <c r="GL475" s="800"/>
      <c r="GM475" s="800"/>
      <c r="GN475" s="800"/>
      <c r="GO475" s="800"/>
      <c r="GP475" s="800"/>
      <c r="GQ475" s="800"/>
      <c r="GR475" s="800"/>
      <c r="GS475" s="800"/>
      <c r="GT475" s="800"/>
      <c r="GU475" s="800"/>
      <c r="GV475" s="800"/>
      <c r="GW475" s="800"/>
      <c r="GX475" s="800"/>
      <c r="GY475" s="800"/>
      <c r="GZ475" s="800"/>
      <c r="HA475" s="800"/>
      <c r="HB475" s="800"/>
      <c r="HC475" s="800"/>
      <c r="HD475" s="800"/>
      <c r="HE475" s="800"/>
      <c r="HF475" s="800"/>
      <c r="HG475" s="800"/>
      <c r="HH475" s="800"/>
      <c r="HI475" s="800"/>
      <c r="HJ475" s="800"/>
    </row>
    <row r="476" spans="1:218" s="790" customFormat="1" ht="15">
      <c r="A476" s="794">
        <v>474</v>
      </c>
      <c r="B476" s="790" t="s">
        <v>485</v>
      </c>
      <c r="C476" s="790" t="s">
        <v>1299</v>
      </c>
      <c r="D476" s="824">
        <v>39083</v>
      </c>
      <c r="E476" s="824">
        <v>39417</v>
      </c>
      <c r="F476" s="857">
        <v>2007</v>
      </c>
      <c r="G476" s="790" t="s">
        <v>1786</v>
      </c>
      <c r="H476" s="790" t="s">
        <v>1451</v>
      </c>
      <c r="I476" s="790" t="s">
        <v>1820</v>
      </c>
      <c r="J476" s="800" t="s">
        <v>2331</v>
      </c>
      <c r="K476" s="787">
        <v>2500</v>
      </c>
      <c r="L476" s="787">
        <v>98000</v>
      </c>
      <c r="M476" s="787">
        <v>98000</v>
      </c>
      <c r="N476" s="787">
        <v>42070</v>
      </c>
      <c r="O476" s="808">
        <f t="shared" si="32"/>
        <v>16.827999999999999</v>
      </c>
      <c r="P476" s="787">
        <v>100</v>
      </c>
      <c r="Q476" s="787">
        <v>4000</v>
      </c>
      <c r="R476" s="787"/>
      <c r="S476" s="808">
        <v>4000</v>
      </c>
      <c r="T476" s="787"/>
      <c r="U476" s="787"/>
      <c r="V476" s="787">
        <f>262*5</f>
        <v>1310</v>
      </c>
      <c r="W476" s="787" t="s">
        <v>66</v>
      </c>
      <c r="X476" s="787">
        <v>1841</v>
      </c>
      <c r="Y476" s="808">
        <f>X476/S476</f>
        <v>0.46024999999999999</v>
      </c>
      <c r="Z476" s="787"/>
      <c r="AA476" s="787"/>
      <c r="AB476" s="787"/>
      <c r="AC476" s="787"/>
      <c r="AD476" s="787"/>
      <c r="AE476" s="787">
        <v>1200</v>
      </c>
      <c r="AF476" s="787"/>
      <c r="AG476" s="787"/>
      <c r="AH476" s="808"/>
      <c r="AI476" s="787"/>
      <c r="AJ476" s="787">
        <f t="shared" si="31"/>
        <v>0</v>
      </c>
      <c r="AK476" s="787"/>
      <c r="AL476" s="787"/>
      <c r="AM476" s="787"/>
      <c r="AN476" s="787"/>
      <c r="AO476" s="787"/>
      <c r="AP476" s="787"/>
      <c r="AQ476" s="787"/>
      <c r="AR476" s="787"/>
      <c r="AS476" s="787"/>
      <c r="AT476" s="787"/>
      <c r="AU476" s="352" t="s">
        <v>1819</v>
      </c>
      <c r="BM476" s="800"/>
      <c r="BN476" s="800"/>
      <c r="BO476" s="800"/>
      <c r="BP476" s="800"/>
      <c r="BQ476" s="800"/>
      <c r="BR476" s="800"/>
      <c r="BS476" s="800"/>
      <c r="BT476" s="800"/>
      <c r="BU476" s="800"/>
      <c r="BV476" s="800"/>
      <c r="BW476" s="800"/>
      <c r="BX476" s="800"/>
      <c r="BY476" s="800"/>
      <c r="BZ476" s="800"/>
      <c r="CA476" s="800"/>
      <c r="CB476" s="800"/>
      <c r="CC476" s="800"/>
      <c r="CD476" s="800"/>
      <c r="CE476" s="800"/>
      <c r="CF476" s="800"/>
      <c r="CG476" s="800"/>
      <c r="CH476" s="800"/>
      <c r="CI476" s="800"/>
      <c r="CJ476" s="800"/>
      <c r="CK476" s="800"/>
      <c r="CL476" s="800"/>
      <c r="CM476" s="800"/>
      <c r="CN476" s="800"/>
      <c r="CO476" s="800"/>
      <c r="CP476" s="800"/>
      <c r="CQ476" s="800"/>
      <c r="CR476" s="800"/>
      <c r="CS476" s="800"/>
      <c r="CT476" s="800"/>
      <c r="CU476" s="800"/>
      <c r="CV476" s="800"/>
      <c r="CW476" s="800"/>
      <c r="CX476" s="800"/>
      <c r="CY476" s="800"/>
      <c r="CZ476" s="800"/>
      <c r="DA476" s="800"/>
      <c r="DB476" s="800"/>
      <c r="DC476" s="800"/>
      <c r="DD476" s="800"/>
      <c r="DE476" s="800"/>
      <c r="DF476" s="800"/>
      <c r="DG476" s="800"/>
      <c r="DH476" s="800"/>
      <c r="DI476" s="800"/>
      <c r="DJ476" s="800"/>
      <c r="DK476" s="800"/>
      <c r="DL476" s="800"/>
      <c r="DM476" s="800"/>
      <c r="DN476" s="800"/>
      <c r="DO476" s="800"/>
      <c r="DP476" s="800"/>
      <c r="DQ476" s="800"/>
      <c r="DR476" s="800"/>
      <c r="DS476" s="800"/>
      <c r="DT476" s="800"/>
      <c r="DU476" s="800"/>
      <c r="DV476" s="800"/>
      <c r="DW476" s="800"/>
      <c r="DX476" s="800"/>
      <c r="DY476" s="800"/>
      <c r="DZ476" s="800"/>
      <c r="EA476" s="800"/>
      <c r="EB476" s="800"/>
      <c r="EC476" s="800"/>
      <c r="ED476" s="800"/>
      <c r="EE476" s="800"/>
      <c r="EF476" s="800"/>
      <c r="EG476" s="800"/>
      <c r="EH476" s="800"/>
      <c r="EI476" s="800"/>
      <c r="EJ476" s="800"/>
      <c r="EK476" s="800"/>
      <c r="EL476" s="800"/>
      <c r="EM476" s="800"/>
      <c r="EN476" s="800"/>
      <c r="EO476" s="800"/>
      <c r="EP476" s="800"/>
      <c r="EQ476" s="800"/>
      <c r="ER476" s="800"/>
      <c r="ES476" s="800"/>
      <c r="ET476" s="800"/>
      <c r="EU476" s="800"/>
      <c r="EV476" s="800"/>
      <c r="EW476" s="800"/>
      <c r="EX476" s="800"/>
      <c r="EY476" s="800"/>
      <c r="EZ476" s="800"/>
      <c r="FA476" s="800"/>
      <c r="FB476" s="800"/>
      <c r="FC476" s="800"/>
      <c r="FD476" s="800"/>
      <c r="FE476" s="800"/>
      <c r="FF476" s="800"/>
      <c r="FG476" s="800"/>
      <c r="FH476" s="800"/>
      <c r="FI476" s="800"/>
      <c r="FJ476" s="800"/>
      <c r="FK476" s="800"/>
      <c r="FL476" s="800"/>
      <c r="FM476" s="800"/>
      <c r="FN476" s="800"/>
      <c r="FO476" s="800"/>
      <c r="FP476" s="800"/>
      <c r="FQ476" s="800"/>
      <c r="FR476" s="800"/>
      <c r="FS476" s="800"/>
      <c r="FT476" s="800"/>
      <c r="FU476" s="800"/>
      <c r="FV476" s="800"/>
      <c r="FW476" s="800"/>
      <c r="FX476" s="800"/>
      <c r="FY476" s="800"/>
      <c r="FZ476" s="800"/>
      <c r="GA476" s="800"/>
      <c r="GB476" s="800"/>
      <c r="GC476" s="800"/>
      <c r="GD476" s="800"/>
      <c r="GE476" s="800"/>
      <c r="GF476" s="800"/>
      <c r="GG476" s="800"/>
      <c r="GH476" s="800"/>
      <c r="GI476" s="800"/>
      <c r="GJ476" s="800"/>
      <c r="GK476" s="800"/>
      <c r="GL476" s="800"/>
      <c r="GM476" s="800"/>
      <c r="GN476" s="800"/>
      <c r="GO476" s="800"/>
      <c r="GP476" s="800"/>
      <c r="GQ476" s="800"/>
      <c r="GR476" s="800"/>
      <c r="GS476" s="800"/>
      <c r="GT476" s="800"/>
      <c r="GU476" s="800"/>
      <c r="GV476" s="800"/>
      <c r="GW476" s="800"/>
      <c r="GX476" s="800"/>
      <c r="GY476" s="800"/>
      <c r="GZ476" s="800"/>
      <c r="HA476" s="800"/>
      <c r="HB476" s="800"/>
      <c r="HC476" s="800"/>
      <c r="HD476" s="800"/>
      <c r="HE476" s="800"/>
      <c r="HF476" s="800"/>
      <c r="HG476" s="800"/>
      <c r="HH476" s="800"/>
      <c r="HI476" s="800"/>
      <c r="HJ476" s="800"/>
    </row>
    <row r="477" spans="1:218" s="800" customFormat="1" ht="15">
      <c r="A477" s="794">
        <v>475</v>
      </c>
      <c r="B477" s="800" t="s">
        <v>140</v>
      </c>
      <c r="C477" s="800" t="s">
        <v>1299</v>
      </c>
      <c r="D477" s="819">
        <v>39083</v>
      </c>
      <c r="E477" s="819">
        <v>39539</v>
      </c>
      <c r="F477" s="857">
        <v>2007</v>
      </c>
      <c r="G477" s="800" t="s">
        <v>5</v>
      </c>
      <c r="H477" s="800" t="s">
        <v>1451</v>
      </c>
      <c r="I477" s="800" t="s">
        <v>1831</v>
      </c>
      <c r="J477" s="800" t="s">
        <v>2331</v>
      </c>
      <c r="K477" s="808">
        <f>2233*5</f>
        <v>11165</v>
      </c>
      <c r="L477" s="808">
        <v>88704</v>
      </c>
      <c r="M477" s="808">
        <v>78497</v>
      </c>
      <c r="N477" s="808">
        <v>78497</v>
      </c>
      <c r="O477" s="808">
        <f t="shared" si="32"/>
        <v>7.0306314375279895</v>
      </c>
      <c r="P477" s="808">
        <v>88</v>
      </c>
      <c r="Q477" s="808"/>
      <c r="R477" s="808"/>
      <c r="S477" s="808"/>
      <c r="T477" s="808"/>
      <c r="U477" s="808"/>
      <c r="V477" s="808"/>
      <c r="W477" s="808"/>
      <c r="X477" s="808"/>
      <c r="Y477" s="808"/>
      <c r="Z477" s="808"/>
      <c r="AA477" s="808"/>
      <c r="AB477" s="808"/>
      <c r="AC477" s="808"/>
      <c r="AD477" s="808"/>
      <c r="AE477" s="808"/>
      <c r="AF477" s="808"/>
      <c r="AG477" s="808"/>
      <c r="AH477" s="808"/>
      <c r="AI477" s="808"/>
      <c r="AJ477" s="808">
        <f t="shared" si="31"/>
        <v>0</v>
      </c>
      <c r="AK477" s="808"/>
      <c r="AL477" s="808"/>
      <c r="AM477" s="808"/>
      <c r="AN477" s="808"/>
      <c r="AO477" s="808"/>
      <c r="AP477" s="808"/>
      <c r="AQ477" s="808"/>
      <c r="AR477" s="808"/>
      <c r="AS477" s="808"/>
      <c r="AT477" s="808"/>
      <c r="AU477" s="800" t="s">
        <v>1830</v>
      </c>
    </row>
    <row r="478" spans="1:218" s="882" customFormat="1" ht="21" customHeight="1">
      <c r="A478" s="794">
        <v>476</v>
      </c>
      <c r="B478" s="790" t="s">
        <v>212</v>
      </c>
      <c r="C478" s="790" t="s">
        <v>1299</v>
      </c>
      <c r="D478" s="824">
        <v>39264</v>
      </c>
      <c r="E478" s="824">
        <v>39508</v>
      </c>
      <c r="F478" s="857">
        <v>2007</v>
      </c>
      <c r="G478" s="790" t="s">
        <v>5</v>
      </c>
      <c r="H478" s="790" t="s">
        <v>1451</v>
      </c>
      <c r="I478" s="790" t="s">
        <v>1822</v>
      </c>
      <c r="J478" s="800" t="s">
        <v>2331</v>
      </c>
      <c r="K478" s="787">
        <v>2500</v>
      </c>
      <c r="L478" s="787">
        <v>21117</v>
      </c>
      <c r="M478" s="787">
        <v>24605</v>
      </c>
      <c r="N478" s="787">
        <v>24605</v>
      </c>
      <c r="O478" s="808">
        <f t="shared" si="32"/>
        <v>9.8420000000000005</v>
      </c>
      <c r="P478" s="787">
        <v>117</v>
      </c>
      <c r="Q478" s="787"/>
      <c r="R478" s="787"/>
      <c r="S478" s="808"/>
      <c r="T478" s="787" t="s">
        <v>2</v>
      </c>
      <c r="U478" s="787">
        <v>25</v>
      </c>
      <c r="V478" s="787">
        <v>12000</v>
      </c>
      <c r="W478" s="787">
        <v>5391</v>
      </c>
      <c r="X478" s="787">
        <f>W478*1.17</f>
        <v>6307.4699999999993</v>
      </c>
      <c r="Y478" s="808"/>
      <c r="Z478" s="787"/>
      <c r="AA478" s="787"/>
      <c r="AB478" s="787"/>
      <c r="AC478" s="787"/>
      <c r="AD478" s="787"/>
      <c r="AE478" s="787">
        <v>500</v>
      </c>
      <c r="AF478" s="787"/>
      <c r="AG478" s="787"/>
      <c r="AH478" s="808"/>
      <c r="AI478" s="787"/>
      <c r="AJ478" s="787">
        <f t="shared" si="31"/>
        <v>0</v>
      </c>
      <c r="AK478" s="787"/>
      <c r="AL478" s="787"/>
      <c r="AM478" s="787"/>
      <c r="AN478" s="787"/>
      <c r="AO478" s="787"/>
      <c r="AP478" s="787"/>
      <c r="AQ478" s="787"/>
      <c r="AR478" s="787"/>
      <c r="AS478" s="787"/>
      <c r="AT478" s="787"/>
      <c r="AU478" s="352" t="s">
        <v>1821</v>
      </c>
      <c r="AV478" s="790"/>
      <c r="AW478" s="790"/>
      <c r="AX478" s="790"/>
      <c r="AY478" s="790"/>
      <c r="AZ478" s="790"/>
      <c r="BA478" s="790"/>
      <c r="BB478" s="790"/>
      <c r="BC478" s="790"/>
      <c r="BD478" s="790"/>
      <c r="BE478" s="790"/>
      <c r="BF478" s="790"/>
      <c r="BG478" s="790"/>
      <c r="BH478" s="790"/>
      <c r="BI478" s="790"/>
      <c r="BJ478" s="790"/>
      <c r="BK478" s="790"/>
      <c r="BL478" s="790"/>
      <c r="BM478" s="800"/>
      <c r="BN478" s="800"/>
      <c r="BO478" s="800"/>
      <c r="BP478" s="800"/>
      <c r="BQ478" s="800"/>
      <c r="BR478" s="800"/>
      <c r="BS478" s="800"/>
      <c r="BT478" s="800"/>
      <c r="BU478" s="800"/>
      <c r="BV478" s="800"/>
      <c r="BW478" s="800"/>
      <c r="BX478" s="800"/>
      <c r="BY478" s="800"/>
      <c r="BZ478" s="800"/>
      <c r="CA478" s="800"/>
      <c r="CB478" s="800"/>
      <c r="CC478" s="800"/>
      <c r="CD478" s="800"/>
      <c r="CE478" s="800"/>
      <c r="CF478" s="800"/>
      <c r="CG478" s="800"/>
      <c r="CH478" s="800"/>
      <c r="CI478" s="800"/>
      <c r="CJ478" s="800"/>
      <c r="CK478" s="800"/>
      <c r="CL478" s="800"/>
      <c r="CM478" s="800"/>
      <c r="CN478" s="800"/>
      <c r="CO478" s="800"/>
      <c r="CP478" s="800"/>
      <c r="CQ478" s="800"/>
      <c r="CR478" s="800"/>
      <c r="CS478" s="800"/>
      <c r="CT478" s="800"/>
      <c r="CU478" s="800"/>
      <c r="CV478" s="800"/>
      <c r="CW478" s="800"/>
      <c r="CX478" s="800"/>
      <c r="CY478" s="800"/>
      <c r="CZ478" s="800"/>
      <c r="DA478" s="800"/>
      <c r="DB478" s="800"/>
      <c r="DC478" s="800"/>
      <c r="DD478" s="800"/>
      <c r="DE478" s="800"/>
      <c r="DF478" s="800"/>
      <c r="DG478" s="800"/>
      <c r="DH478" s="800"/>
      <c r="DI478" s="800"/>
      <c r="DJ478" s="800"/>
      <c r="DK478" s="800"/>
      <c r="DL478" s="800"/>
      <c r="DM478" s="800"/>
      <c r="DN478" s="800"/>
      <c r="DO478" s="800"/>
      <c r="DP478" s="800"/>
      <c r="DQ478" s="800"/>
      <c r="DR478" s="800"/>
      <c r="DS478" s="800"/>
      <c r="DT478" s="800"/>
      <c r="DU478" s="800"/>
      <c r="DV478" s="800"/>
      <c r="DW478" s="800"/>
      <c r="DX478" s="800"/>
      <c r="DY478" s="800"/>
      <c r="DZ478" s="800"/>
      <c r="EA478" s="800"/>
      <c r="EB478" s="800"/>
      <c r="EC478" s="800"/>
      <c r="ED478" s="800"/>
      <c r="EE478" s="800"/>
      <c r="EF478" s="800"/>
      <c r="EG478" s="800"/>
      <c r="EH478" s="800"/>
      <c r="EI478" s="800"/>
      <c r="EJ478" s="800"/>
      <c r="EK478" s="800"/>
      <c r="EL478" s="800"/>
      <c r="EM478" s="800"/>
      <c r="EN478" s="800"/>
      <c r="EO478" s="800"/>
      <c r="EP478" s="800"/>
      <c r="EQ478" s="800"/>
      <c r="ER478" s="800"/>
      <c r="ES478" s="800"/>
      <c r="ET478" s="800"/>
      <c r="EU478" s="800"/>
      <c r="EV478" s="800"/>
      <c r="EW478" s="800"/>
      <c r="EX478" s="800"/>
      <c r="EY478" s="800"/>
      <c r="EZ478" s="800"/>
      <c r="FA478" s="800"/>
      <c r="FB478" s="800"/>
      <c r="FC478" s="800"/>
      <c r="FD478" s="800"/>
      <c r="FE478" s="800"/>
      <c r="FF478" s="800"/>
      <c r="FG478" s="800"/>
      <c r="FH478" s="800"/>
      <c r="FI478" s="800"/>
      <c r="FJ478" s="800"/>
      <c r="FK478" s="800"/>
      <c r="FL478" s="800"/>
      <c r="FM478" s="800"/>
      <c r="FN478" s="800"/>
      <c r="FO478" s="800"/>
      <c r="FP478" s="800"/>
      <c r="FQ478" s="800"/>
      <c r="FR478" s="800"/>
      <c r="FS478" s="800"/>
      <c r="FT478" s="800"/>
      <c r="FU478" s="800"/>
      <c r="FV478" s="800"/>
      <c r="FW478" s="800"/>
      <c r="FX478" s="800"/>
      <c r="FY478" s="800"/>
      <c r="FZ478" s="800"/>
      <c r="GA478" s="800"/>
      <c r="GB478" s="800"/>
      <c r="GC478" s="800"/>
      <c r="GD478" s="800"/>
      <c r="GE478" s="800"/>
      <c r="GF478" s="800"/>
      <c r="GG478" s="800"/>
      <c r="GH478" s="800"/>
      <c r="GI478" s="800"/>
      <c r="GJ478" s="800"/>
      <c r="GK478" s="800"/>
      <c r="GL478" s="800"/>
      <c r="GM478" s="800"/>
      <c r="GN478" s="800"/>
      <c r="GO478" s="800"/>
      <c r="GP478" s="800"/>
      <c r="GQ478" s="800"/>
      <c r="GR478" s="800"/>
      <c r="GS478" s="800"/>
      <c r="GT478" s="800"/>
      <c r="GU478" s="800"/>
      <c r="GV478" s="800"/>
      <c r="GW478" s="800"/>
      <c r="GX478" s="800"/>
      <c r="GY478" s="800"/>
      <c r="GZ478" s="800"/>
      <c r="HA478" s="800"/>
      <c r="HB478" s="800"/>
      <c r="HC478" s="800"/>
      <c r="HD478" s="800"/>
      <c r="HE478" s="800"/>
      <c r="HF478" s="800"/>
      <c r="HG478" s="800"/>
      <c r="HH478" s="800"/>
      <c r="HI478" s="800"/>
      <c r="HJ478" s="800"/>
    </row>
    <row r="479" spans="1:218" s="790" customFormat="1" ht="15">
      <c r="A479" s="794">
        <v>477</v>
      </c>
      <c r="B479" s="800" t="s">
        <v>118</v>
      </c>
      <c r="C479" s="800" t="s">
        <v>1299</v>
      </c>
      <c r="D479" s="819">
        <v>39295</v>
      </c>
      <c r="E479" s="819">
        <v>39508</v>
      </c>
      <c r="F479" s="857">
        <v>2007</v>
      </c>
      <c r="G479" s="800" t="s">
        <v>5</v>
      </c>
      <c r="H479" s="800" t="s">
        <v>1451</v>
      </c>
      <c r="I479" s="800" t="s">
        <v>1829</v>
      </c>
      <c r="J479" s="800" t="s">
        <v>2331</v>
      </c>
      <c r="K479" s="808">
        <f>5*500</f>
        <v>2500</v>
      </c>
      <c r="L479" s="808">
        <v>123911</v>
      </c>
      <c r="M479" s="808">
        <v>89595</v>
      </c>
      <c r="N479" s="808">
        <v>89595</v>
      </c>
      <c r="O479" s="808">
        <f t="shared" si="32"/>
        <v>35.838000000000001</v>
      </c>
      <c r="P479" s="808">
        <v>72</v>
      </c>
      <c r="Q479" s="808"/>
      <c r="R479" s="808" t="s">
        <v>134</v>
      </c>
      <c r="S479" s="808"/>
      <c r="T479" s="808"/>
      <c r="U479" s="808"/>
      <c r="V479" s="808">
        <v>15000</v>
      </c>
      <c r="W479" s="808">
        <v>54510</v>
      </c>
      <c r="X479" s="808">
        <v>24684</v>
      </c>
      <c r="Y479" s="808"/>
      <c r="Z479" s="808"/>
      <c r="AA479" s="808"/>
      <c r="AB479" s="808"/>
      <c r="AC479" s="808"/>
      <c r="AD479" s="808"/>
      <c r="AE479" s="808">
        <v>300</v>
      </c>
      <c r="AF479" s="808"/>
      <c r="AG479" s="808"/>
      <c r="AH479" s="808"/>
      <c r="AI479" s="808"/>
      <c r="AJ479" s="787">
        <f t="shared" si="31"/>
        <v>0</v>
      </c>
      <c r="AK479" s="808"/>
      <c r="AL479" s="808"/>
      <c r="AM479" s="808"/>
      <c r="AN479" s="808"/>
      <c r="AO479" s="808"/>
      <c r="AP479" s="808"/>
      <c r="AQ479" s="808"/>
      <c r="AR479" s="808"/>
      <c r="AS479" s="808" t="s">
        <v>2</v>
      </c>
      <c r="AT479" s="808"/>
      <c r="AU479" s="800" t="s">
        <v>1828</v>
      </c>
      <c r="AV479" s="800"/>
      <c r="AW479" s="800"/>
      <c r="AX479" s="800"/>
      <c r="AY479" s="800"/>
      <c r="AZ479" s="800"/>
      <c r="BA479" s="800"/>
      <c r="BB479" s="800"/>
      <c r="BC479" s="800"/>
      <c r="BD479" s="800"/>
      <c r="BE479" s="800"/>
      <c r="BF479" s="800"/>
      <c r="BG479" s="800"/>
      <c r="BH479" s="800"/>
      <c r="BI479" s="800"/>
      <c r="BJ479" s="800"/>
      <c r="BK479" s="800"/>
      <c r="BL479" s="800"/>
      <c r="BM479" s="800"/>
      <c r="BN479" s="800"/>
      <c r="BO479" s="800"/>
      <c r="BP479" s="800"/>
      <c r="BQ479" s="800"/>
      <c r="BR479" s="800"/>
      <c r="BS479" s="800"/>
      <c r="BT479" s="800"/>
      <c r="BU479" s="800"/>
      <c r="BV479" s="800"/>
      <c r="BW479" s="800"/>
      <c r="BX479" s="800"/>
      <c r="BY479" s="800"/>
      <c r="BZ479" s="800"/>
      <c r="CA479" s="800"/>
      <c r="CB479" s="800"/>
      <c r="CC479" s="800"/>
      <c r="CD479" s="800"/>
      <c r="CE479" s="800"/>
      <c r="CF479" s="800"/>
      <c r="CG479" s="800"/>
      <c r="CH479" s="800"/>
      <c r="CI479" s="800"/>
      <c r="CJ479" s="800"/>
      <c r="CK479" s="800"/>
      <c r="CL479" s="800"/>
      <c r="CM479" s="800"/>
      <c r="CN479" s="800"/>
      <c r="CO479" s="800"/>
      <c r="CP479" s="800"/>
      <c r="CQ479" s="800"/>
      <c r="CR479" s="800"/>
      <c r="CS479" s="800"/>
      <c r="CT479" s="800"/>
      <c r="CU479" s="800"/>
      <c r="CV479" s="800"/>
      <c r="CW479" s="800"/>
      <c r="CX479" s="800"/>
      <c r="CY479" s="800"/>
      <c r="CZ479" s="800"/>
      <c r="DA479" s="800"/>
      <c r="DB479" s="800"/>
      <c r="DC479" s="800"/>
      <c r="DD479" s="800"/>
      <c r="DE479" s="800"/>
      <c r="DF479" s="800"/>
      <c r="DG479" s="800"/>
      <c r="DH479" s="800"/>
      <c r="DI479" s="800"/>
      <c r="DJ479" s="800"/>
      <c r="DK479" s="800"/>
      <c r="DL479" s="800"/>
      <c r="DM479" s="800"/>
      <c r="DN479" s="800"/>
      <c r="DO479" s="800"/>
      <c r="DP479" s="800"/>
      <c r="DQ479" s="800"/>
      <c r="DR479" s="800"/>
      <c r="DS479" s="800"/>
      <c r="DT479" s="800"/>
      <c r="DU479" s="800"/>
      <c r="DV479" s="800"/>
      <c r="DW479" s="800"/>
      <c r="DX479" s="800"/>
      <c r="DY479" s="800"/>
      <c r="DZ479" s="800"/>
      <c r="EA479" s="800"/>
      <c r="EB479" s="800"/>
      <c r="EC479" s="800"/>
      <c r="ED479" s="800"/>
      <c r="EE479" s="800"/>
      <c r="EF479" s="800"/>
      <c r="EG479" s="800"/>
      <c r="EH479" s="800"/>
      <c r="EI479" s="800"/>
      <c r="EJ479" s="800"/>
      <c r="EK479" s="800"/>
      <c r="EL479" s="800"/>
      <c r="EM479" s="800"/>
      <c r="EN479" s="800"/>
      <c r="EO479" s="800"/>
      <c r="EP479" s="800"/>
      <c r="EQ479" s="800"/>
      <c r="ER479" s="800"/>
      <c r="ES479" s="800"/>
      <c r="ET479" s="800"/>
      <c r="EU479" s="800"/>
      <c r="EV479" s="800"/>
      <c r="EW479" s="800"/>
      <c r="EX479" s="800"/>
      <c r="EY479" s="800"/>
      <c r="EZ479" s="800"/>
      <c r="FA479" s="800"/>
      <c r="FB479" s="800"/>
      <c r="FC479" s="800"/>
      <c r="FD479" s="800"/>
      <c r="FE479" s="800"/>
      <c r="FF479" s="800"/>
      <c r="FG479" s="800"/>
      <c r="FH479" s="800"/>
      <c r="FI479" s="800"/>
      <c r="FJ479" s="800"/>
      <c r="FK479" s="800"/>
      <c r="FL479" s="800"/>
      <c r="FM479" s="800"/>
      <c r="FN479" s="800"/>
      <c r="FO479" s="800"/>
      <c r="FP479" s="800"/>
      <c r="FQ479" s="800"/>
      <c r="FR479" s="800"/>
      <c r="FS479" s="800"/>
      <c r="FT479" s="800"/>
      <c r="FU479" s="800"/>
      <c r="FV479" s="800"/>
      <c r="FW479" s="800"/>
      <c r="FX479" s="800"/>
      <c r="FY479" s="800"/>
      <c r="FZ479" s="800"/>
      <c r="GA479" s="800"/>
      <c r="GB479" s="800"/>
      <c r="GC479" s="800"/>
      <c r="GD479" s="800"/>
      <c r="GE479" s="800"/>
      <c r="GF479" s="800"/>
      <c r="GG479" s="800"/>
      <c r="GH479" s="800"/>
      <c r="GI479" s="800"/>
      <c r="GJ479" s="800"/>
      <c r="GK479" s="800"/>
      <c r="GL479" s="800"/>
      <c r="GM479" s="800"/>
      <c r="GN479" s="800"/>
      <c r="GO479" s="800"/>
      <c r="GP479" s="800"/>
      <c r="GQ479" s="800"/>
      <c r="GR479" s="800"/>
      <c r="GS479" s="800"/>
      <c r="GT479" s="800"/>
      <c r="GU479" s="800"/>
      <c r="GV479" s="800"/>
      <c r="GW479" s="800"/>
      <c r="GX479" s="800"/>
      <c r="GY479" s="800"/>
      <c r="GZ479" s="800"/>
      <c r="HA479" s="800"/>
      <c r="HB479" s="800"/>
      <c r="HC479" s="800"/>
      <c r="HD479" s="800"/>
      <c r="HE479" s="800"/>
      <c r="HF479" s="800"/>
      <c r="HG479" s="800"/>
      <c r="HH479" s="800"/>
      <c r="HI479" s="800"/>
      <c r="HJ479" s="800"/>
    </row>
    <row r="480" spans="1:218" s="800" customFormat="1" ht="18" customHeight="1">
      <c r="A480" s="794">
        <v>478</v>
      </c>
      <c r="B480" s="800" t="s">
        <v>162</v>
      </c>
      <c r="C480" s="800" t="s">
        <v>1286</v>
      </c>
      <c r="D480" s="819">
        <v>39326</v>
      </c>
      <c r="E480" s="819">
        <v>39479</v>
      </c>
      <c r="F480" s="857">
        <v>2007</v>
      </c>
      <c r="G480" s="800" t="s">
        <v>5</v>
      </c>
      <c r="H480" s="800" t="s">
        <v>1451</v>
      </c>
      <c r="I480" s="800" t="s">
        <v>1833</v>
      </c>
      <c r="J480" s="800" t="s">
        <v>2331</v>
      </c>
      <c r="K480" s="808">
        <v>30000</v>
      </c>
      <c r="L480" s="808">
        <v>100000</v>
      </c>
      <c r="M480" s="808">
        <v>79600</v>
      </c>
      <c r="N480" s="808">
        <v>79600</v>
      </c>
      <c r="O480" s="808">
        <f t="shared" si="32"/>
        <v>2.6533333333333333</v>
      </c>
      <c r="P480" s="808">
        <v>80</v>
      </c>
      <c r="Q480" s="808"/>
      <c r="R480" s="808"/>
      <c r="S480" s="808"/>
      <c r="T480" s="808"/>
      <c r="U480" s="808"/>
      <c r="V480" s="808"/>
      <c r="W480" s="808"/>
      <c r="X480" s="808"/>
      <c r="Y480" s="808"/>
      <c r="Z480" s="808"/>
      <c r="AA480" s="808"/>
      <c r="AB480" s="808"/>
      <c r="AC480" s="808"/>
      <c r="AD480" s="808"/>
      <c r="AE480" s="808"/>
      <c r="AF480" s="808"/>
      <c r="AG480" s="808"/>
      <c r="AH480" s="808"/>
      <c r="AI480" s="808"/>
      <c r="AJ480" s="808">
        <f t="shared" si="31"/>
        <v>0</v>
      </c>
      <c r="AK480" s="808"/>
      <c r="AL480" s="808"/>
      <c r="AM480" s="808"/>
      <c r="AN480" s="808"/>
      <c r="AO480" s="808"/>
      <c r="AP480" s="808"/>
      <c r="AQ480" s="808"/>
      <c r="AR480" s="808"/>
      <c r="AS480" s="808"/>
      <c r="AT480" s="808"/>
      <c r="AU480" s="800" t="s">
        <v>1832</v>
      </c>
    </row>
    <row r="481" spans="1:218" s="800" customFormat="1" ht="20.25" customHeight="1">
      <c r="A481" s="794">
        <v>479</v>
      </c>
      <c r="B481" s="790" t="s">
        <v>162</v>
      </c>
      <c r="C481" s="800" t="s">
        <v>1286</v>
      </c>
      <c r="D481" s="824">
        <v>39387</v>
      </c>
      <c r="E481" s="824">
        <v>40148</v>
      </c>
      <c r="F481" s="857">
        <v>2007</v>
      </c>
      <c r="G481" s="790" t="s">
        <v>5</v>
      </c>
      <c r="H481" s="790" t="s">
        <v>1451</v>
      </c>
      <c r="I481" s="790" t="s">
        <v>1032</v>
      </c>
      <c r="J481" s="812" t="s">
        <v>2438</v>
      </c>
      <c r="K481" s="787">
        <v>44380</v>
      </c>
      <c r="L481" s="787">
        <v>1898880</v>
      </c>
      <c r="M481" s="787">
        <v>1898724</v>
      </c>
      <c r="N481" s="817">
        <v>1898021</v>
      </c>
      <c r="O481" s="808">
        <f t="shared" si="32"/>
        <v>42.767485353762957</v>
      </c>
      <c r="P481" s="787">
        <v>100</v>
      </c>
      <c r="Q481" s="787">
        <f>12*400</f>
        <v>4800</v>
      </c>
      <c r="R481" s="787"/>
      <c r="S481" s="808">
        <v>4800</v>
      </c>
      <c r="T481" s="787"/>
      <c r="U481" s="787">
        <v>25</v>
      </c>
      <c r="V481" s="787" t="s">
        <v>134</v>
      </c>
      <c r="W481" s="787">
        <v>8820</v>
      </c>
      <c r="X481" s="787">
        <v>20785</v>
      </c>
      <c r="Y481" s="808">
        <f>X481/S481</f>
        <v>4.3302083333333332</v>
      </c>
      <c r="Z481" s="787"/>
      <c r="AA481" s="817">
        <v>500000</v>
      </c>
      <c r="AB481" s="787">
        <v>24</v>
      </c>
      <c r="AC481" s="787"/>
      <c r="AD481" s="787"/>
      <c r="AE481" s="787">
        <f>2*7998+10000</f>
        <v>25996</v>
      </c>
      <c r="AF481" s="787"/>
      <c r="AG481" s="787"/>
      <c r="AH481" s="808"/>
      <c r="AI481" s="787"/>
      <c r="AJ481" s="787">
        <f t="shared" si="31"/>
        <v>500000</v>
      </c>
      <c r="AK481" s="787">
        <v>1365</v>
      </c>
      <c r="AL481" s="787">
        <v>1432</v>
      </c>
      <c r="AM481" s="787"/>
      <c r="AN481" s="787"/>
      <c r="AO481" s="787"/>
      <c r="AP481" s="787"/>
      <c r="AQ481" s="787"/>
      <c r="AR481" s="787"/>
      <c r="AS481" s="787"/>
      <c r="AT481" s="787"/>
      <c r="AU481" s="790" t="s">
        <v>1033</v>
      </c>
      <c r="AV481" s="790"/>
      <c r="AW481" s="790"/>
      <c r="AX481" s="790"/>
      <c r="AY481" s="790"/>
      <c r="AZ481" s="790"/>
      <c r="BA481" s="790"/>
      <c r="BB481" s="790"/>
      <c r="BC481" s="790"/>
      <c r="BD481" s="790"/>
      <c r="BE481" s="790"/>
      <c r="BF481" s="790"/>
      <c r="BG481" s="790"/>
      <c r="BH481" s="790"/>
      <c r="BI481" s="790"/>
      <c r="BJ481" s="790"/>
      <c r="BK481" s="790"/>
      <c r="BL481" s="790"/>
    </row>
    <row r="482" spans="1:218" s="790" customFormat="1" ht="15.75" customHeight="1">
      <c r="A482" s="794">
        <v>480</v>
      </c>
      <c r="B482" s="888" t="s">
        <v>2405</v>
      </c>
      <c r="C482" s="857" t="s">
        <v>1278</v>
      </c>
      <c r="D482" s="840">
        <v>39173</v>
      </c>
      <c r="E482" s="840">
        <v>40148</v>
      </c>
      <c r="F482" s="857">
        <v>2007</v>
      </c>
      <c r="G482" s="857" t="s">
        <v>955</v>
      </c>
      <c r="H482" s="790" t="s">
        <v>1452</v>
      </c>
      <c r="I482" s="857" t="s">
        <v>956</v>
      </c>
      <c r="J482" s="812" t="s">
        <v>2438</v>
      </c>
      <c r="K482" s="817">
        <v>250000</v>
      </c>
      <c r="L482" s="817">
        <v>17144179</v>
      </c>
      <c r="M482" s="817">
        <v>14639256</v>
      </c>
      <c r="N482" s="817">
        <v>14576980</v>
      </c>
      <c r="O482" s="808">
        <f t="shared" si="32"/>
        <v>58.307920000000003</v>
      </c>
      <c r="P482" s="817">
        <v>85</v>
      </c>
      <c r="Q482" s="817"/>
      <c r="R482" s="817"/>
      <c r="S482" s="817"/>
      <c r="T482" s="817"/>
      <c r="U482" s="817"/>
      <c r="V482" s="817"/>
      <c r="W482" s="817"/>
      <c r="X482" s="817"/>
      <c r="Y482" s="817"/>
      <c r="Z482" s="817">
        <v>11074</v>
      </c>
      <c r="AA482" s="817"/>
      <c r="AB482" s="817">
        <v>300</v>
      </c>
      <c r="AC482" s="817"/>
      <c r="AD482" s="817"/>
      <c r="AE482" s="817"/>
      <c r="AF482" s="817"/>
      <c r="AG482" s="817"/>
      <c r="AH482" s="817"/>
      <c r="AI482" s="817"/>
      <c r="AJ482" s="787">
        <f t="shared" si="31"/>
        <v>11074</v>
      </c>
      <c r="AK482" s="817">
        <v>3091690</v>
      </c>
      <c r="AL482" s="817">
        <v>2451369</v>
      </c>
      <c r="AM482" s="817"/>
      <c r="AN482" s="817"/>
      <c r="AO482" s="817"/>
      <c r="AP482" s="817"/>
      <c r="AQ482" s="817"/>
      <c r="AR482" s="817"/>
      <c r="AS482" s="817"/>
      <c r="AT482" s="817"/>
      <c r="AU482" s="320" t="s">
        <v>957</v>
      </c>
      <c r="AV482" s="857"/>
      <c r="AW482" s="857"/>
      <c r="AX482" s="857"/>
      <c r="AY482" s="857"/>
      <c r="AZ482" s="857"/>
      <c r="BA482" s="857"/>
      <c r="BB482" s="857"/>
      <c r="BC482" s="857"/>
      <c r="BD482" s="857"/>
      <c r="BE482" s="857"/>
      <c r="BF482" s="857"/>
      <c r="BG482" s="857"/>
      <c r="BH482" s="857"/>
      <c r="BI482" s="857"/>
      <c r="BJ482" s="857"/>
      <c r="BK482" s="857"/>
      <c r="BL482" s="857"/>
      <c r="BM482" s="857"/>
      <c r="BN482" s="800"/>
      <c r="BO482" s="800"/>
      <c r="BP482" s="800"/>
      <c r="BQ482" s="800"/>
      <c r="BR482" s="800"/>
      <c r="BS482" s="800"/>
      <c r="BT482" s="800"/>
      <c r="BU482" s="800"/>
      <c r="BV482" s="800"/>
      <c r="BW482" s="800"/>
      <c r="BX482" s="800"/>
      <c r="BY482" s="800"/>
      <c r="BZ482" s="800"/>
      <c r="CA482" s="800"/>
      <c r="CB482" s="800"/>
      <c r="CC482" s="800"/>
      <c r="CD482" s="800"/>
      <c r="CE482" s="800"/>
      <c r="CF482" s="800"/>
      <c r="CG482" s="800"/>
      <c r="CH482" s="800"/>
      <c r="CI482" s="800"/>
      <c r="CJ482" s="800"/>
      <c r="CK482" s="800"/>
      <c r="CL482" s="800"/>
      <c r="CM482" s="800"/>
      <c r="CN482" s="800"/>
      <c r="CO482" s="800"/>
      <c r="CP482" s="800"/>
      <c r="CQ482" s="800"/>
      <c r="CR482" s="800"/>
      <c r="CS482" s="800"/>
      <c r="CT482" s="800"/>
      <c r="CU482" s="800"/>
      <c r="CV482" s="800"/>
      <c r="CW482" s="800"/>
      <c r="CX482" s="800"/>
      <c r="CY482" s="800"/>
      <c r="CZ482" s="800"/>
      <c r="DA482" s="800"/>
      <c r="DB482" s="800"/>
      <c r="DC482" s="800"/>
      <c r="DD482" s="800"/>
      <c r="DE482" s="800"/>
      <c r="DF482" s="800"/>
      <c r="DG482" s="800"/>
      <c r="DH482" s="800"/>
      <c r="DI482" s="800"/>
      <c r="DJ482" s="800"/>
      <c r="DK482" s="800"/>
      <c r="DL482" s="800"/>
      <c r="DM482" s="800"/>
      <c r="DN482" s="800"/>
      <c r="DO482" s="800"/>
      <c r="DP482" s="800"/>
      <c r="DQ482" s="800"/>
      <c r="DR482" s="800"/>
      <c r="DS482" s="800"/>
      <c r="DT482" s="800"/>
      <c r="DU482" s="800"/>
      <c r="DV482" s="800"/>
      <c r="DW482" s="800"/>
      <c r="DX482" s="800"/>
      <c r="DY482" s="800"/>
      <c r="DZ482" s="800"/>
      <c r="EA482" s="800"/>
      <c r="EB482" s="800"/>
      <c r="EC482" s="800"/>
      <c r="ED482" s="800"/>
      <c r="EE482" s="800"/>
      <c r="EF482" s="800"/>
      <c r="EG482" s="800"/>
      <c r="EH482" s="800"/>
      <c r="EI482" s="800"/>
      <c r="EJ482" s="800"/>
      <c r="EK482" s="800"/>
      <c r="EL482" s="800"/>
      <c r="EM482" s="800"/>
      <c r="EN482" s="800"/>
      <c r="EO482" s="800"/>
      <c r="EP482" s="800"/>
      <c r="EQ482" s="800"/>
      <c r="ER482" s="800"/>
      <c r="ES482" s="800"/>
      <c r="ET482" s="800"/>
      <c r="EU482" s="800"/>
      <c r="EV482" s="800"/>
      <c r="EW482" s="800"/>
      <c r="EX482" s="800"/>
      <c r="EY482" s="800"/>
      <c r="EZ482" s="800"/>
      <c r="FA482" s="800"/>
      <c r="FB482" s="800"/>
      <c r="FC482" s="800"/>
      <c r="FD482" s="800"/>
      <c r="FE482" s="800"/>
      <c r="FF482" s="800"/>
      <c r="FG482" s="800"/>
      <c r="FH482" s="800"/>
      <c r="FI482" s="800"/>
      <c r="FJ482" s="800"/>
      <c r="FK482" s="800"/>
      <c r="FL482" s="800"/>
      <c r="FM482" s="800"/>
      <c r="FN482" s="800"/>
      <c r="FO482" s="800"/>
      <c r="FP482" s="800"/>
      <c r="FQ482" s="800"/>
      <c r="FR482" s="800"/>
      <c r="FS482" s="800"/>
      <c r="FT482" s="800"/>
      <c r="FU482" s="800"/>
      <c r="FV482" s="800"/>
      <c r="FW482" s="800"/>
      <c r="FX482" s="800"/>
      <c r="FY482" s="800"/>
      <c r="FZ482" s="800"/>
      <c r="GA482" s="800"/>
      <c r="GB482" s="800"/>
      <c r="GC482" s="800"/>
      <c r="GD482" s="800"/>
      <c r="GE482" s="800"/>
      <c r="GF482" s="800"/>
      <c r="GG482" s="800"/>
      <c r="GH482" s="800"/>
      <c r="GI482" s="800"/>
      <c r="GJ482" s="800"/>
      <c r="GK482" s="800"/>
      <c r="GL482" s="800"/>
      <c r="GM482" s="800"/>
      <c r="GN482" s="800"/>
      <c r="GO482" s="800"/>
      <c r="GP482" s="800"/>
      <c r="GQ482" s="800"/>
      <c r="GR482" s="800"/>
      <c r="GS482" s="800"/>
      <c r="GT482" s="800"/>
      <c r="GU482" s="800"/>
      <c r="GV482" s="800"/>
      <c r="GW482" s="800"/>
      <c r="GX482" s="800"/>
      <c r="GY482" s="800"/>
      <c r="GZ482" s="800"/>
      <c r="HA482" s="800"/>
      <c r="HB482" s="800"/>
      <c r="HC482" s="800"/>
      <c r="HD482" s="800"/>
      <c r="HE482" s="800"/>
      <c r="HF482" s="800"/>
      <c r="HG482" s="800"/>
      <c r="HH482" s="800"/>
      <c r="HI482" s="800"/>
      <c r="HJ482" s="800"/>
    </row>
    <row r="483" spans="1:218" s="790" customFormat="1" ht="15">
      <c r="A483" s="794">
        <v>481</v>
      </c>
      <c r="B483" s="790" t="s">
        <v>855</v>
      </c>
      <c r="C483" s="790" t="s">
        <v>1260</v>
      </c>
      <c r="D483" s="824">
        <v>39417</v>
      </c>
      <c r="E483" s="824">
        <v>39508</v>
      </c>
      <c r="F483" s="857">
        <v>2007</v>
      </c>
      <c r="G483" s="790" t="s">
        <v>5</v>
      </c>
      <c r="H483" s="790" t="s">
        <v>1451</v>
      </c>
      <c r="I483" s="790" t="s">
        <v>1815</v>
      </c>
      <c r="J483" s="800" t="s">
        <v>2331</v>
      </c>
      <c r="K483" s="787">
        <v>1086</v>
      </c>
      <c r="L483" s="787">
        <v>62578</v>
      </c>
      <c r="M483" s="787">
        <v>62578</v>
      </c>
      <c r="N483" s="787">
        <v>62417</v>
      </c>
      <c r="O483" s="808">
        <f t="shared" si="32"/>
        <v>57.474217311233886</v>
      </c>
      <c r="P483" s="787">
        <v>100</v>
      </c>
      <c r="Q483" s="787">
        <v>1086</v>
      </c>
      <c r="R483" s="787">
        <v>1086</v>
      </c>
      <c r="S483" s="808">
        <v>1086</v>
      </c>
      <c r="T483" s="787"/>
      <c r="U483" s="787"/>
      <c r="V483" s="787">
        <v>1086</v>
      </c>
      <c r="W483" s="787">
        <v>2146</v>
      </c>
      <c r="X483" s="787">
        <v>2146</v>
      </c>
      <c r="Y483" s="808">
        <f>X483/S483</f>
        <v>1.9760589318600368</v>
      </c>
      <c r="Z483" s="787"/>
      <c r="AA483" s="787"/>
      <c r="AB483" s="787"/>
      <c r="AC483" s="787"/>
      <c r="AD483" s="787"/>
      <c r="AE483" s="787"/>
      <c r="AF483" s="787"/>
      <c r="AG483" s="787"/>
      <c r="AH483" s="808"/>
      <c r="AI483" s="787"/>
      <c r="AJ483" s="787">
        <f t="shared" si="31"/>
        <v>0</v>
      </c>
      <c r="AK483" s="787"/>
      <c r="AL483" s="787"/>
      <c r="AM483" s="787"/>
      <c r="AN483" s="787"/>
      <c r="AO483" s="787"/>
      <c r="AP483" s="787"/>
      <c r="AQ483" s="787"/>
      <c r="AR483" s="787"/>
      <c r="AS483" s="787"/>
      <c r="AT483" s="787"/>
      <c r="AU483" s="790" t="s">
        <v>1814</v>
      </c>
      <c r="BM483" s="800"/>
      <c r="BN483" s="800"/>
      <c r="BO483" s="800"/>
      <c r="BP483" s="800"/>
      <c r="BQ483" s="800"/>
      <c r="BR483" s="800"/>
      <c r="BS483" s="800"/>
      <c r="BT483" s="800"/>
      <c r="BU483" s="800"/>
      <c r="BV483" s="800"/>
      <c r="BW483" s="800"/>
      <c r="BX483" s="800"/>
      <c r="BY483" s="800"/>
      <c r="BZ483" s="800"/>
      <c r="CA483" s="800"/>
      <c r="CB483" s="800"/>
      <c r="CC483" s="800"/>
      <c r="CD483" s="800"/>
      <c r="CE483" s="800"/>
      <c r="CF483" s="800"/>
      <c r="CG483" s="800"/>
      <c r="CH483" s="800"/>
      <c r="CI483" s="800"/>
      <c r="CJ483" s="800"/>
      <c r="CK483" s="800"/>
      <c r="CL483" s="800"/>
      <c r="CM483" s="800"/>
      <c r="CN483" s="800"/>
      <c r="CO483" s="800"/>
      <c r="CP483" s="800"/>
      <c r="CQ483" s="800"/>
      <c r="CR483" s="800"/>
      <c r="CS483" s="800"/>
      <c r="CT483" s="800"/>
      <c r="CU483" s="800"/>
      <c r="CV483" s="800"/>
      <c r="CW483" s="800"/>
      <c r="CX483" s="800"/>
      <c r="CY483" s="800"/>
      <c r="CZ483" s="800"/>
      <c r="DA483" s="800"/>
      <c r="DB483" s="800"/>
      <c r="DC483" s="800"/>
      <c r="DD483" s="800"/>
      <c r="DE483" s="800"/>
      <c r="DF483" s="800"/>
      <c r="DG483" s="800"/>
      <c r="DH483" s="800"/>
      <c r="DI483" s="800"/>
      <c r="DJ483" s="800"/>
      <c r="DK483" s="800"/>
      <c r="DL483" s="800"/>
      <c r="DM483" s="800"/>
      <c r="DN483" s="800"/>
      <c r="DO483" s="800"/>
      <c r="DP483" s="800"/>
      <c r="DQ483" s="800"/>
      <c r="DR483" s="800"/>
      <c r="DS483" s="800"/>
      <c r="DT483" s="800"/>
      <c r="DU483" s="800"/>
      <c r="DV483" s="800"/>
      <c r="DW483" s="800"/>
      <c r="DX483" s="800"/>
      <c r="DY483" s="800"/>
      <c r="DZ483" s="800"/>
      <c r="EA483" s="800"/>
      <c r="EB483" s="800"/>
      <c r="EC483" s="800"/>
      <c r="ED483" s="800"/>
      <c r="EE483" s="800"/>
      <c r="EF483" s="800"/>
      <c r="EG483" s="800"/>
      <c r="EH483" s="800"/>
      <c r="EI483" s="800"/>
      <c r="EJ483" s="800"/>
      <c r="EK483" s="800"/>
      <c r="EL483" s="800"/>
      <c r="EM483" s="800"/>
      <c r="EN483" s="800"/>
      <c r="EO483" s="800"/>
      <c r="EP483" s="800"/>
      <c r="EQ483" s="800"/>
      <c r="ER483" s="800"/>
      <c r="ES483" s="800"/>
      <c r="ET483" s="800"/>
      <c r="EU483" s="800"/>
      <c r="EV483" s="800"/>
      <c r="EW483" s="800"/>
      <c r="EX483" s="800"/>
      <c r="EY483" s="800"/>
      <c r="EZ483" s="800"/>
      <c r="FA483" s="800"/>
      <c r="FB483" s="800"/>
      <c r="FC483" s="800"/>
      <c r="FD483" s="800"/>
      <c r="FE483" s="800"/>
      <c r="FF483" s="800"/>
      <c r="FG483" s="800"/>
      <c r="FH483" s="800"/>
      <c r="FI483" s="800"/>
      <c r="FJ483" s="800"/>
      <c r="FK483" s="800"/>
      <c r="FL483" s="800"/>
      <c r="FM483" s="800"/>
      <c r="FN483" s="800"/>
      <c r="FO483" s="800"/>
      <c r="FP483" s="800"/>
      <c r="FQ483" s="800"/>
      <c r="FR483" s="800"/>
      <c r="FS483" s="800"/>
      <c r="FT483" s="800"/>
      <c r="FU483" s="800"/>
      <c r="FV483" s="800"/>
      <c r="FW483" s="800"/>
      <c r="FX483" s="800"/>
      <c r="FY483" s="800"/>
      <c r="FZ483" s="800"/>
      <c r="GA483" s="800"/>
      <c r="GB483" s="800"/>
      <c r="GC483" s="800"/>
      <c r="GD483" s="800"/>
      <c r="GE483" s="800"/>
      <c r="GF483" s="800"/>
      <c r="GG483" s="800"/>
      <c r="GH483" s="800"/>
      <c r="GI483" s="800"/>
      <c r="GJ483" s="800"/>
      <c r="GK483" s="800"/>
      <c r="GL483" s="800"/>
      <c r="GM483" s="800"/>
      <c r="GN483" s="800"/>
      <c r="GO483" s="800"/>
      <c r="GP483" s="800"/>
      <c r="GQ483" s="800"/>
      <c r="GR483" s="800"/>
      <c r="GS483" s="800"/>
      <c r="GT483" s="800"/>
      <c r="GU483" s="800"/>
      <c r="GV483" s="800"/>
      <c r="GW483" s="800"/>
      <c r="GX483" s="800"/>
      <c r="GY483" s="800"/>
      <c r="GZ483" s="800"/>
      <c r="HA483" s="800"/>
      <c r="HB483" s="800"/>
      <c r="HC483" s="800"/>
      <c r="HD483" s="800"/>
      <c r="HE483" s="800"/>
      <c r="HF483" s="800"/>
      <c r="HG483" s="800"/>
      <c r="HH483" s="800"/>
      <c r="HI483" s="800"/>
      <c r="HJ483" s="800"/>
    </row>
    <row r="484" spans="1:218" s="790" customFormat="1" ht="15">
      <c r="A484" s="794">
        <v>482</v>
      </c>
      <c r="B484" s="785" t="s">
        <v>481</v>
      </c>
      <c r="C484" s="785" t="s">
        <v>1299</v>
      </c>
      <c r="D484" s="792">
        <v>39114</v>
      </c>
      <c r="E484" s="792">
        <v>39295</v>
      </c>
      <c r="F484" s="857">
        <v>2007</v>
      </c>
      <c r="G484" s="789" t="s">
        <v>590</v>
      </c>
      <c r="H484" s="790" t="s">
        <v>1458</v>
      </c>
      <c r="I484" s="785" t="s">
        <v>589</v>
      </c>
      <c r="J484" s="812" t="s">
        <v>2438</v>
      </c>
      <c r="K484" s="842">
        <v>100000</v>
      </c>
      <c r="L484" s="842">
        <v>20644994</v>
      </c>
      <c r="M484" s="842">
        <v>8545574</v>
      </c>
      <c r="N484" s="842">
        <v>8545574</v>
      </c>
      <c r="O484" s="808">
        <f t="shared" si="32"/>
        <v>85.455740000000006</v>
      </c>
      <c r="P484" s="842">
        <v>41</v>
      </c>
      <c r="Q484" s="842">
        <v>59000</v>
      </c>
      <c r="R484" s="842">
        <v>45000</v>
      </c>
      <c r="S484" s="842">
        <v>59000</v>
      </c>
      <c r="T484" s="842" t="s">
        <v>94</v>
      </c>
      <c r="U484" s="842">
        <v>100</v>
      </c>
      <c r="V484" s="842">
        <v>45000</v>
      </c>
      <c r="W484" s="842">
        <v>1042789</v>
      </c>
      <c r="X484" s="842">
        <v>548226</v>
      </c>
      <c r="Y484" s="808">
        <f>X484/S484</f>
        <v>9.291966101694916</v>
      </c>
      <c r="Z484" s="842" t="s">
        <v>339</v>
      </c>
      <c r="AA484" s="842">
        <v>219700</v>
      </c>
      <c r="AB484" s="842">
        <v>600</v>
      </c>
      <c r="AC484" s="842">
        <v>600</v>
      </c>
      <c r="AD484" s="842" t="s">
        <v>75</v>
      </c>
      <c r="AE484" s="842">
        <v>36000</v>
      </c>
      <c r="AF484" s="842" t="s">
        <v>75</v>
      </c>
      <c r="AG484" s="842">
        <v>35000</v>
      </c>
      <c r="AH484" s="842">
        <v>14500</v>
      </c>
      <c r="AI484" s="842" t="s">
        <v>75</v>
      </c>
      <c r="AJ484" s="787">
        <f t="shared" si="31"/>
        <v>234200</v>
      </c>
      <c r="AK484" s="842">
        <v>766016</v>
      </c>
      <c r="AL484" s="842">
        <v>171808</v>
      </c>
      <c r="AM484" s="842"/>
      <c r="AN484" s="842" t="s">
        <v>75</v>
      </c>
      <c r="AO484" s="842" t="s">
        <v>75</v>
      </c>
      <c r="AP484" s="842" t="s">
        <v>75</v>
      </c>
      <c r="AQ484" s="842" t="s">
        <v>75</v>
      </c>
      <c r="AR484" s="842">
        <v>1</v>
      </c>
      <c r="AS484" s="842" t="s">
        <v>75</v>
      </c>
      <c r="AT484" s="842" t="s">
        <v>75</v>
      </c>
      <c r="AU484" s="344" t="s">
        <v>588</v>
      </c>
      <c r="AV484" s="785"/>
      <c r="AW484" s="785"/>
      <c r="AX484" s="785"/>
      <c r="AY484" s="785"/>
      <c r="AZ484" s="785"/>
      <c r="BA484" s="785"/>
      <c r="BB484" s="785"/>
      <c r="BC484" s="785"/>
      <c r="BD484" s="785"/>
      <c r="BE484" s="785"/>
      <c r="BF484" s="785"/>
      <c r="BG484" s="785"/>
      <c r="BH484" s="785"/>
      <c r="BI484" s="785"/>
      <c r="BJ484" s="785"/>
      <c r="BK484" s="785"/>
      <c r="BL484" s="785"/>
      <c r="BM484" s="785"/>
      <c r="BN484" s="800"/>
      <c r="BO484" s="800"/>
      <c r="BP484" s="800"/>
      <c r="BQ484" s="800"/>
      <c r="BR484" s="800"/>
      <c r="BS484" s="800"/>
      <c r="BT484" s="800"/>
      <c r="BU484" s="800"/>
      <c r="BV484" s="800"/>
      <c r="BW484" s="800"/>
      <c r="BX484" s="800"/>
      <c r="BY484" s="800"/>
      <c r="BZ484" s="800"/>
      <c r="CA484" s="800"/>
      <c r="CB484" s="800"/>
      <c r="CC484" s="800"/>
      <c r="CD484" s="800"/>
      <c r="CE484" s="800"/>
      <c r="CF484" s="800"/>
      <c r="CG484" s="800"/>
      <c r="CH484" s="800"/>
      <c r="CI484" s="800"/>
      <c r="CJ484" s="800"/>
      <c r="CK484" s="800"/>
      <c r="CL484" s="800"/>
      <c r="CM484" s="800"/>
      <c r="CN484" s="800"/>
      <c r="CO484" s="800"/>
      <c r="CP484" s="800"/>
      <c r="CQ484" s="800"/>
      <c r="CR484" s="800"/>
      <c r="CS484" s="800"/>
      <c r="CT484" s="800"/>
      <c r="CU484" s="800"/>
      <c r="CV484" s="800"/>
      <c r="CW484" s="800"/>
      <c r="CX484" s="800"/>
      <c r="CY484" s="800"/>
      <c r="CZ484" s="800"/>
      <c r="DA484" s="800"/>
      <c r="DB484" s="800"/>
      <c r="DC484" s="800"/>
      <c r="DD484" s="800"/>
      <c r="DE484" s="800"/>
      <c r="DF484" s="800"/>
      <c r="DG484" s="800"/>
      <c r="DH484" s="800"/>
      <c r="DI484" s="800"/>
      <c r="DJ484" s="800"/>
      <c r="DK484" s="800"/>
      <c r="DL484" s="800"/>
      <c r="DM484" s="800"/>
      <c r="DN484" s="800"/>
      <c r="DO484" s="800"/>
      <c r="DP484" s="800"/>
      <c r="DQ484" s="800"/>
      <c r="DR484" s="800"/>
      <c r="DS484" s="800"/>
      <c r="DT484" s="800"/>
      <c r="DU484" s="800"/>
      <c r="DV484" s="800"/>
      <c r="DW484" s="800"/>
      <c r="DX484" s="800"/>
      <c r="DY484" s="800"/>
      <c r="DZ484" s="800"/>
      <c r="EA484" s="800"/>
      <c r="EB484" s="800"/>
      <c r="EC484" s="800"/>
      <c r="ED484" s="800"/>
      <c r="EE484" s="800"/>
      <c r="EF484" s="800"/>
      <c r="EG484" s="800"/>
      <c r="EH484" s="800"/>
      <c r="EI484" s="800"/>
      <c r="EJ484" s="800"/>
      <c r="EK484" s="800"/>
      <c r="EL484" s="800"/>
      <c r="EM484" s="800"/>
      <c r="EN484" s="800"/>
      <c r="EO484" s="800"/>
      <c r="EP484" s="800"/>
      <c r="EQ484" s="800"/>
      <c r="ER484" s="800"/>
      <c r="ES484" s="800"/>
      <c r="ET484" s="800"/>
      <c r="EU484" s="800"/>
      <c r="EV484" s="800"/>
      <c r="EW484" s="800"/>
      <c r="EX484" s="800"/>
      <c r="EY484" s="800"/>
      <c r="EZ484" s="800"/>
      <c r="FA484" s="800"/>
      <c r="FB484" s="800"/>
      <c r="FC484" s="800"/>
      <c r="FD484" s="800"/>
      <c r="FE484" s="800"/>
      <c r="FF484" s="800"/>
      <c r="FG484" s="800"/>
      <c r="FH484" s="800"/>
      <c r="FI484" s="800"/>
      <c r="FJ484" s="800"/>
      <c r="FK484" s="800"/>
      <c r="FL484" s="800"/>
      <c r="FM484" s="800"/>
      <c r="FN484" s="800"/>
      <c r="FO484" s="800"/>
      <c r="FP484" s="800"/>
      <c r="FQ484" s="800"/>
      <c r="FR484" s="800"/>
      <c r="FS484" s="800"/>
      <c r="FT484" s="800"/>
      <c r="FU484" s="800"/>
      <c r="FV484" s="800"/>
      <c r="FW484" s="800"/>
      <c r="FX484" s="800"/>
      <c r="FY484" s="800"/>
      <c r="FZ484" s="800"/>
      <c r="GA484" s="800"/>
      <c r="GB484" s="800"/>
      <c r="GC484" s="800"/>
      <c r="GD484" s="800"/>
      <c r="GE484" s="800"/>
      <c r="GF484" s="800"/>
      <c r="GG484" s="800"/>
      <c r="GH484" s="800"/>
      <c r="GI484" s="800"/>
      <c r="GJ484" s="800"/>
      <c r="GK484" s="800"/>
      <c r="GL484" s="800"/>
      <c r="GM484" s="800"/>
      <c r="GN484" s="800"/>
      <c r="GO484" s="800"/>
      <c r="GP484" s="800"/>
      <c r="GQ484" s="800"/>
      <c r="GR484" s="800"/>
      <c r="GS484" s="800"/>
      <c r="GT484" s="800"/>
      <c r="GU484" s="800"/>
      <c r="GV484" s="800"/>
      <c r="GW484" s="800"/>
      <c r="GX484" s="800"/>
      <c r="GY484" s="800"/>
      <c r="GZ484" s="800"/>
      <c r="HA484" s="800"/>
      <c r="HB484" s="800"/>
      <c r="HC484" s="800"/>
      <c r="HD484" s="800"/>
      <c r="HE484" s="800"/>
      <c r="HF484" s="800"/>
      <c r="HG484" s="800"/>
      <c r="HH484" s="800"/>
      <c r="HI484" s="800"/>
      <c r="HJ484" s="800"/>
    </row>
    <row r="485" spans="1:218" s="800" customFormat="1" ht="21" customHeight="1">
      <c r="A485" s="794">
        <v>483</v>
      </c>
      <c r="B485" s="789" t="s">
        <v>279</v>
      </c>
      <c r="C485" s="789" t="s">
        <v>1299</v>
      </c>
      <c r="D485" s="840">
        <v>39083</v>
      </c>
      <c r="E485" s="840">
        <v>39722</v>
      </c>
      <c r="F485" s="857">
        <v>2007</v>
      </c>
      <c r="G485" s="789" t="s">
        <v>826</v>
      </c>
      <c r="H485" s="800" t="s">
        <v>1451</v>
      </c>
      <c r="I485" s="789" t="s">
        <v>825</v>
      </c>
      <c r="J485" s="812" t="s">
        <v>2438</v>
      </c>
      <c r="K485" s="817">
        <v>15000</v>
      </c>
      <c r="L485" s="817">
        <v>877479</v>
      </c>
      <c r="M485" s="817">
        <v>434377</v>
      </c>
      <c r="N485" s="817">
        <v>434377</v>
      </c>
      <c r="O485" s="808">
        <f t="shared" si="32"/>
        <v>28.958466666666666</v>
      </c>
      <c r="P485" s="817">
        <v>50</v>
      </c>
      <c r="Q485" s="817">
        <v>15000</v>
      </c>
      <c r="R485" s="817">
        <v>15000</v>
      </c>
      <c r="S485" s="817">
        <v>15000</v>
      </c>
      <c r="T485" s="817" t="s">
        <v>849</v>
      </c>
      <c r="U485" s="817">
        <v>20</v>
      </c>
      <c r="V485" s="817">
        <v>15000</v>
      </c>
      <c r="W485" s="817">
        <v>99965</v>
      </c>
      <c r="X485" s="817">
        <v>49983</v>
      </c>
      <c r="Y485" s="808">
        <f>X485/S485</f>
        <v>3.3321999999999998</v>
      </c>
      <c r="Z485" s="817" t="s">
        <v>75</v>
      </c>
      <c r="AA485" s="817">
        <v>15000</v>
      </c>
      <c r="AB485" s="817">
        <v>52</v>
      </c>
      <c r="AC485" s="817" t="s">
        <v>75</v>
      </c>
      <c r="AD485" s="817" t="s">
        <v>75</v>
      </c>
      <c r="AE485" s="817">
        <v>383</v>
      </c>
      <c r="AF485" s="817" t="s">
        <v>75</v>
      </c>
      <c r="AG485" s="817" t="s">
        <v>75</v>
      </c>
      <c r="AH485" s="817" t="s">
        <v>75</v>
      </c>
      <c r="AI485" s="817" t="s">
        <v>75</v>
      </c>
      <c r="AJ485" s="808">
        <f t="shared" si="31"/>
        <v>15000</v>
      </c>
      <c r="AK485" s="817" t="s">
        <v>75</v>
      </c>
      <c r="AL485" s="817" t="s">
        <v>75</v>
      </c>
      <c r="AM485" s="817"/>
      <c r="AN485" s="817" t="s">
        <v>75</v>
      </c>
      <c r="AO485" s="817" t="s">
        <v>75</v>
      </c>
      <c r="AP485" s="817" t="s">
        <v>75</v>
      </c>
      <c r="AQ485" s="817" t="s">
        <v>75</v>
      </c>
      <c r="AR485" s="817" t="s">
        <v>75</v>
      </c>
      <c r="AS485" s="817" t="s">
        <v>2</v>
      </c>
      <c r="AT485" s="817" t="s">
        <v>75</v>
      </c>
      <c r="AU485" s="359" t="s">
        <v>824</v>
      </c>
      <c r="AV485" s="789"/>
      <c r="AW485" s="789"/>
      <c r="AX485" s="789"/>
      <c r="AY485" s="789"/>
      <c r="AZ485" s="789"/>
      <c r="BA485" s="789"/>
      <c r="BB485" s="789"/>
      <c r="BC485" s="789"/>
      <c r="BD485" s="789"/>
      <c r="BE485" s="789"/>
      <c r="BF485" s="789"/>
      <c r="BG485" s="789"/>
      <c r="BH485" s="789"/>
      <c r="BI485" s="789"/>
      <c r="BJ485" s="789"/>
      <c r="BK485" s="789"/>
      <c r="BL485" s="789"/>
      <c r="BM485" s="789"/>
    </row>
    <row r="486" spans="1:218" s="882" customFormat="1" ht="15">
      <c r="A486" s="794">
        <v>484</v>
      </c>
      <c r="B486" s="785" t="s">
        <v>446</v>
      </c>
      <c r="C486" s="785" t="s">
        <v>1261</v>
      </c>
      <c r="D486" s="792">
        <v>39323</v>
      </c>
      <c r="E486" s="792">
        <v>39847</v>
      </c>
      <c r="F486" s="857">
        <v>2007</v>
      </c>
      <c r="G486" s="789" t="s">
        <v>599</v>
      </c>
      <c r="H486" s="800" t="s">
        <v>1451</v>
      </c>
      <c r="I486" s="785" t="s">
        <v>598</v>
      </c>
      <c r="J486" s="812" t="s">
        <v>2438</v>
      </c>
      <c r="K486" s="842">
        <v>150000</v>
      </c>
      <c r="L486" s="842">
        <v>2344464</v>
      </c>
      <c r="M486" s="842">
        <v>2171171</v>
      </c>
      <c r="N486" s="842">
        <v>2171171</v>
      </c>
      <c r="O486" s="808">
        <f t="shared" si="32"/>
        <v>14.474473333333334</v>
      </c>
      <c r="P486" s="842">
        <v>93</v>
      </c>
      <c r="Q486" s="842">
        <v>36755</v>
      </c>
      <c r="R486" s="817">
        <v>35000</v>
      </c>
      <c r="S486" s="842">
        <v>36755</v>
      </c>
      <c r="T486" s="842" t="s">
        <v>95</v>
      </c>
      <c r="U486" s="842">
        <v>447</v>
      </c>
      <c r="V486" s="817">
        <v>35000</v>
      </c>
      <c r="W486" s="842" t="s">
        <v>75</v>
      </c>
      <c r="X486" s="842" t="s">
        <v>75</v>
      </c>
      <c r="Y486" s="808"/>
      <c r="Z486" s="842" t="s">
        <v>75</v>
      </c>
      <c r="AA486" s="842" t="s">
        <v>75</v>
      </c>
      <c r="AB486" s="842">
        <v>250</v>
      </c>
      <c r="AC486" s="842" t="s">
        <v>75</v>
      </c>
      <c r="AD486" s="842" t="s">
        <v>75</v>
      </c>
      <c r="AE486" s="842" t="s">
        <v>75</v>
      </c>
      <c r="AF486" s="842" t="s">
        <v>75</v>
      </c>
      <c r="AG486" s="842" t="s">
        <v>75</v>
      </c>
      <c r="AH486" s="842" t="s">
        <v>75</v>
      </c>
      <c r="AI486" s="842" t="s">
        <v>75</v>
      </c>
      <c r="AJ486" s="787">
        <f t="shared" si="31"/>
        <v>0</v>
      </c>
      <c r="AK486" s="842" t="s">
        <v>75</v>
      </c>
      <c r="AL486" s="842" t="s">
        <v>75</v>
      </c>
      <c r="AM486" s="842"/>
      <c r="AN486" s="842" t="s">
        <v>75</v>
      </c>
      <c r="AO486" s="842" t="s">
        <v>75</v>
      </c>
      <c r="AP486" s="842" t="s">
        <v>75</v>
      </c>
      <c r="AQ486" s="842" t="s">
        <v>75</v>
      </c>
      <c r="AR486" s="842" t="s">
        <v>75</v>
      </c>
      <c r="AS486" s="842" t="s">
        <v>75</v>
      </c>
      <c r="AT486" s="842" t="s">
        <v>75</v>
      </c>
      <c r="AU486" s="276" t="s">
        <v>642</v>
      </c>
      <c r="AV486" s="785"/>
      <c r="AW486" s="785"/>
      <c r="AX486" s="785"/>
      <c r="AY486" s="785"/>
      <c r="AZ486" s="785"/>
      <c r="BA486" s="785"/>
      <c r="BB486" s="785"/>
      <c r="BC486" s="785"/>
      <c r="BD486" s="785"/>
      <c r="BE486" s="785"/>
      <c r="BF486" s="785"/>
      <c r="BG486" s="785"/>
      <c r="BH486" s="785"/>
      <c r="BI486" s="785"/>
      <c r="BJ486" s="785"/>
      <c r="BK486" s="785"/>
      <c r="BL486" s="785"/>
      <c r="BM486" s="785"/>
      <c r="BN486" s="800"/>
      <c r="BO486" s="800"/>
      <c r="BP486" s="800"/>
      <c r="BQ486" s="800"/>
      <c r="BR486" s="800"/>
      <c r="BS486" s="800"/>
      <c r="BT486" s="800"/>
      <c r="BU486" s="800"/>
      <c r="BV486" s="800"/>
      <c r="BW486" s="800"/>
      <c r="BX486" s="800"/>
      <c r="BY486" s="800"/>
      <c r="BZ486" s="800"/>
      <c r="CA486" s="800"/>
      <c r="CB486" s="800"/>
      <c r="CC486" s="800"/>
      <c r="CD486" s="800"/>
      <c r="CE486" s="800"/>
      <c r="CF486" s="800"/>
      <c r="CG486" s="800"/>
      <c r="CH486" s="800"/>
      <c r="CI486" s="800"/>
      <c r="CJ486" s="800"/>
      <c r="CK486" s="800"/>
      <c r="CL486" s="800"/>
      <c r="CM486" s="800"/>
      <c r="CN486" s="800"/>
      <c r="CO486" s="800"/>
      <c r="CP486" s="800"/>
      <c r="CQ486" s="800"/>
      <c r="CR486" s="800"/>
      <c r="CS486" s="800"/>
      <c r="CT486" s="800"/>
      <c r="CU486" s="800"/>
      <c r="CV486" s="800"/>
      <c r="CW486" s="800"/>
      <c r="CX486" s="800"/>
      <c r="CY486" s="800"/>
      <c r="CZ486" s="800"/>
      <c r="DA486" s="800"/>
      <c r="DB486" s="800"/>
      <c r="DC486" s="800"/>
      <c r="DD486" s="800"/>
      <c r="DE486" s="800"/>
      <c r="DF486" s="800"/>
      <c r="DG486" s="800"/>
      <c r="DH486" s="800"/>
      <c r="DI486" s="800"/>
      <c r="DJ486" s="800"/>
      <c r="DK486" s="800"/>
      <c r="DL486" s="800"/>
      <c r="DM486" s="800"/>
      <c r="DN486" s="800"/>
      <c r="DO486" s="800"/>
      <c r="DP486" s="800"/>
      <c r="DQ486" s="800"/>
      <c r="DR486" s="800"/>
      <c r="DS486" s="800"/>
      <c r="DT486" s="800"/>
      <c r="DU486" s="800"/>
      <c r="DV486" s="800"/>
      <c r="DW486" s="800"/>
      <c r="DX486" s="800"/>
      <c r="DY486" s="800"/>
      <c r="DZ486" s="800"/>
      <c r="EA486" s="800"/>
      <c r="EB486" s="800"/>
      <c r="EC486" s="800"/>
      <c r="ED486" s="800"/>
      <c r="EE486" s="800"/>
      <c r="EF486" s="800"/>
      <c r="EG486" s="800"/>
      <c r="EH486" s="800"/>
      <c r="EI486" s="800"/>
      <c r="EJ486" s="800"/>
      <c r="EK486" s="800"/>
      <c r="EL486" s="800"/>
      <c r="EM486" s="800"/>
      <c r="EN486" s="800"/>
      <c r="EO486" s="800"/>
      <c r="EP486" s="800"/>
      <c r="EQ486" s="800"/>
      <c r="ER486" s="800"/>
      <c r="ES486" s="800"/>
      <c r="ET486" s="800"/>
      <c r="EU486" s="800"/>
      <c r="EV486" s="800"/>
      <c r="EW486" s="800"/>
      <c r="EX486" s="800"/>
      <c r="EY486" s="800"/>
      <c r="EZ486" s="800"/>
      <c r="FA486" s="800"/>
      <c r="FB486" s="800"/>
      <c r="FC486" s="800"/>
      <c r="FD486" s="800"/>
      <c r="FE486" s="800"/>
      <c r="FF486" s="800"/>
      <c r="FG486" s="800"/>
      <c r="FH486" s="800"/>
      <c r="FI486" s="800"/>
      <c r="FJ486" s="800"/>
      <c r="FK486" s="800"/>
      <c r="FL486" s="800"/>
      <c r="FM486" s="800"/>
      <c r="FN486" s="800"/>
      <c r="FO486" s="800"/>
      <c r="FP486" s="800"/>
      <c r="FQ486" s="800"/>
      <c r="FR486" s="800"/>
      <c r="FS486" s="800"/>
      <c r="FT486" s="800"/>
      <c r="FU486" s="800"/>
      <c r="FV486" s="800"/>
      <c r="FW486" s="800"/>
      <c r="FX486" s="800"/>
      <c r="FY486" s="800"/>
      <c r="FZ486" s="800"/>
      <c r="GA486" s="800"/>
      <c r="GB486" s="800"/>
      <c r="GC486" s="800"/>
      <c r="GD486" s="800"/>
      <c r="GE486" s="800"/>
      <c r="GF486" s="800"/>
      <c r="GG486" s="800"/>
      <c r="GH486" s="800"/>
      <c r="GI486" s="800"/>
      <c r="GJ486" s="800"/>
      <c r="GK486" s="800"/>
      <c r="GL486" s="800"/>
      <c r="GM486" s="800"/>
      <c r="GN486" s="800"/>
      <c r="GO486" s="800"/>
      <c r="GP486" s="800"/>
      <c r="GQ486" s="800"/>
      <c r="GR486" s="800"/>
      <c r="GS486" s="800"/>
      <c r="GT486" s="800"/>
      <c r="GU486" s="800"/>
      <c r="GV486" s="800"/>
      <c r="GW486" s="800"/>
      <c r="GX486" s="800"/>
      <c r="GY486" s="800"/>
      <c r="GZ486" s="800"/>
      <c r="HA486" s="800"/>
      <c r="HB486" s="800"/>
      <c r="HC486" s="800"/>
      <c r="HD486" s="800"/>
      <c r="HE486" s="800"/>
      <c r="HF486" s="800"/>
      <c r="HG486" s="800"/>
      <c r="HH486" s="800"/>
      <c r="HI486" s="800"/>
      <c r="HJ486" s="800"/>
    </row>
    <row r="487" spans="1:218" s="790" customFormat="1" ht="20.25" customHeight="1">
      <c r="A487" s="794">
        <v>485</v>
      </c>
      <c r="B487" s="789" t="s">
        <v>97</v>
      </c>
      <c r="C487" s="789" t="s">
        <v>1299</v>
      </c>
      <c r="D487" s="840">
        <v>39114</v>
      </c>
      <c r="E487" s="840">
        <v>39539</v>
      </c>
      <c r="F487" s="857">
        <v>2007</v>
      </c>
      <c r="G487" s="789" t="s">
        <v>1470</v>
      </c>
      <c r="H487" s="800" t="s">
        <v>1453</v>
      </c>
      <c r="I487" s="789" t="s">
        <v>770</v>
      </c>
      <c r="J487" s="800" t="s">
        <v>2331</v>
      </c>
      <c r="K487" s="817">
        <v>3000</v>
      </c>
      <c r="L487" s="817">
        <v>48800</v>
      </c>
      <c r="M487" s="817">
        <v>44877</v>
      </c>
      <c r="N487" s="817">
        <v>44877</v>
      </c>
      <c r="O487" s="808">
        <f t="shared" si="32"/>
        <v>14.959</v>
      </c>
      <c r="P487" s="817">
        <v>92</v>
      </c>
      <c r="Q487" s="817" t="s">
        <v>75</v>
      </c>
      <c r="R487" s="817" t="s">
        <v>75</v>
      </c>
      <c r="S487" s="817" t="s">
        <v>75</v>
      </c>
      <c r="T487" s="817" t="s">
        <v>849</v>
      </c>
      <c r="U487" s="817" t="s">
        <v>75</v>
      </c>
      <c r="V487" s="817" t="s">
        <v>75</v>
      </c>
      <c r="W487" s="817">
        <v>4400</v>
      </c>
      <c r="X487" s="817">
        <v>4048</v>
      </c>
      <c r="Y487" s="817"/>
      <c r="Z487" s="817" t="s">
        <v>75</v>
      </c>
      <c r="AA487" s="817" t="s">
        <v>75</v>
      </c>
      <c r="AB487" s="817">
        <v>20</v>
      </c>
      <c r="AC487" s="817">
        <v>20</v>
      </c>
      <c r="AD487" s="817" t="s">
        <v>75</v>
      </c>
      <c r="AE487" s="817" t="s">
        <v>75</v>
      </c>
      <c r="AF487" s="817" t="s">
        <v>75</v>
      </c>
      <c r="AG487" s="817" t="s">
        <v>75</v>
      </c>
      <c r="AH487" s="817" t="s">
        <v>75</v>
      </c>
      <c r="AI487" s="817" t="s">
        <v>75</v>
      </c>
      <c r="AJ487" s="787">
        <f t="shared" si="31"/>
        <v>0</v>
      </c>
      <c r="AK487" s="817">
        <v>200</v>
      </c>
      <c r="AL487" s="817">
        <v>184</v>
      </c>
      <c r="AM487" s="817"/>
      <c r="AN487" s="817" t="s">
        <v>75</v>
      </c>
      <c r="AO487" s="817" t="s">
        <v>75</v>
      </c>
      <c r="AP487" s="817" t="s">
        <v>75</v>
      </c>
      <c r="AQ487" s="817" t="s">
        <v>75</v>
      </c>
      <c r="AR487" s="817" t="s">
        <v>75</v>
      </c>
      <c r="AS487" s="817" t="s">
        <v>75</v>
      </c>
      <c r="AT487" s="817" t="s">
        <v>75</v>
      </c>
      <c r="AU487" s="359" t="s">
        <v>769</v>
      </c>
      <c r="AV487" s="789"/>
      <c r="AW487" s="789"/>
      <c r="AX487" s="789"/>
      <c r="AY487" s="789"/>
      <c r="AZ487" s="789"/>
      <c r="BA487" s="789"/>
      <c r="BB487" s="789"/>
      <c r="BC487" s="789"/>
      <c r="BD487" s="789"/>
      <c r="BE487" s="789"/>
      <c r="BF487" s="789"/>
      <c r="BG487" s="789"/>
      <c r="BH487" s="789"/>
      <c r="BI487" s="789"/>
      <c r="BJ487" s="789"/>
      <c r="BK487" s="789"/>
      <c r="BL487" s="789"/>
      <c r="BM487" s="789"/>
      <c r="BN487" s="800"/>
      <c r="BO487" s="800"/>
      <c r="BP487" s="800"/>
      <c r="BQ487" s="800"/>
      <c r="BR487" s="800"/>
      <c r="BS487" s="800"/>
      <c r="BT487" s="800"/>
      <c r="BU487" s="800"/>
      <c r="BV487" s="800"/>
      <c r="BW487" s="800"/>
      <c r="BX487" s="800"/>
      <c r="BY487" s="800"/>
      <c r="BZ487" s="800"/>
      <c r="CA487" s="800"/>
      <c r="CB487" s="800"/>
      <c r="CC487" s="800"/>
      <c r="CD487" s="800"/>
      <c r="CE487" s="800"/>
      <c r="CF487" s="800"/>
      <c r="CG487" s="800"/>
      <c r="CH487" s="800"/>
      <c r="CI487" s="800"/>
      <c r="CJ487" s="800"/>
      <c r="CK487" s="800"/>
      <c r="CL487" s="800"/>
      <c r="CM487" s="800"/>
      <c r="CN487" s="800"/>
      <c r="CO487" s="800"/>
      <c r="CP487" s="800"/>
      <c r="CQ487" s="800"/>
      <c r="CR487" s="800"/>
      <c r="CS487" s="800"/>
      <c r="CT487" s="800"/>
      <c r="CU487" s="800"/>
      <c r="CV487" s="800"/>
      <c r="CW487" s="800"/>
      <c r="CX487" s="800"/>
      <c r="CY487" s="800"/>
      <c r="CZ487" s="800"/>
      <c r="DA487" s="800"/>
      <c r="DB487" s="800"/>
      <c r="DC487" s="800"/>
      <c r="DD487" s="800"/>
      <c r="DE487" s="800"/>
      <c r="DF487" s="800"/>
      <c r="DG487" s="800"/>
      <c r="DH487" s="800"/>
      <c r="DI487" s="800"/>
      <c r="DJ487" s="800"/>
      <c r="DK487" s="800"/>
      <c r="DL487" s="800"/>
      <c r="DM487" s="800"/>
      <c r="DN487" s="800"/>
      <c r="DO487" s="800"/>
      <c r="DP487" s="800"/>
      <c r="DQ487" s="800"/>
      <c r="DR487" s="800"/>
      <c r="DS487" s="800"/>
      <c r="DT487" s="800"/>
      <c r="DU487" s="800"/>
      <c r="DV487" s="800"/>
      <c r="DW487" s="800"/>
      <c r="DX487" s="800"/>
      <c r="DY487" s="800"/>
      <c r="DZ487" s="800"/>
      <c r="EA487" s="800"/>
      <c r="EB487" s="800"/>
      <c r="EC487" s="800"/>
      <c r="ED487" s="800"/>
      <c r="EE487" s="800"/>
      <c r="EF487" s="800"/>
      <c r="EG487" s="800"/>
      <c r="EH487" s="800"/>
      <c r="EI487" s="800"/>
      <c r="EJ487" s="800"/>
      <c r="EK487" s="800"/>
      <c r="EL487" s="800"/>
      <c r="EM487" s="800"/>
      <c r="EN487" s="800"/>
      <c r="EO487" s="800"/>
      <c r="EP487" s="800"/>
      <c r="EQ487" s="800"/>
      <c r="ER487" s="800"/>
      <c r="ES487" s="800"/>
      <c r="ET487" s="800"/>
      <c r="EU487" s="800"/>
      <c r="EV487" s="800"/>
      <c r="EW487" s="800"/>
      <c r="EX487" s="800"/>
      <c r="EY487" s="800"/>
      <c r="EZ487" s="800"/>
      <c r="FA487" s="800"/>
      <c r="FB487" s="800"/>
      <c r="FC487" s="800"/>
      <c r="FD487" s="800"/>
      <c r="FE487" s="800"/>
      <c r="FF487" s="800"/>
      <c r="FG487" s="800"/>
      <c r="FH487" s="800"/>
      <c r="FI487" s="800"/>
      <c r="FJ487" s="800"/>
      <c r="FK487" s="800"/>
      <c r="FL487" s="800"/>
      <c r="FM487" s="800"/>
      <c r="FN487" s="800"/>
      <c r="FO487" s="800"/>
      <c r="FP487" s="800"/>
      <c r="FQ487" s="800"/>
      <c r="FR487" s="800"/>
      <c r="FS487" s="800"/>
      <c r="FT487" s="800"/>
      <c r="FU487" s="800"/>
      <c r="FV487" s="800"/>
      <c r="FW487" s="800"/>
      <c r="FX487" s="800"/>
      <c r="FY487" s="800"/>
      <c r="FZ487" s="800"/>
      <c r="GA487" s="800"/>
      <c r="GB487" s="800"/>
      <c r="GC487" s="800"/>
      <c r="GD487" s="800"/>
      <c r="GE487" s="800"/>
      <c r="GF487" s="800"/>
      <c r="GG487" s="800"/>
      <c r="GH487" s="800"/>
      <c r="GI487" s="800"/>
      <c r="GJ487" s="800"/>
      <c r="GK487" s="800"/>
      <c r="GL487" s="800"/>
      <c r="GM487" s="800"/>
      <c r="GN487" s="800"/>
      <c r="GO487" s="800"/>
      <c r="GP487" s="800"/>
      <c r="GQ487" s="800"/>
      <c r="GR487" s="800"/>
      <c r="GS487" s="800"/>
      <c r="GT487" s="800"/>
      <c r="GU487" s="800"/>
      <c r="GV487" s="800"/>
      <c r="GW487" s="800"/>
      <c r="GX487" s="800"/>
      <c r="GY487" s="800"/>
      <c r="GZ487" s="800"/>
      <c r="HA487" s="800"/>
      <c r="HB487" s="800"/>
      <c r="HC487" s="800"/>
      <c r="HD487" s="800"/>
      <c r="HE487" s="800"/>
      <c r="HF487" s="800"/>
      <c r="HG487" s="800"/>
      <c r="HH487" s="800"/>
      <c r="HI487" s="800"/>
      <c r="HJ487" s="800"/>
    </row>
    <row r="488" spans="1:218" s="882" customFormat="1" ht="15">
      <c r="A488" s="794">
        <v>486</v>
      </c>
      <c r="B488" s="790" t="s">
        <v>1816</v>
      </c>
      <c r="C488" s="800" t="s">
        <v>1299</v>
      </c>
      <c r="D488" s="824">
        <v>39295</v>
      </c>
      <c r="E488" s="824">
        <v>39539</v>
      </c>
      <c r="F488" s="857">
        <v>2007</v>
      </c>
      <c r="G488" s="790" t="s">
        <v>5</v>
      </c>
      <c r="H488" s="790" t="s">
        <v>1451</v>
      </c>
      <c r="I488" s="790" t="s">
        <v>1857</v>
      </c>
      <c r="J488" s="800" t="s">
        <v>2331</v>
      </c>
      <c r="K488" s="787">
        <v>2500</v>
      </c>
      <c r="L488" s="787">
        <v>69941</v>
      </c>
      <c r="M488" s="787">
        <v>54222</v>
      </c>
      <c r="N488" s="787">
        <v>54222</v>
      </c>
      <c r="O488" s="808">
        <f t="shared" si="32"/>
        <v>21.688800000000001</v>
      </c>
      <c r="P488" s="787">
        <v>78</v>
      </c>
      <c r="Q488" s="787"/>
      <c r="R488" s="787"/>
      <c r="S488" s="808"/>
      <c r="T488" s="787"/>
      <c r="U488" s="787"/>
      <c r="V488" s="787"/>
      <c r="W488" s="787">
        <v>1250</v>
      </c>
      <c r="X488" s="787">
        <f>0.78*W488</f>
        <v>975</v>
      </c>
      <c r="Y488" s="808"/>
      <c r="Z488" s="787"/>
      <c r="AA488" s="787"/>
      <c r="AB488" s="787"/>
      <c r="AC488" s="787"/>
      <c r="AD488" s="787"/>
      <c r="AE488" s="787">
        <v>1500</v>
      </c>
      <c r="AF488" s="787"/>
      <c r="AG488" s="787"/>
      <c r="AH488" s="808"/>
      <c r="AI488" s="787"/>
      <c r="AJ488" s="787">
        <f t="shared" si="31"/>
        <v>0</v>
      </c>
      <c r="AK488" s="787" t="s">
        <v>66</v>
      </c>
      <c r="AL488" s="787" t="s">
        <v>66</v>
      </c>
      <c r="AM488" s="787"/>
      <c r="AN488" s="787"/>
      <c r="AO488" s="787"/>
      <c r="AP488" s="787"/>
      <c r="AQ488" s="787"/>
      <c r="AR488" s="787"/>
      <c r="AS488" s="787"/>
      <c r="AT488" s="787"/>
      <c r="AU488" s="790" t="s">
        <v>1856</v>
      </c>
      <c r="AV488" s="790"/>
      <c r="AW488" s="790"/>
      <c r="AX488" s="790"/>
      <c r="AY488" s="790"/>
      <c r="AZ488" s="790"/>
      <c r="BA488" s="790"/>
      <c r="BB488" s="790"/>
      <c r="BC488" s="790"/>
      <c r="BD488" s="790"/>
      <c r="BE488" s="790"/>
      <c r="BF488" s="790"/>
      <c r="BG488" s="790"/>
      <c r="BH488" s="790"/>
      <c r="BI488" s="790"/>
      <c r="BJ488" s="790"/>
      <c r="BK488" s="790"/>
      <c r="BL488" s="790"/>
      <c r="BM488" s="800"/>
      <c r="BN488" s="800"/>
      <c r="BO488" s="800"/>
      <c r="BP488" s="800"/>
      <c r="BQ488" s="800"/>
      <c r="BR488" s="800"/>
      <c r="BS488" s="800"/>
      <c r="BT488" s="800"/>
      <c r="BU488" s="800"/>
      <c r="BV488" s="800"/>
      <c r="BW488" s="800"/>
      <c r="BX488" s="800"/>
      <c r="BY488" s="800"/>
      <c r="BZ488" s="800"/>
      <c r="CA488" s="800"/>
      <c r="CB488" s="800"/>
      <c r="CC488" s="800"/>
      <c r="CD488" s="800"/>
      <c r="CE488" s="800"/>
      <c r="CF488" s="800"/>
      <c r="CG488" s="800"/>
      <c r="CH488" s="800"/>
      <c r="CI488" s="800"/>
      <c r="CJ488" s="800"/>
      <c r="CK488" s="800"/>
      <c r="CL488" s="800"/>
      <c r="CM488" s="800"/>
      <c r="CN488" s="800"/>
      <c r="CO488" s="800"/>
      <c r="CP488" s="800"/>
      <c r="CQ488" s="800"/>
      <c r="CR488" s="800"/>
      <c r="CS488" s="800"/>
      <c r="CT488" s="800"/>
      <c r="CU488" s="800"/>
      <c r="CV488" s="800"/>
      <c r="CW488" s="800"/>
      <c r="CX488" s="800"/>
      <c r="CY488" s="800"/>
      <c r="CZ488" s="800"/>
      <c r="DA488" s="800"/>
      <c r="DB488" s="800"/>
      <c r="DC488" s="800"/>
      <c r="DD488" s="800"/>
      <c r="DE488" s="800"/>
      <c r="DF488" s="800"/>
      <c r="DG488" s="800"/>
      <c r="DH488" s="800"/>
      <c r="DI488" s="800"/>
      <c r="DJ488" s="800"/>
      <c r="DK488" s="800"/>
      <c r="DL488" s="800"/>
      <c r="DM488" s="800"/>
      <c r="DN488" s="800"/>
      <c r="DO488" s="800"/>
      <c r="DP488" s="800"/>
      <c r="DQ488" s="800"/>
      <c r="DR488" s="800"/>
      <c r="DS488" s="800"/>
      <c r="DT488" s="800"/>
      <c r="DU488" s="800"/>
      <c r="DV488" s="800"/>
      <c r="DW488" s="800"/>
      <c r="DX488" s="800"/>
      <c r="DY488" s="800"/>
      <c r="DZ488" s="800"/>
      <c r="EA488" s="800"/>
      <c r="EB488" s="800"/>
      <c r="EC488" s="800"/>
      <c r="ED488" s="800"/>
      <c r="EE488" s="800"/>
      <c r="EF488" s="800"/>
      <c r="EG488" s="800"/>
      <c r="EH488" s="800"/>
      <c r="EI488" s="800"/>
      <c r="EJ488" s="800"/>
      <c r="EK488" s="800"/>
      <c r="EL488" s="800"/>
      <c r="EM488" s="800"/>
      <c r="EN488" s="800"/>
      <c r="EO488" s="800"/>
      <c r="EP488" s="800"/>
      <c r="EQ488" s="800"/>
      <c r="ER488" s="800"/>
      <c r="ES488" s="800"/>
      <c r="ET488" s="800"/>
      <c r="EU488" s="800"/>
      <c r="EV488" s="800"/>
      <c r="EW488" s="800"/>
      <c r="EX488" s="800"/>
      <c r="EY488" s="800"/>
      <c r="EZ488" s="800"/>
      <c r="FA488" s="800"/>
      <c r="FB488" s="800"/>
      <c r="FC488" s="800"/>
      <c r="FD488" s="800"/>
      <c r="FE488" s="800"/>
      <c r="FF488" s="800"/>
      <c r="FG488" s="800"/>
      <c r="FH488" s="800"/>
      <c r="FI488" s="800"/>
      <c r="FJ488" s="800"/>
      <c r="FK488" s="800"/>
      <c r="FL488" s="800"/>
      <c r="FM488" s="800"/>
      <c r="FN488" s="800"/>
      <c r="FO488" s="800"/>
      <c r="FP488" s="800"/>
      <c r="FQ488" s="800"/>
      <c r="FR488" s="800"/>
      <c r="FS488" s="800"/>
      <c r="FT488" s="800"/>
      <c r="FU488" s="800"/>
      <c r="FV488" s="800"/>
      <c r="FW488" s="800"/>
      <c r="FX488" s="800"/>
      <c r="FY488" s="800"/>
      <c r="FZ488" s="800"/>
      <c r="GA488" s="800"/>
      <c r="GB488" s="800"/>
      <c r="GC488" s="800"/>
      <c r="GD488" s="800"/>
      <c r="GE488" s="800"/>
      <c r="GF488" s="800"/>
      <c r="GG488" s="800"/>
      <c r="GH488" s="800"/>
      <c r="GI488" s="800"/>
      <c r="GJ488" s="800"/>
      <c r="GK488" s="800"/>
      <c r="GL488" s="800"/>
      <c r="GM488" s="800"/>
      <c r="GN488" s="800"/>
      <c r="GO488" s="800"/>
      <c r="GP488" s="800"/>
      <c r="GQ488" s="800"/>
      <c r="GR488" s="800"/>
      <c r="GS488" s="800"/>
      <c r="GT488" s="800"/>
      <c r="GU488" s="800"/>
      <c r="GV488" s="800"/>
      <c r="GW488" s="800"/>
      <c r="GX488" s="800"/>
      <c r="GY488" s="800"/>
      <c r="GZ488" s="800"/>
      <c r="HA488" s="800"/>
      <c r="HB488" s="800"/>
      <c r="HC488" s="800"/>
      <c r="HD488" s="800"/>
      <c r="HE488" s="800"/>
      <c r="HF488" s="800"/>
      <c r="HG488" s="800"/>
      <c r="HH488" s="800"/>
      <c r="HI488" s="800"/>
      <c r="HJ488" s="800"/>
    </row>
    <row r="489" spans="1:218" s="790" customFormat="1" ht="21" customHeight="1">
      <c r="A489" s="794">
        <v>487</v>
      </c>
      <c r="B489" s="789" t="s">
        <v>145</v>
      </c>
      <c r="C489" s="789" t="s">
        <v>1299</v>
      </c>
      <c r="D489" s="840">
        <v>39234</v>
      </c>
      <c r="E489" s="840">
        <v>39539</v>
      </c>
      <c r="F489" s="857">
        <v>2007</v>
      </c>
      <c r="G489" s="789" t="s">
        <v>5</v>
      </c>
      <c r="H489" s="790" t="s">
        <v>1451</v>
      </c>
      <c r="I489" s="789" t="s">
        <v>754</v>
      </c>
      <c r="J489" s="800" t="s">
        <v>2331</v>
      </c>
      <c r="K489" s="817">
        <v>3045</v>
      </c>
      <c r="L489" s="817">
        <v>200035</v>
      </c>
      <c r="M489" s="817">
        <v>200000</v>
      </c>
      <c r="N489" s="817">
        <v>165853</v>
      </c>
      <c r="O489" s="808">
        <f t="shared" si="32"/>
        <v>54.467323481116587</v>
      </c>
      <c r="P489" s="817">
        <v>100</v>
      </c>
      <c r="Q489" s="817" t="s">
        <v>75</v>
      </c>
      <c r="R489" s="817" t="s">
        <v>75</v>
      </c>
      <c r="S489" s="817">
        <v>3000</v>
      </c>
      <c r="T489" s="817" t="s">
        <v>849</v>
      </c>
      <c r="U489" s="817" t="s">
        <v>75</v>
      </c>
      <c r="V489" s="817">
        <v>3000</v>
      </c>
      <c r="W489" s="817">
        <v>54988</v>
      </c>
      <c r="X489" s="817">
        <v>54988</v>
      </c>
      <c r="Y489" s="808">
        <f>X489/S489</f>
        <v>18.329333333333334</v>
      </c>
      <c r="Z489" s="817" t="s">
        <v>75</v>
      </c>
      <c r="AA489" s="817">
        <v>3000</v>
      </c>
      <c r="AB489" s="817">
        <v>238</v>
      </c>
      <c r="AC489" s="817" t="s">
        <v>75</v>
      </c>
      <c r="AD489" s="817" t="s">
        <v>75</v>
      </c>
      <c r="AE489" s="817">
        <v>600</v>
      </c>
      <c r="AF489" s="817" t="s">
        <v>75</v>
      </c>
      <c r="AG489" s="817" t="s">
        <v>75</v>
      </c>
      <c r="AH489" s="817" t="s">
        <v>75</v>
      </c>
      <c r="AI489" s="817" t="s">
        <v>75</v>
      </c>
      <c r="AJ489" s="787">
        <f t="shared" si="31"/>
        <v>3000</v>
      </c>
      <c r="AK489" s="817" t="s">
        <v>75</v>
      </c>
      <c r="AL489" s="817" t="s">
        <v>75</v>
      </c>
      <c r="AM489" s="817"/>
      <c r="AN489" s="817" t="s">
        <v>75</v>
      </c>
      <c r="AO489" s="817" t="s">
        <v>75</v>
      </c>
      <c r="AP489" s="817" t="s">
        <v>75</v>
      </c>
      <c r="AQ489" s="817" t="s">
        <v>75</v>
      </c>
      <c r="AR489" s="817" t="s">
        <v>75</v>
      </c>
      <c r="AS489" s="817" t="s">
        <v>75</v>
      </c>
      <c r="AT489" s="817" t="s">
        <v>75</v>
      </c>
      <c r="AU489" s="359" t="s">
        <v>753</v>
      </c>
      <c r="AV489" s="789"/>
      <c r="AW489" s="789"/>
      <c r="AX489" s="789"/>
      <c r="AY489" s="789"/>
      <c r="AZ489" s="789"/>
      <c r="BA489" s="789"/>
      <c r="BB489" s="789"/>
      <c r="BC489" s="789"/>
      <c r="BD489" s="789"/>
      <c r="BE489" s="789"/>
      <c r="BF489" s="789"/>
      <c r="BG489" s="789"/>
      <c r="BH489" s="789"/>
      <c r="BI489" s="789"/>
      <c r="BJ489" s="789"/>
      <c r="BK489" s="789"/>
      <c r="BL489" s="789"/>
      <c r="BM489" s="789"/>
      <c r="BN489" s="800"/>
      <c r="BO489" s="800"/>
      <c r="BP489" s="800"/>
      <c r="BQ489" s="800"/>
      <c r="BR489" s="800"/>
      <c r="BS489" s="800"/>
      <c r="BT489" s="800"/>
      <c r="BU489" s="800"/>
      <c r="BV489" s="800"/>
      <c r="BW489" s="800"/>
      <c r="BX489" s="800"/>
      <c r="BY489" s="800"/>
      <c r="BZ489" s="800"/>
      <c r="CA489" s="800"/>
      <c r="CB489" s="800"/>
      <c r="CC489" s="800"/>
      <c r="CD489" s="800"/>
      <c r="CE489" s="800"/>
      <c r="CF489" s="800"/>
      <c r="CG489" s="800"/>
      <c r="CH489" s="800"/>
      <c r="CI489" s="800"/>
      <c r="CJ489" s="800"/>
      <c r="CK489" s="800"/>
      <c r="CL489" s="800"/>
      <c r="CM489" s="800"/>
      <c r="CN489" s="800"/>
      <c r="CO489" s="800"/>
      <c r="CP489" s="800"/>
      <c r="CQ489" s="800"/>
      <c r="CR489" s="800"/>
      <c r="CS489" s="800"/>
      <c r="CT489" s="800"/>
      <c r="CU489" s="800"/>
      <c r="CV489" s="800"/>
      <c r="CW489" s="800"/>
      <c r="CX489" s="800"/>
      <c r="CY489" s="800"/>
      <c r="CZ489" s="800"/>
      <c r="DA489" s="800"/>
      <c r="DB489" s="800"/>
      <c r="DC489" s="800"/>
      <c r="DD489" s="800"/>
      <c r="DE489" s="800"/>
      <c r="DF489" s="800"/>
      <c r="DG489" s="800"/>
      <c r="DH489" s="800"/>
      <c r="DI489" s="800"/>
      <c r="DJ489" s="800"/>
      <c r="DK489" s="800"/>
      <c r="DL489" s="800"/>
      <c r="DM489" s="800"/>
      <c r="DN489" s="800"/>
      <c r="DO489" s="800"/>
      <c r="DP489" s="800"/>
      <c r="DQ489" s="800"/>
      <c r="DR489" s="800"/>
      <c r="DS489" s="800"/>
      <c r="DT489" s="800"/>
      <c r="DU489" s="800"/>
      <c r="DV489" s="800"/>
      <c r="DW489" s="800"/>
      <c r="DX489" s="800"/>
      <c r="DY489" s="800"/>
      <c r="DZ489" s="800"/>
      <c r="EA489" s="800"/>
      <c r="EB489" s="800"/>
      <c r="EC489" s="800"/>
      <c r="ED489" s="800"/>
      <c r="EE489" s="800"/>
      <c r="EF489" s="800"/>
      <c r="EG489" s="800"/>
      <c r="EH489" s="800"/>
      <c r="EI489" s="800"/>
      <c r="EJ489" s="800"/>
      <c r="EK489" s="800"/>
      <c r="EL489" s="800"/>
      <c r="EM489" s="800"/>
      <c r="EN489" s="800"/>
      <c r="EO489" s="800"/>
      <c r="EP489" s="800"/>
      <c r="EQ489" s="800"/>
      <c r="ER489" s="800"/>
      <c r="ES489" s="800"/>
      <c r="ET489" s="800"/>
      <c r="EU489" s="800"/>
      <c r="EV489" s="800"/>
      <c r="EW489" s="800"/>
      <c r="EX489" s="800"/>
      <c r="EY489" s="800"/>
      <c r="EZ489" s="800"/>
      <c r="FA489" s="800"/>
      <c r="FB489" s="800"/>
      <c r="FC489" s="800"/>
      <c r="FD489" s="800"/>
      <c r="FE489" s="800"/>
      <c r="FF489" s="800"/>
      <c r="FG489" s="800"/>
      <c r="FH489" s="800"/>
      <c r="FI489" s="800"/>
      <c r="FJ489" s="800"/>
      <c r="FK489" s="800"/>
      <c r="FL489" s="800"/>
      <c r="FM489" s="800"/>
      <c r="FN489" s="800"/>
      <c r="FO489" s="800"/>
      <c r="FP489" s="800"/>
      <c r="FQ489" s="800"/>
      <c r="FR489" s="800"/>
      <c r="FS489" s="800"/>
      <c r="FT489" s="800"/>
      <c r="FU489" s="800"/>
      <c r="FV489" s="800"/>
      <c r="FW489" s="800"/>
      <c r="FX489" s="800"/>
      <c r="FY489" s="800"/>
      <c r="FZ489" s="800"/>
      <c r="GA489" s="800"/>
      <c r="GB489" s="800"/>
      <c r="GC489" s="800"/>
      <c r="GD489" s="800"/>
      <c r="GE489" s="800"/>
      <c r="GF489" s="800"/>
      <c r="GG489" s="800"/>
      <c r="GH489" s="800"/>
      <c r="GI489" s="800"/>
      <c r="GJ489" s="800"/>
      <c r="GK489" s="800"/>
      <c r="GL489" s="800"/>
      <c r="GM489" s="800"/>
      <c r="GN489" s="800"/>
      <c r="GO489" s="800"/>
      <c r="GP489" s="800"/>
      <c r="GQ489" s="800"/>
      <c r="GR489" s="800"/>
      <c r="GS489" s="800"/>
      <c r="GT489" s="800"/>
      <c r="GU489" s="800"/>
      <c r="GV489" s="800"/>
      <c r="GW489" s="800"/>
      <c r="GX489" s="800"/>
      <c r="GY489" s="800"/>
      <c r="GZ489" s="800"/>
      <c r="HA489" s="800"/>
      <c r="HB489" s="800"/>
      <c r="HC489" s="800"/>
      <c r="HD489" s="800"/>
      <c r="HE489" s="800"/>
      <c r="HF489" s="800"/>
      <c r="HG489" s="800"/>
      <c r="HH489" s="800"/>
      <c r="HI489" s="800"/>
      <c r="HJ489" s="800"/>
    </row>
    <row r="490" spans="1:218" s="790" customFormat="1" ht="12" customHeight="1">
      <c r="A490" s="794">
        <v>488</v>
      </c>
      <c r="B490" s="789" t="s">
        <v>145</v>
      </c>
      <c r="C490" s="789" t="s">
        <v>1299</v>
      </c>
      <c r="D490" s="840">
        <v>39417</v>
      </c>
      <c r="E490" s="840">
        <v>39753</v>
      </c>
      <c r="F490" s="857">
        <v>2007</v>
      </c>
      <c r="G490" s="789" t="s">
        <v>846</v>
      </c>
      <c r="H490" s="790" t="s">
        <v>1449</v>
      </c>
      <c r="I490" s="789" t="s">
        <v>845</v>
      </c>
      <c r="J490" s="800" t="s">
        <v>2331</v>
      </c>
      <c r="K490" s="817">
        <v>1500000</v>
      </c>
      <c r="L490" s="817">
        <v>153189</v>
      </c>
      <c r="M490" s="817">
        <v>151915</v>
      </c>
      <c r="N490" s="817">
        <v>151915</v>
      </c>
      <c r="O490" s="808">
        <f t="shared" si="32"/>
        <v>0.10127666666666667</v>
      </c>
      <c r="P490" s="817">
        <v>99</v>
      </c>
      <c r="Q490" s="817" t="s">
        <v>75</v>
      </c>
      <c r="R490" s="817" t="s">
        <v>75</v>
      </c>
      <c r="S490" s="817" t="s">
        <v>75</v>
      </c>
      <c r="T490" s="817" t="s">
        <v>849</v>
      </c>
      <c r="U490" s="817" t="s">
        <v>75</v>
      </c>
      <c r="V490" s="817" t="s">
        <v>75</v>
      </c>
      <c r="W490" s="817" t="s">
        <v>75</v>
      </c>
      <c r="X490" s="817" t="s">
        <v>75</v>
      </c>
      <c r="Y490" s="817"/>
      <c r="Z490" s="817" t="s">
        <v>75</v>
      </c>
      <c r="AA490" s="817">
        <v>1500000</v>
      </c>
      <c r="AB490" s="817">
        <v>500</v>
      </c>
      <c r="AC490" s="817" t="s">
        <v>75</v>
      </c>
      <c r="AD490" s="817" t="s">
        <v>75</v>
      </c>
      <c r="AE490" s="817" t="s">
        <v>75</v>
      </c>
      <c r="AF490" s="817" t="s">
        <v>75</v>
      </c>
      <c r="AG490" s="817" t="s">
        <v>75</v>
      </c>
      <c r="AH490" s="817" t="s">
        <v>75</v>
      </c>
      <c r="AI490" s="817" t="s">
        <v>75</v>
      </c>
      <c r="AJ490" s="787">
        <f t="shared" si="31"/>
        <v>1500000</v>
      </c>
      <c r="AK490" s="817" t="s">
        <v>75</v>
      </c>
      <c r="AL490" s="817" t="s">
        <v>75</v>
      </c>
      <c r="AM490" s="817"/>
      <c r="AN490" s="817" t="s">
        <v>75</v>
      </c>
      <c r="AO490" s="817" t="s">
        <v>75</v>
      </c>
      <c r="AP490" s="817" t="s">
        <v>75</v>
      </c>
      <c r="AQ490" s="817" t="s">
        <v>75</v>
      </c>
      <c r="AR490" s="817" t="s">
        <v>75</v>
      </c>
      <c r="AS490" s="817" t="s">
        <v>75</v>
      </c>
      <c r="AT490" s="817" t="s">
        <v>75</v>
      </c>
      <c r="AU490" s="359" t="s">
        <v>844</v>
      </c>
      <c r="AV490" s="789"/>
      <c r="AW490" s="789"/>
      <c r="AX490" s="789"/>
      <c r="AY490" s="789"/>
      <c r="AZ490" s="789"/>
      <c r="BA490" s="789"/>
      <c r="BB490" s="789"/>
      <c r="BC490" s="789"/>
      <c r="BD490" s="789"/>
      <c r="BE490" s="789"/>
      <c r="BF490" s="789"/>
      <c r="BG490" s="789"/>
      <c r="BH490" s="789"/>
      <c r="BI490" s="789"/>
      <c r="BJ490" s="789"/>
      <c r="BK490" s="789"/>
      <c r="BL490" s="789"/>
      <c r="BM490" s="789"/>
      <c r="BN490" s="800"/>
      <c r="BO490" s="800"/>
      <c r="BP490" s="800"/>
      <c r="BQ490" s="800"/>
      <c r="BR490" s="800"/>
      <c r="BS490" s="800"/>
      <c r="BT490" s="800"/>
      <c r="BU490" s="800"/>
      <c r="BV490" s="800"/>
      <c r="BW490" s="800"/>
      <c r="BX490" s="800"/>
      <c r="BY490" s="800"/>
      <c r="BZ490" s="800"/>
      <c r="CA490" s="800"/>
      <c r="CB490" s="800"/>
      <c r="CC490" s="800"/>
      <c r="CD490" s="800"/>
      <c r="CE490" s="800"/>
      <c r="CF490" s="800"/>
      <c r="CG490" s="800"/>
      <c r="CH490" s="800"/>
      <c r="CI490" s="800"/>
      <c r="CJ490" s="800"/>
      <c r="CK490" s="800"/>
      <c r="CL490" s="800"/>
      <c r="CM490" s="800"/>
      <c r="CN490" s="800"/>
      <c r="CO490" s="800"/>
      <c r="CP490" s="800"/>
      <c r="CQ490" s="800"/>
      <c r="CR490" s="800"/>
      <c r="CS490" s="800"/>
      <c r="CT490" s="800"/>
      <c r="CU490" s="800"/>
      <c r="CV490" s="800"/>
      <c r="CW490" s="800"/>
      <c r="CX490" s="800"/>
      <c r="CY490" s="800"/>
      <c r="CZ490" s="800"/>
      <c r="DA490" s="800"/>
      <c r="DB490" s="800"/>
      <c r="DC490" s="800"/>
      <c r="DD490" s="800"/>
      <c r="DE490" s="800"/>
      <c r="DF490" s="800"/>
      <c r="DG490" s="800"/>
      <c r="DH490" s="800"/>
      <c r="DI490" s="800"/>
      <c r="DJ490" s="800"/>
      <c r="DK490" s="800"/>
      <c r="DL490" s="800"/>
      <c r="DM490" s="800"/>
      <c r="DN490" s="800"/>
      <c r="DO490" s="800"/>
      <c r="DP490" s="800"/>
      <c r="DQ490" s="800"/>
      <c r="DR490" s="800"/>
      <c r="DS490" s="800"/>
      <c r="DT490" s="800"/>
      <c r="DU490" s="800"/>
      <c r="DV490" s="800"/>
      <c r="DW490" s="800"/>
      <c r="DX490" s="800"/>
      <c r="DY490" s="800"/>
      <c r="DZ490" s="800"/>
      <c r="EA490" s="800"/>
      <c r="EB490" s="800"/>
      <c r="EC490" s="800"/>
      <c r="ED490" s="800"/>
      <c r="EE490" s="800"/>
      <c r="EF490" s="800"/>
      <c r="EG490" s="800"/>
      <c r="EH490" s="800"/>
      <c r="EI490" s="800"/>
      <c r="EJ490" s="800"/>
      <c r="EK490" s="800"/>
      <c r="EL490" s="800"/>
      <c r="EM490" s="800"/>
      <c r="EN490" s="800"/>
      <c r="EO490" s="800"/>
      <c r="EP490" s="800"/>
      <c r="EQ490" s="800"/>
      <c r="ER490" s="800"/>
      <c r="ES490" s="800"/>
      <c r="ET490" s="800"/>
      <c r="EU490" s="800"/>
      <c r="EV490" s="800"/>
      <c r="EW490" s="800"/>
      <c r="EX490" s="800"/>
      <c r="EY490" s="800"/>
      <c r="EZ490" s="800"/>
      <c r="FA490" s="800"/>
      <c r="FB490" s="800"/>
      <c r="FC490" s="800"/>
      <c r="FD490" s="800"/>
      <c r="FE490" s="800"/>
      <c r="FF490" s="800"/>
      <c r="FG490" s="800"/>
      <c r="FH490" s="800"/>
      <c r="FI490" s="800"/>
      <c r="FJ490" s="800"/>
      <c r="FK490" s="800"/>
      <c r="FL490" s="800"/>
      <c r="FM490" s="800"/>
      <c r="FN490" s="800"/>
      <c r="FO490" s="800"/>
      <c r="FP490" s="800"/>
      <c r="FQ490" s="800"/>
      <c r="FR490" s="800"/>
      <c r="FS490" s="800"/>
      <c r="FT490" s="800"/>
      <c r="FU490" s="800"/>
      <c r="FV490" s="800"/>
      <c r="FW490" s="800"/>
      <c r="FX490" s="800"/>
      <c r="FY490" s="800"/>
      <c r="FZ490" s="800"/>
      <c r="GA490" s="800"/>
      <c r="GB490" s="800"/>
      <c r="GC490" s="800"/>
      <c r="GD490" s="800"/>
      <c r="GE490" s="800"/>
      <c r="GF490" s="800"/>
      <c r="GG490" s="800"/>
      <c r="GH490" s="800"/>
      <c r="GI490" s="800"/>
      <c r="GJ490" s="800"/>
      <c r="GK490" s="800"/>
      <c r="GL490" s="800"/>
      <c r="GM490" s="800"/>
      <c r="GN490" s="800"/>
      <c r="GO490" s="800"/>
      <c r="GP490" s="800"/>
      <c r="GQ490" s="800"/>
      <c r="GR490" s="800"/>
      <c r="GS490" s="800"/>
      <c r="GT490" s="800"/>
      <c r="GU490" s="800"/>
      <c r="GV490" s="800"/>
      <c r="GW490" s="800"/>
      <c r="GX490" s="800"/>
      <c r="GY490" s="800"/>
      <c r="GZ490" s="800"/>
      <c r="HA490" s="800"/>
      <c r="HB490" s="800"/>
      <c r="HC490" s="800"/>
      <c r="HD490" s="800"/>
      <c r="HE490" s="800"/>
      <c r="HF490" s="800"/>
      <c r="HG490" s="800"/>
      <c r="HH490" s="800"/>
      <c r="HI490" s="800"/>
      <c r="HJ490" s="800"/>
    </row>
    <row r="491" spans="1:218" s="790" customFormat="1" ht="17.25" customHeight="1">
      <c r="A491" s="794">
        <v>489</v>
      </c>
      <c r="B491" s="790" t="s">
        <v>145</v>
      </c>
      <c r="C491" s="800" t="s">
        <v>1299</v>
      </c>
      <c r="D491" s="824">
        <v>39142</v>
      </c>
      <c r="E491" s="824">
        <v>39539</v>
      </c>
      <c r="F491" s="857">
        <v>2007</v>
      </c>
      <c r="G491" s="790" t="s">
        <v>1860</v>
      </c>
      <c r="H491" s="790" t="s">
        <v>1452</v>
      </c>
      <c r="I491" s="790" t="s">
        <v>1859</v>
      </c>
      <c r="J491" s="800" t="s">
        <v>2331</v>
      </c>
      <c r="K491" s="787">
        <v>90000</v>
      </c>
      <c r="L491" s="787">
        <v>100000</v>
      </c>
      <c r="M491" s="787">
        <v>99985</v>
      </c>
      <c r="N491" s="787">
        <v>99985</v>
      </c>
      <c r="O491" s="808">
        <f t="shared" si="32"/>
        <v>1.1109444444444445</v>
      </c>
      <c r="P491" s="787">
        <v>100</v>
      </c>
      <c r="Q491" s="787"/>
      <c r="R491" s="787"/>
      <c r="S491" s="808"/>
      <c r="T491" s="787"/>
      <c r="U491" s="787"/>
      <c r="V491" s="787"/>
      <c r="W491" s="787"/>
      <c r="X491" s="787"/>
      <c r="Y491" s="808"/>
      <c r="Z491" s="787"/>
      <c r="AA491" s="787"/>
      <c r="AB491" s="887">
        <v>480</v>
      </c>
      <c r="AC491" s="787"/>
      <c r="AD491" s="787"/>
      <c r="AE491" s="787"/>
      <c r="AF491" s="787"/>
      <c r="AG491" s="787"/>
      <c r="AH491" s="808"/>
      <c r="AI491" s="787"/>
      <c r="AJ491" s="787">
        <f t="shared" si="31"/>
        <v>0</v>
      </c>
      <c r="AK491" s="787">
        <v>22500</v>
      </c>
      <c r="AL491" s="787">
        <v>36000</v>
      </c>
      <c r="AM491" s="787"/>
      <c r="AN491" s="787"/>
      <c r="AO491" s="787"/>
      <c r="AP491" s="787"/>
      <c r="AQ491" s="787"/>
      <c r="AR491" s="787"/>
      <c r="AS491" s="787"/>
      <c r="AT491" s="787"/>
      <c r="AU491" s="790" t="s">
        <v>1858</v>
      </c>
      <c r="BM491" s="800"/>
      <c r="BN491" s="800"/>
      <c r="BO491" s="800"/>
      <c r="BP491" s="800"/>
      <c r="BQ491" s="800"/>
      <c r="BR491" s="800"/>
      <c r="BS491" s="800"/>
      <c r="BT491" s="800"/>
      <c r="BU491" s="800"/>
      <c r="BV491" s="800"/>
      <c r="BW491" s="800"/>
      <c r="BX491" s="800"/>
      <c r="BY491" s="800"/>
      <c r="BZ491" s="800"/>
      <c r="CA491" s="800"/>
      <c r="CB491" s="800"/>
      <c r="CC491" s="800"/>
      <c r="CD491" s="800"/>
      <c r="CE491" s="800"/>
      <c r="CF491" s="800"/>
      <c r="CG491" s="800"/>
      <c r="CH491" s="800"/>
      <c r="CI491" s="800"/>
      <c r="CJ491" s="800"/>
      <c r="CK491" s="800"/>
      <c r="CL491" s="800"/>
      <c r="CM491" s="800"/>
      <c r="CN491" s="800"/>
      <c r="CO491" s="800"/>
      <c r="CP491" s="800"/>
      <c r="CQ491" s="800"/>
      <c r="CR491" s="800"/>
      <c r="CS491" s="800"/>
      <c r="CT491" s="800"/>
      <c r="CU491" s="800"/>
      <c r="CV491" s="800"/>
      <c r="CW491" s="800"/>
      <c r="CX491" s="800"/>
      <c r="CY491" s="800"/>
      <c r="CZ491" s="800"/>
      <c r="DA491" s="800"/>
      <c r="DB491" s="800"/>
      <c r="DC491" s="800"/>
      <c r="DD491" s="800"/>
      <c r="DE491" s="800"/>
      <c r="DF491" s="800"/>
      <c r="DG491" s="800"/>
      <c r="DH491" s="800"/>
      <c r="DI491" s="800"/>
      <c r="DJ491" s="800"/>
      <c r="DK491" s="800"/>
      <c r="DL491" s="800"/>
      <c r="DM491" s="800"/>
      <c r="DN491" s="800"/>
      <c r="DO491" s="800"/>
      <c r="DP491" s="800"/>
      <c r="DQ491" s="800"/>
      <c r="DR491" s="800"/>
      <c r="DS491" s="800"/>
      <c r="DT491" s="800"/>
      <c r="DU491" s="800"/>
      <c r="DV491" s="800"/>
      <c r="DW491" s="800"/>
      <c r="DX491" s="800"/>
      <c r="DY491" s="800"/>
      <c r="DZ491" s="800"/>
      <c r="EA491" s="800"/>
      <c r="EB491" s="800"/>
      <c r="EC491" s="800"/>
      <c r="ED491" s="800"/>
      <c r="EE491" s="800"/>
      <c r="EF491" s="800"/>
      <c r="EG491" s="800"/>
      <c r="EH491" s="800"/>
      <c r="EI491" s="800"/>
      <c r="EJ491" s="800"/>
      <c r="EK491" s="800"/>
      <c r="EL491" s="800"/>
      <c r="EM491" s="800"/>
      <c r="EN491" s="800"/>
      <c r="EO491" s="800"/>
      <c r="EP491" s="800"/>
      <c r="EQ491" s="800"/>
      <c r="ER491" s="800"/>
      <c r="ES491" s="800"/>
      <c r="ET491" s="800"/>
      <c r="EU491" s="800"/>
      <c r="EV491" s="800"/>
      <c r="EW491" s="800"/>
      <c r="EX491" s="800"/>
      <c r="EY491" s="800"/>
      <c r="EZ491" s="800"/>
      <c r="FA491" s="800"/>
      <c r="FB491" s="800"/>
      <c r="FC491" s="800"/>
      <c r="FD491" s="800"/>
      <c r="FE491" s="800"/>
      <c r="FF491" s="800"/>
      <c r="FG491" s="800"/>
      <c r="FH491" s="800"/>
      <c r="FI491" s="800"/>
      <c r="FJ491" s="800"/>
      <c r="FK491" s="800"/>
      <c r="FL491" s="800"/>
      <c r="FM491" s="800"/>
      <c r="FN491" s="800"/>
      <c r="FO491" s="800"/>
      <c r="FP491" s="800"/>
      <c r="FQ491" s="800"/>
      <c r="FR491" s="800"/>
      <c r="FS491" s="800"/>
      <c r="FT491" s="800"/>
      <c r="FU491" s="800"/>
      <c r="FV491" s="800"/>
      <c r="FW491" s="800"/>
      <c r="FX491" s="800"/>
      <c r="FY491" s="800"/>
      <c r="FZ491" s="800"/>
      <c r="GA491" s="800"/>
      <c r="GB491" s="800"/>
      <c r="GC491" s="800"/>
      <c r="GD491" s="800"/>
      <c r="GE491" s="800"/>
      <c r="GF491" s="800"/>
      <c r="GG491" s="800"/>
      <c r="GH491" s="800"/>
      <c r="GI491" s="800"/>
      <c r="GJ491" s="800"/>
      <c r="GK491" s="800"/>
      <c r="GL491" s="800"/>
      <c r="GM491" s="800"/>
      <c r="GN491" s="800"/>
      <c r="GO491" s="800"/>
      <c r="GP491" s="800"/>
      <c r="GQ491" s="800"/>
      <c r="GR491" s="800"/>
      <c r="GS491" s="800"/>
      <c r="GT491" s="800"/>
      <c r="GU491" s="800"/>
      <c r="GV491" s="800"/>
      <c r="GW491" s="800"/>
      <c r="GX491" s="800"/>
      <c r="GY491" s="800"/>
      <c r="GZ491" s="800"/>
      <c r="HA491" s="800"/>
      <c r="HB491" s="800"/>
      <c r="HC491" s="800"/>
      <c r="HD491" s="800"/>
      <c r="HE491" s="800"/>
      <c r="HF491" s="800"/>
      <c r="HG491" s="800"/>
      <c r="HH491" s="800"/>
      <c r="HI491" s="800"/>
      <c r="HJ491" s="800"/>
    </row>
    <row r="492" spans="1:218" s="800" customFormat="1" ht="19.5" customHeight="1">
      <c r="A492" s="794">
        <v>490</v>
      </c>
      <c r="B492" s="846" t="s">
        <v>1445</v>
      </c>
      <c r="C492" s="846" t="s">
        <v>1261</v>
      </c>
      <c r="D492" s="886">
        <v>39264</v>
      </c>
      <c r="E492" s="886">
        <v>40878</v>
      </c>
      <c r="F492" s="857">
        <v>2007</v>
      </c>
      <c r="G492" s="846" t="s">
        <v>1446</v>
      </c>
      <c r="H492" s="800" t="s">
        <v>1458</v>
      </c>
      <c r="I492" s="846" t="s">
        <v>1949</v>
      </c>
      <c r="J492" s="812" t="s">
        <v>2438</v>
      </c>
      <c r="K492" s="885">
        <v>360500</v>
      </c>
      <c r="L492" s="885">
        <v>14105138</v>
      </c>
      <c r="M492" s="842">
        <v>7999558</v>
      </c>
      <c r="N492" s="885">
        <v>7548375</v>
      </c>
      <c r="O492" s="808">
        <f t="shared" si="32"/>
        <v>20.938626907073509</v>
      </c>
      <c r="P492" s="885">
        <v>57</v>
      </c>
      <c r="Q492" s="885"/>
      <c r="R492" s="885"/>
      <c r="S492" s="885">
        <v>160000</v>
      </c>
      <c r="T492" s="885"/>
      <c r="U492" s="885"/>
      <c r="V492" s="885"/>
      <c r="W492" s="885">
        <v>116630</v>
      </c>
      <c r="X492" s="885">
        <v>695716</v>
      </c>
      <c r="Y492" s="808">
        <f>X492/S492</f>
        <v>4.3482250000000002</v>
      </c>
      <c r="Z492" s="885"/>
      <c r="AA492" s="885"/>
      <c r="AB492" s="885"/>
      <c r="AC492" s="885">
        <v>100</v>
      </c>
      <c r="AD492" s="885"/>
      <c r="AE492" s="885"/>
      <c r="AF492" s="885"/>
      <c r="AG492" s="885"/>
      <c r="AH492" s="885">
        <v>67228</v>
      </c>
      <c r="AI492" s="885"/>
      <c r="AJ492" s="808">
        <f t="shared" si="31"/>
        <v>67228</v>
      </c>
      <c r="AK492" s="885">
        <v>157308</v>
      </c>
      <c r="AL492" s="885">
        <v>148539</v>
      </c>
      <c r="AM492" s="885"/>
      <c r="AN492" s="885">
        <v>1</v>
      </c>
      <c r="AO492" s="885">
        <v>1</v>
      </c>
      <c r="AP492" s="885">
        <v>1</v>
      </c>
      <c r="AQ492" s="885"/>
      <c r="AR492" s="885">
        <v>1</v>
      </c>
      <c r="AS492" s="885"/>
      <c r="AT492" s="885"/>
      <c r="AU492" s="356" t="s">
        <v>1948</v>
      </c>
      <c r="AV492" s="846"/>
      <c r="AW492" s="846"/>
      <c r="AX492" s="846"/>
      <c r="AY492" s="846"/>
      <c r="AZ492" s="846"/>
      <c r="BA492" s="846"/>
      <c r="BB492" s="846"/>
      <c r="BC492" s="846"/>
      <c r="BD492" s="846"/>
      <c r="BE492" s="846"/>
      <c r="BF492" s="846"/>
      <c r="BG492" s="846"/>
      <c r="BH492" s="846"/>
      <c r="BI492" s="846"/>
      <c r="BJ492" s="846"/>
      <c r="BK492" s="846"/>
      <c r="BL492" s="846"/>
      <c r="BM492" s="846"/>
    </row>
    <row r="493" spans="1:218" s="790" customFormat="1" ht="21.75" customHeight="1">
      <c r="A493" s="794">
        <v>491</v>
      </c>
      <c r="B493" s="789" t="s">
        <v>124</v>
      </c>
      <c r="C493" s="789" t="s">
        <v>1278</v>
      </c>
      <c r="D493" s="840">
        <v>39203</v>
      </c>
      <c r="E493" s="840">
        <v>39295</v>
      </c>
      <c r="F493" s="857">
        <v>2007</v>
      </c>
      <c r="G493" s="789" t="s">
        <v>127</v>
      </c>
      <c r="H493" s="800" t="s">
        <v>1452</v>
      </c>
      <c r="I493" s="789" t="s">
        <v>230</v>
      </c>
      <c r="J493" s="800" t="s">
        <v>2331</v>
      </c>
      <c r="K493" s="817">
        <v>42642</v>
      </c>
      <c r="L493" s="817">
        <v>67597</v>
      </c>
      <c r="M493" s="817">
        <v>67597</v>
      </c>
      <c r="N493" s="817">
        <v>67597</v>
      </c>
      <c r="O493" s="808">
        <f t="shared" si="32"/>
        <v>1.5852211434735706</v>
      </c>
      <c r="P493" s="817">
        <v>100</v>
      </c>
      <c r="Q493" s="817" t="s">
        <v>75</v>
      </c>
      <c r="R493" s="817" t="s">
        <v>75</v>
      </c>
      <c r="S493" s="817" t="s">
        <v>75</v>
      </c>
      <c r="T493" s="817" t="s">
        <v>233</v>
      </c>
      <c r="U493" s="817"/>
      <c r="V493" s="817" t="s">
        <v>134</v>
      </c>
      <c r="W493" s="817" t="s">
        <v>66</v>
      </c>
      <c r="X493" s="817" t="s">
        <v>66</v>
      </c>
      <c r="Y493" s="817"/>
      <c r="Z493" s="817">
        <v>50</v>
      </c>
      <c r="AA493" s="817"/>
      <c r="AB493" s="817"/>
      <c r="AC493" s="817">
        <v>23</v>
      </c>
      <c r="AD493" s="817"/>
      <c r="AE493" s="817"/>
      <c r="AF493" s="817" t="s">
        <v>75</v>
      </c>
      <c r="AG493" s="817" t="s">
        <v>75</v>
      </c>
      <c r="AH493" s="817">
        <v>42642</v>
      </c>
      <c r="AI493" s="817">
        <v>1473</v>
      </c>
      <c r="AJ493" s="787">
        <f t="shared" si="31"/>
        <v>42692</v>
      </c>
      <c r="AK493" s="817" t="s">
        <v>66</v>
      </c>
      <c r="AL493" s="817" t="s">
        <v>66</v>
      </c>
      <c r="AM493" s="817"/>
      <c r="AN493" s="817" t="s">
        <v>75</v>
      </c>
      <c r="AO493" s="817" t="s">
        <v>75</v>
      </c>
      <c r="AP493" s="817" t="s">
        <v>75</v>
      </c>
      <c r="AQ493" s="817" t="s">
        <v>75</v>
      </c>
      <c r="AR493" s="817" t="s">
        <v>75</v>
      </c>
      <c r="AS493" s="817" t="s">
        <v>75</v>
      </c>
      <c r="AT493" s="817" t="s">
        <v>75</v>
      </c>
      <c r="AU493" s="363" t="s">
        <v>125</v>
      </c>
      <c r="AV493" s="789"/>
      <c r="AW493" s="789"/>
      <c r="AX493" s="789"/>
      <c r="AY493" s="789"/>
      <c r="AZ493" s="789"/>
      <c r="BA493" s="789"/>
      <c r="BB493" s="789"/>
      <c r="BC493" s="789"/>
      <c r="BD493" s="789"/>
      <c r="BE493" s="789"/>
      <c r="BF493" s="789"/>
      <c r="BG493" s="789"/>
      <c r="BH493" s="789"/>
      <c r="BI493" s="789"/>
      <c r="BJ493" s="789"/>
      <c r="BK493" s="789"/>
      <c r="BL493" s="789"/>
      <c r="BM493" s="789"/>
      <c r="BN493" s="800"/>
      <c r="BO493" s="800"/>
      <c r="BP493" s="800"/>
      <c r="BQ493" s="800"/>
      <c r="BR493" s="800"/>
      <c r="BS493" s="800"/>
      <c r="BT493" s="800"/>
      <c r="BU493" s="800"/>
      <c r="BV493" s="800"/>
      <c r="BW493" s="800"/>
      <c r="BX493" s="800"/>
      <c r="BY493" s="800"/>
      <c r="BZ493" s="800"/>
      <c r="CA493" s="800"/>
      <c r="CB493" s="800"/>
      <c r="CC493" s="800"/>
      <c r="CD493" s="800"/>
      <c r="CE493" s="800"/>
      <c r="CF493" s="800"/>
      <c r="CG493" s="800"/>
      <c r="CH493" s="800"/>
      <c r="CI493" s="800"/>
      <c r="CJ493" s="800"/>
      <c r="CK493" s="800"/>
      <c r="CL493" s="800"/>
      <c r="CM493" s="800"/>
      <c r="CN493" s="800"/>
      <c r="CO493" s="800"/>
      <c r="CP493" s="800"/>
      <c r="CQ493" s="800"/>
      <c r="CR493" s="800"/>
      <c r="CS493" s="800"/>
      <c r="CT493" s="800"/>
      <c r="CU493" s="800"/>
      <c r="CV493" s="800"/>
      <c r="CW493" s="800"/>
      <c r="CX493" s="800"/>
      <c r="CY493" s="800"/>
      <c r="CZ493" s="800"/>
      <c r="DA493" s="800"/>
      <c r="DB493" s="800"/>
      <c r="DC493" s="800"/>
      <c r="DD493" s="800"/>
      <c r="DE493" s="800"/>
      <c r="DF493" s="800"/>
      <c r="DG493" s="800"/>
      <c r="DH493" s="800"/>
      <c r="DI493" s="800"/>
      <c r="DJ493" s="800"/>
      <c r="DK493" s="800"/>
      <c r="DL493" s="800"/>
      <c r="DM493" s="800"/>
      <c r="DN493" s="800"/>
      <c r="DO493" s="800"/>
      <c r="DP493" s="800"/>
      <c r="DQ493" s="800"/>
      <c r="DR493" s="800"/>
      <c r="DS493" s="800"/>
      <c r="DT493" s="800"/>
      <c r="DU493" s="800"/>
      <c r="DV493" s="800"/>
      <c r="DW493" s="800"/>
      <c r="DX493" s="800"/>
      <c r="DY493" s="800"/>
      <c r="DZ493" s="800"/>
      <c r="EA493" s="800"/>
      <c r="EB493" s="800"/>
      <c r="EC493" s="800"/>
      <c r="ED493" s="800"/>
      <c r="EE493" s="800"/>
      <c r="EF493" s="800"/>
      <c r="EG493" s="800"/>
      <c r="EH493" s="800"/>
      <c r="EI493" s="800"/>
      <c r="EJ493" s="800"/>
      <c r="EK493" s="800"/>
      <c r="EL493" s="800"/>
      <c r="EM493" s="800"/>
      <c r="EN493" s="800"/>
      <c r="EO493" s="800"/>
      <c r="EP493" s="800"/>
      <c r="EQ493" s="800"/>
      <c r="ER493" s="800"/>
      <c r="ES493" s="800"/>
      <c r="ET493" s="800"/>
      <c r="EU493" s="800"/>
      <c r="EV493" s="800"/>
      <c r="EW493" s="800"/>
      <c r="EX493" s="800"/>
      <c r="EY493" s="800"/>
      <c r="EZ493" s="800"/>
      <c r="FA493" s="800"/>
      <c r="FB493" s="800"/>
      <c r="FC493" s="800"/>
      <c r="FD493" s="800"/>
      <c r="FE493" s="800"/>
      <c r="FF493" s="800"/>
      <c r="FG493" s="800"/>
      <c r="FH493" s="800"/>
      <c r="FI493" s="800"/>
      <c r="FJ493" s="800"/>
      <c r="FK493" s="800"/>
      <c r="FL493" s="800"/>
      <c r="FM493" s="800"/>
      <c r="FN493" s="800"/>
      <c r="FO493" s="800"/>
      <c r="FP493" s="800"/>
      <c r="FQ493" s="800"/>
      <c r="FR493" s="800"/>
      <c r="FS493" s="800"/>
      <c r="FT493" s="800"/>
      <c r="FU493" s="800"/>
      <c r="FV493" s="800"/>
      <c r="FW493" s="800"/>
      <c r="FX493" s="800"/>
      <c r="FY493" s="800"/>
      <c r="FZ493" s="800"/>
      <c r="GA493" s="800"/>
      <c r="GB493" s="800"/>
      <c r="GC493" s="800"/>
      <c r="GD493" s="800"/>
      <c r="GE493" s="800"/>
      <c r="GF493" s="800"/>
      <c r="GG493" s="800"/>
      <c r="GH493" s="800"/>
      <c r="GI493" s="800"/>
      <c r="GJ493" s="800"/>
      <c r="GK493" s="800"/>
      <c r="GL493" s="800"/>
      <c r="GM493" s="800"/>
      <c r="GN493" s="800"/>
      <c r="GO493" s="800"/>
      <c r="GP493" s="800"/>
      <c r="GQ493" s="800"/>
      <c r="GR493" s="800"/>
      <c r="GS493" s="800"/>
      <c r="GT493" s="800"/>
      <c r="GU493" s="800"/>
      <c r="GV493" s="800"/>
      <c r="GW493" s="800"/>
      <c r="GX493" s="800"/>
      <c r="GY493" s="800"/>
      <c r="GZ493" s="800"/>
      <c r="HA493" s="800"/>
      <c r="HB493" s="800"/>
      <c r="HC493" s="800"/>
      <c r="HD493" s="800"/>
      <c r="HE493" s="800"/>
      <c r="HF493" s="800"/>
      <c r="HG493" s="800"/>
      <c r="HH493" s="800"/>
      <c r="HI493" s="800"/>
      <c r="HJ493" s="800"/>
    </row>
    <row r="494" spans="1:218" s="800" customFormat="1" ht="15">
      <c r="A494" s="794">
        <v>492</v>
      </c>
      <c r="B494" s="800" t="s">
        <v>1817</v>
      </c>
      <c r="C494" s="800" t="s">
        <v>1286</v>
      </c>
      <c r="D494" s="819">
        <v>39142</v>
      </c>
      <c r="E494" s="819">
        <v>39234</v>
      </c>
      <c r="F494" s="857">
        <v>2007</v>
      </c>
      <c r="G494" s="800" t="s">
        <v>781</v>
      </c>
      <c r="H494" s="884" t="s">
        <v>1453</v>
      </c>
      <c r="I494" s="800" t="s">
        <v>1862</v>
      </c>
      <c r="J494" s="800" t="s">
        <v>2331</v>
      </c>
      <c r="K494" s="808">
        <f>150*5</f>
        <v>750</v>
      </c>
      <c r="L494" s="808">
        <v>7500</v>
      </c>
      <c r="M494" s="808">
        <v>7500</v>
      </c>
      <c r="N494" s="808">
        <v>5532</v>
      </c>
      <c r="O494" s="808">
        <f t="shared" si="32"/>
        <v>7.3760000000000003</v>
      </c>
      <c r="P494" s="808">
        <v>100</v>
      </c>
      <c r="Q494" s="808"/>
      <c r="R494" s="808"/>
      <c r="S494" s="808"/>
      <c r="T494" s="808"/>
      <c r="U494" s="808"/>
      <c r="V494" s="808"/>
      <c r="W494" s="808"/>
      <c r="X494" s="808"/>
      <c r="Y494" s="808"/>
      <c r="Z494" s="808"/>
      <c r="AA494" s="808"/>
      <c r="AB494" s="808">
        <v>30</v>
      </c>
      <c r="AC494" s="808"/>
      <c r="AD494" s="808"/>
      <c r="AE494" s="808"/>
      <c r="AF494" s="808"/>
      <c r="AG494" s="808"/>
      <c r="AH494" s="808"/>
      <c r="AI494" s="808"/>
      <c r="AJ494" s="808">
        <f t="shared" si="31"/>
        <v>0</v>
      </c>
      <c r="AK494" s="808"/>
      <c r="AL494" s="808"/>
      <c r="AM494" s="808"/>
      <c r="AN494" s="808"/>
      <c r="AO494" s="808"/>
      <c r="AP494" s="808"/>
      <c r="AQ494" s="808"/>
      <c r="AR494" s="808"/>
      <c r="AS494" s="808"/>
      <c r="AT494" s="808"/>
      <c r="AU494" s="800" t="s">
        <v>1861</v>
      </c>
    </row>
    <row r="495" spans="1:218" s="790" customFormat="1" ht="22.5" customHeight="1">
      <c r="A495" s="794">
        <v>493</v>
      </c>
      <c r="B495" s="785" t="s">
        <v>649</v>
      </c>
      <c r="C495" s="785" t="s">
        <v>1261</v>
      </c>
      <c r="D495" s="792">
        <v>39406</v>
      </c>
      <c r="E495" s="792">
        <v>39813</v>
      </c>
      <c r="F495" s="857">
        <v>2007</v>
      </c>
      <c r="G495" s="789" t="s">
        <v>648</v>
      </c>
      <c r="H495" s="790" t="s">
        <v>1450</v>
      </c>
      <c r="I495" s="785" t="s">
        <v>647</v>
      </c>
      <c r="J495" s="812" t="s">
        <v>2438</v>
      </c>
      <c r="K495" s="842">
        <v>13000</v>
      </c>
      <c r="L495" s="842">
        <v>740642</v>
      </c>
      <c r="M495" s="842">
        <v>562566</v>
      </c>
      <c r="N495" s="842">
        <v>562566</v>
      </c>
      <c r="O495" s="808">
        <f t="shared" si="32"/>
        <v>43.274307692307694</v>
      </c>
      <c r="P495" s="842">
        <v>76</v>
      </c>
      <c r="Q495" s="842">
        <v>20000</v>
      </c>
      <c r="R495" s="838" t="s">
        <v>339</v>
      </c>
      <c r="S495" s="842">
        <v>20000</v>
      </c>
      <c r="T495" s="842" t="s">
        <v>95</v>
      </c>
      <c r="U495" s="842">
        <v>200</v>
      </c>
      <c r="V495" s="842">
        <v>2140</v>
      </c>
      <c r="W495" s="842">
        <v>41000</v>
      </c>
      <c r="X495" s="842">
        <v>24886</v>
      </c>
      <c r="Y495" s="808">
        <f>X495/S495</f>
        <v>1.2443</v>
      </c>
      <c r="Z495" s="842" t="s">
        <v>75</v>
      </c>
      <c r="AA495" s="842" t="s">
        <v>75</v>
      </c>
      <c r="AB495" s="842" t="s">
        <v>75</v>
      </c>
      <c r="AC495" s="842" t="s">
        <v>75</v>
      </c>
      <c r="AD495" s="842" t="s">
        <v>75</v>
      </c>
      <c r="AE495" s="842">
        <v>12292</v>
      </c>
      <c r="AF495" s="842" t="s">
        <v>75</v>
      </c>
      <c r="AG495" s="842" t="s">
        <v>75</v>
      </c>
      <c r="AH495" s="842" t="s">
        <v>75</v>
      </c>
      <c r="AI495" s="842" t="s">
        <v>75</v>
      </c>
      <c r="AJ495" s="787">
        <f t="shared" si="31"/>
        <v>0</v>
      </c>
      <c r="AK495" s="842" t="s">
        <v>75</v>
      </c>
      <c r="AL495" s="842" t="s">
        <v>75</v>
      </c>
      <c r="AM495" s="842"/>
      <c r="AN495" s="842" t="s">
        <v>75</v>
      </c>
      <c r="AO495" s="842" t="s">
        <v>75</v>
      </c>
      <c r="AP495" s="842" t="s">
        <v>75</v>
      </c>
      <c r="AQ495" s="842" t="s">
        <v>75</v>
      </c>
      <c r="AR495" s="842" t="s">
        <v>75</v>
      </c>
      <c r="AS495" s="842" t="s">
        <v>75</v>
      </c>
      <c r="AT495" s="842" t="s">
        <v>75</v>
      </c>
      <c r="AU495" s="344" t="s">
        <v>646</v>
      </c>
      <c r="AV495" s="785"/>
      <c r="AW495" s="785"/>
      <c r="AX495" s="785"/>
      <c r="AY495" s="785"/>
      <c r="AZ495" s="785"/>
      <c r="BA495" s="785"/>
      <c r="BB495" s="785"/>
      <c r="BC495" s="785"/>
      <c r="BD495" s="785"/>
      <c r="BE495" s="785"/>
      <c r="BF495" s="785"/>
      <c r="BG495" s="785"/>
      <c r="BH495" s="785"/>
      <c r="BI495" s="785"/>
      <c r="BJ495" s="785"/>
      <c r="BK495" s="785"/>
      <c r="BL495" s="785"/>
      <c r="BM495" s="785"/>
      <c r="BN495" s="800"/>
      <c r="BO495" s="800"/>
      <c r="BP495" s="800"/>
      <c r="BQ495" s="800"/>
      <c r="BR495" s="800"/>
      <c r="BS495" s="800"/>
      <c r="BT495" s="800"/>
      <c r="BU495" s="800"/>
      <c r="BV495" s="800"/>
      <c r="BW495" s="800"/>
      <c r="BX495" s="800"/>
      <c r="BY495" s="800"/>
      <c r="BZ495" s="800"/>
      <c r="CA495" s="800"/>
      <c r="CB495" s="800"/>
      <c r="CC495" s="800"/>
      <c r="CD495" s="800"/>
      <c r="CE495" s="800"/>
      <c r="CF495" s="800"/>
      <c r="CG495" s="800"/>
      <c r="CH495" s="800"/>
      <c r="CI495" s="800"/>
      <c r="CJ495" s="800"/>
      <c r="CK495" s="800"/>
      <c r="CL495" s="800"/>
      <c r="CM495" s="800"/>
      <c r="CN495" s="800"/>
      <c r="CO495" s="800"/>
      <c r="CP495" s="800"/>
      <c r="CQ495" s="800"/>
      <c r="CR495" s="800"/>
      <c r="CS495" s="800"/>
      <c r="CT495" s="800"/>
      <c r="CU495" s="800"/>
      <c r="CV495" s="800"/>
      <c r="CW495" s="800"/>
      <c r="CX495" s="800"/>
      <c r="CY495" s="800"/>
      <c r="CZ495" s="800"/>
      <c r="DA495" s="800"/>
      <c r="DB495" s="800"/>
      <c r="DC495" s="800"/>
      <c r="DD495" s="800"/>
      <c r="DE495" s="800"/>
      <c r="DF495" s="800"/>
      <c r="DG495" s="800"/>
      <c r="DH495" s="800"/>
      <c r="DI495" s="800"/>
      <c r="DJ495" s="800"/>
      <c r="DK495" s="800"/>
      <c r="DL495" s="800"/>
      <c r="DM495" s="800"/>
      <c r="DN495" s="800"/>
      <c r="DO495" s="800"/>
      <c r="DP495" s="800"/>
      <c r="DQ495" s="800"/>
      <c r="DR495" s="800"/>
      <c r="DS495" s="800"/>
      <c r="DT495" s="800"/>
      <c r="DU495" s="800"/>
      <c r="DV495" s="800"/>
      <c r="DW495" s="800"/>
      <c r="DX495" s="800"/>
      <c r="DY495" s="800"/>
      <c r="DZ495" s="800"/>
      <c r="EA495" s="800"/>
      <c r="EB495" s="800"/>
      <c r="EC495" s="800"/>
      <c r="ED495" s="800"/>
      <c r="EE495" s="800"/>
      <c r="EF495" s="800"/>
      <c r="EG495" s="800"/>
      <c r="EH495" s="800"/>
      <c r="EI495" s="800"/>
      <c r="EJ495" s="800"/>
      <c r="EK495" s="800"/>
      <c r="EL495" s="800"/>
      <c r="EM495" s="800"/>
      <c r="EN495" s="800"/>
      <c r="EO495" s="800"/>
      <c r="EP495" s="800"/>
      <c r="EQ495" s="800"/>
      <c r="ER495" s="800"/>
      <c r="ES495" s="800"/>
      <c r="ET495" s="800"/>
      <c r="EU495" s="800"/>
      <c r="EV495" s="800"/>
      <c r="EW495" s="800"/>
      <c r="EX495" s="800"/>
      <c r="EY495" s="800"/>
      <c r="EZ495" s="800"/>
      <c r="FA495" s="800"/>
      <c r="FB495" s="800"/>
      <c r="FC495" s="800"/>
      <c r="FD495" s="800"/>
      <c r="FE495" s="800"/>
      <c r="FF495" s="800"/>
      <c r="FG495" s="800"/>
      <c r="FH495" s="800"/>
      <c r="FI495" s="800"/>
      <c r="FJ495" s="800"/>
      <c r="FK495" s="800"/>
      <c r="FL495" s="800"/>
      <c r="FM495" s="800"/>
      <c r="FN495" s="800"/>
      <c r="FO495" s="800"/>
      <c r="FP495" s="800"/>
      <c r="FQ495" s="800"/>
      <c r="FR495" s="800"/>
      <c r="FS495" s="800"/>
      <c r="FT495" s="800"/>
      <c r="FU495" s="800"/>
      <c r="FV495" s="800"/>
      <c r="FW495" s="800"/>
      <c r="FX495" s="800"/>
      <c r="FY495" s="800"/>
      <c r="FZ495" s="800"/>
      <c r="GA495" s="800"/>
      <c r="GB495" s="800"/>
      <c r="GC495" s="800"/>
      <c r="GD495" s="800"/>
      <c r="GE495" s="800"/>
      <c r="GF495" s="800"/>
      <c r="GG495" s="800"/>
      <c r="GH495" s="800"/>
      <c r="GI495" s="800"/>
      <c r="GJ495" s="800"/>
      <c r="GK495" s="800"/>
      <c r="GL495" s="800"/>
      <c r="GM495" s="800"/>
      <c r="GN495" s="800"/>
      <c r="GO495" s="800"/>
      <c r="GP495" s="800"/>
      <c r="GQ495" s="800"/>
      <c r="GR495" s="800"/>
      <c r="GS495" s="800"/>
      <c r="GT495" s="800"/>
      <c r="GU495" s="800"/>
      <c r="GV495" s="800"/>
      <c r="GW495" s="800"/>
      <c r="GX495" s="800"/>
      <c r="GY495" s="800"/>
      <c r="GZ495" s="800"/>
      <c r="HA495" s="800"/>
      <c r="HB495" s="800"/>
      <c r="HC495" s="800"/>
      <c r="HD495" s="800"/>
      <c r="HE495" s="800"/>
      <c r="HF495" s="800"/>
      <c r="HG495" s="800"/>
      <c r="HH495" s="800"/>
      <c r="HI495" s="800"/>
      <c r="HJ495" s="800"/>
    </row>
    <row r="496" spans="1:218" s="882" customFormat="1" ht="15">
      <c r="A496" s="794">
        <v>494</v>
      </c>
      <c r="B496" s="790" t="s">
        <v>1475</v>
      </c>
      <c r="C496" s="800" t="s">
        <v>1286</v>
      </c>
      <c r="D496" s="824">
        <v>39083</v>
      </c>
      <c r="E496" s="824">
        <v>39173</v>
      </c>
      <c r="F496" s="857">
        <v>2007</v>
      </c>
      <c r="G496" s="790" t="s">
        <v>914</v>
      </c>
      <c r="H496" s="790" t="s">
        <v>1449</v>
      </c>
      <c r="I496" s="790" t="s">
        <v>1866</v>
      </c>
      <c r="J496" s="800" t="s">
        <v>2331</v>
      </c>
      <c r="K496" s="787">
        <v>23029</v>
      </c>
      <c r="L496" s="787">
        <v>68000</v>
      </c>
      <c r="M496" s="787">
        <v>67994</v>
      </c>
      <c r="N496" s="787">
        <v>67994</v>
      </c>
      <c r="O496" s="808">
        <f t="shared" si="32"/>
        <v>2.9525381041295757</v>
      </c>
      <c r="P496" s="787">
        <v>100</v>
      </c>
      <c r="Q496" s="787"/>
      <c r="R496" s="787"/>
      <c r="S496" s="808"/>
      <c r="T496" s="787"/>
      <c r="U496" s="787">
        <v>608</v>
      </c>
      <c r="V496" s="787">
        <v>23029</v>
      </c>
      <c r="W496" s="787"/>
      <c r="X496" s="787"/>
      <c r="Y496" s="808"/>
      <c r="Z496" s="787"/>
      <c r="AA496" s="787">
        <v>23029</v>
      </c>
      <c r="AB496" s="787">
        <v>608</v>
      </c>
      <c r="AC496" s="787"/>
      <c r="AD496" s="787"/>
      <c r="AE496" s="787">
        <v>861</v>
      </c>
      <c r="AF496" s="787"/>
      <c r="AG496" s="787"/>
      <c r="AH496" s="808">
        <v>194</v>
      </c>
      <c r="AI496" s="787"/>
      <c r="AJ496" s="787">
        <f t="shared" si="31"/>
        <v>23223</v>
      </c>
      <c r="AK496" s="808">
        <v>9656</v>
      </c>
      <c r="AL496" s="787">
        <v>2338</v>
      </c>
      <c r="AM496" s="787"/>
      <c r="AN496" s="787"/>
      <c r="AO496" s="787"/>
      <c r="AP496" s="787"/>
      <c r="AQ496" s="787"/>
      <c r="AR496" s="787"/>
      <c r="AS496" s="787"/>
      <c r="AT496" s="787" t="s">
        <v>2</v>
      </c>
      <c r="AU496" s="790" t="s">
        <v>1865</v>
      </c>
      <c r="AV496" s="790"/>
      <c r="AW496" s="790"/>
      <c r="AX496" s="790"/>
      <c r="AY496" s="790"/>
      <c r="AZ496" s="790"/>
      <c r="BA496" s="790"/>
      <c r="BB496" s="790"/>
      <c r="BC496" s="790"/>
      <c r="BD496" s="790"/>
      <c r="BE496" s="790"/>
      <c r="BF496" s="790"/>
      <c r="BG496" s="790"/>
      <c r="BH496" s="790"/>
      <c r="BI496" s="790"/>
      <c r="BJ496" s="790"/>
      <c r="BK496" s="790"/>
      <c r="BL496" s="790"/>
      <c r="BM496" s="800"/>
      <c r="BN496" s="800"/>
      <c r="BO496" s="800"/>
      <c r="BP496" s="800"/>
      <c r="BQ496" s="800"/>
      <c r="BR496" s="800"/>
      <c r="BS496" s="800"/>
      <c r="BT496" s="800"/>
      <c r="BU496" s="800"/>
      <c r="BV496" s="800"/>
      <c r="BW496" s="800"/>
      <c r="BX496" s="800"/>
      <c r="BY496" s="800"/>
      <c r="BZ496" s="800"/>
      <c r="CA496" s="800"/>
      <c r="CB496" s="800"/>
      <c r="CC496" s="800"/>
      <c r="CD496" s="800"/>
      <c r="CE496" s="800"/>
      <c r="CF496" s="800"/>
      <c r="CG496" s="800"/>
      <c r="CH496" s="800"/>
      <c r="CI496" s="800"/>
      <c r="CJ496" s="800"/>
      <c r="CK496" s="800"/>
      <c r="CL496" s="800"/>
      <c r="CM496" s="800"/>
      <c r="CN496" s="800"/>
      <c r="CO496" s="800"/>
      <c r="CP496" s="800"/>
      <c r="CQ496" s="800"/>
      <c r="CR496" s="800"/>
      <c r="CS496" s="800"/>
      <c r="CT496" s="800"/>
      <c r="CU496" s="800"/>
      <c r="CV496" s="800"/>
      <c r="CW496" s="800"/>
      <c r="CX496" s="800"/>
      <c r="CY496" s="800"/>
      <c r="CZ496" s="800"/>
      <c r="DA496" s="800"/>
      <c r="DB496" s="800"/>
      <c r="DC496" s="800"/>
      <c r="DD496" s="800"/>
      <c r="DE496" s="800"/>
      <c r="DF496" s="800"/>
      <c r="DG496" s="800"/>
      <c r="DH496" s="800"/>
      <c r="DI496" s="800"/>
      <c r="DJ496" s="800"/>
      <c r="DK496" s="800"/>
      <c r="DL496" s="800"/>
      <c r="DM496" s="800"/>
      <c r="DN496" s="800"/>
      <c r="DO496" s="800"/>
      <c r="DP496" s="800"/>
      <c r="DQ496" s="800"/>
      <c r="DR496" s="800"/>
      <c r="DS496" s="800"/>
      <c r="DT496" s="800"/>
      <c r="DU496" s="800"/>
      <c r="DV496" s="800"/>
      <c r="DW496" s="800"/>
      <c r="DX496" s="800"/>
      <c r="DY496" s="800"/>
      <c r="DZ496" s="800"/>
      <c r="EA496" s="800"/>
      <c r="EB496" s="800"/>
      <c r="EC496" s="800"/>
      <c r="ED496" s="800"/>
      <c r="EE496" s="800"/>
      <c r="EF496" s="800"/>
      <c r="EG496" s="800"/>
      <c r="EH496" s="800"/>
      <c r="EI496" s="800"/>
      <c r="EJ496" s="800"/>
      <c r="EK496" s="800"/>
      <c r="EL496" s="800"/>
      <c r="EM496" s="800"/>
      <c r="EN496" s="800"/>
      <c r="EO496" s="800"/>
      <c r="EP496" s="800"/>
      <c r="EQ496" s="800"/>
      <c r="ER496" s="800"/>
      <c r="ES496" s="800"/>
      <c r="ET496" s="800"/>
      <c r="EU496" s="800"/>
      <c r="EV496" s="800"/>
      <c r="EW496" s="800"/>
      <c r="EX496" s="800"/>
      <c r="EY496" s="800"/>
      <c r="EZ496" s="800"/>
      <c r="FA496" s="800"/>
      <c r="FB496" s="800"/>
      <c r="FC496" s="800"/>
      <c r="FD496" s="800"/>
      <c r="FE496" s="800"/>
      <c r="FF496" s="800"/>
      <c r="FG496" s="800"/>
      <c r="FH496" s="800"/>
      <c r="FI496" s="800"/>
      <c r="FJ496" s="800"/>
      <c r="FK496" s="800"/>
      <c r="FL496" s="800"/>
      <c r="FM496" s="800"/>
      <c r="FN496" s="800"/>
      <c r="FO496" s="800"/>
      <c r="FP496" s="800"/>
      <c r="FQ496" s="800"/>
      <c r="FR496" s="800"/>
      <c r="FS496" s="800"/>
      <c r="FT496" s="800"/>
      <c r="FU496" s="800"/>
      <c r="FV496" s="800"/>
      <c r="FW496" s="800"/>
      <c r="FX496" s="800"/>
      <c r="FY496" s="800"/>
      <c r="FZ496" s="800"/>
      <c r="GA496" s="800"/>
      <c r="GB496" s="800"/>
      <c r="GC496" s="800"/>
      <c r="GD496" s="800"/>
      <c r="GE496" s="800"/>
      <c r="GF496" s="800"/>
      <c r="GG496" s="800"/>
      <c r="GH496" s="800"/>
      <c r="GI496" s="800"/>
      <c r="GJ496" s="800"/>
      <c r="GK496" s="800"/>
      <c r="GL496" s="800"/>
      <c r="GM496" s="800"/>
      <c r="GN496" s="800"/>
      <c r="GO496" s="800"/>
      <c r="GP496" s="800"/>
      <c r="GQ496" s="800"/>
      <c r="GR496" s="800"/>
      <c r="GS496" s="800"/>
      <c r="GT496" s="800"/>
      <c r="GU496" s="800"/>
      <c r="GV496" s="800"/>
      <c r="GW496" s="800"/>
      <c r="GX496" s="800"/>
      <c r="GY496" s="800"/>
      <c r="GZ496" s="800"/>
      <c r="HA496" s="800"/>
      <c r="HB496" s="800"/>
      <c r="HC496" s="800"/>
      <c r="HD496" s="800"/>
      <c r="HE496" s="800"/>
      <c r="HF496" s="800"/>
      <c r="HG496" s="800"/>
      <c r="HH496" s="800"/>
      <c r="HI496" s="800"/>
      <c r="HJ496" s="800"/>
    </row>
    <row r="497" spans="1:218" s="790" customFormat="1" ht="15">
      <c r="A497" s="794">
        <v>495</v>
      </c>
      <c r="B497" s="790" t="s">
        <v>1475</v>
      </c>
      <c r="C497" s="800" t="s">
        <v>1286</v>
      </c>
      <c r="D497" s="824">
        <v>39326</v>
      </c>
      <c r="E497" s="824">
        <v>39569</v>
      </c>
      <c r="F497" s="857">
        <v>2007</v>
      </c>
      <c r="G497" s="790" t="s">
        <v>781</v>
      </c>
      <c r="H497" s="790" t="s">
        <v>1453</v>
      </c>
      <c r="I497" s="790" t="s">
        <v>1868</v>
      </c>
      <c r="J497" s="800" t="s">
        <v>2331</v>
      </c>
      <c r="K497" s="787">
        <v>11532</v>
      </c>
      <c r="L497" s="787">
        <v>120000</v>
      </c>
      <c r="M497" s="787">
        <v>115771</v>
      </c>
      <c r="N497" s="787">
        <v>115771</v>
      </c>
      <c r="O497" s="808">
        <f t="shared" si="32"/>
        <v>10.039108567464448</v>
      </c>
      <c r="P497" s="787">
        <v>96</v>
      </c>
      <c r="Q497" s="787"/>
      <c r="R497" s="787"/>
      <c r="S497" s="808"/>
      <c r="T497" s="787"/>
      <c r="U497" s="787"/>
      <c r="V497" s="787"/>
      <c r="W497" s="787"/>
      <c r="X497" s="787"/>
      <c r="Y497" s="808"/>
      <c r="Z497" s="787"/>
      <c r="AA497" s="787"/>
      <c r="AB497" s="787"/>
      <c r="AC497" s="787"/>
      <c r="AD497" s="787"/>
      <c r="AE497" s="787"/>
      <c r="AF497" s="787"/>
      <c r="AG497" s="787"/>
      <c r="AH497" s="808"/>
      <c r="AI497" s="787"/>
      <c r="AJ497" s="787">
        <f t="shared" si="31"/>
        <v>0</v>
      </c>
      <c r="AK497" s="787"/>
      <c r="AL497" s="787"/>
      <c r="AM497" s="787"/>
      <c r="AN497" s="787"/>
      <c r="AO497" s="787"/>
      <c r="AP497" s="787"/>
      <c r="AQ497" s="787"/>
      <c r="AR497" s="787"/>
      <c r="AS497" s="787"/>
      <c r="AT497" s="787"/>
      <c r="AU497" s="790" t="s">
        <v>1867</v>
      </c>
      <c r="BM497" s="800"/>
      <c r="BN497" s="800"/>
      <c r="BO497" s="800"/>
      <c r="BP497" s="800"/>
      <c r="BQ497" s="800"/>
      <c r="BR497" s="800"/>
      <c r="BS497" s="800"/>
      <c r="BT497" s="800"/>
      <c r="BU497" s="800"/>
      <c r="BV497" s="800"/>
      <c r="BW497" s="800"/>
      <c r="BX497" s="800"/>
      <c r="BY497" s="800"/>
      <c r="BZ497" s="800"/>
      <c r="CA497" s="800"/>
      <c r="CB497" s="800"/>
      <c r="CC497" s="800"/>
      <c r="CD497" s="800"/>
      <c r="CE497" s="800"/>
      <c r="CF497" s="800"/>
      <c r="CG497" s="800"/>
      <c r="CH497" s="800"/>
      <c r="CI497" s="800"/>
      <c r="CJ497" s="800"/>
      <c r="CK497" s="800"/>
      <c r="CL497" s="800"/>
      <c r="CM497" s="800"/>
      <c r="CN497" s="800"/>
      <c r="CO497" s="800"/>
      <c r="CP497" s="800"/>
      <c r="CQ497" s="800"/>
      <c r="CR497" s="800"/>
      <c r="CS497" s="800"/>
      <c r="CT497" s="800"/>
      <c r="CU497" s="800"/>
      <c r="CV497" s="800"/>
      <c r="CW497" s="800"/>
      <c r="CX497" s="800"/>
      <c r="CY497" s="800"/>
      <c r="CZ497" s="800"/>
      <c r="DA497" s="800"/>
      <c r="DB497" s="800"/>
      <c r="DC497" s="800"/>
      <c r="DD497" s="800"/>
      <c r="DE497" s="800"/>
      <c r="DF497" s="800"/>
      <c r="DG497" s="800"/>
      <c r="DH497" s="800"/>
      <c r="DI497" s="800"/>
      <c r="DJ497" s="800"/>
      <c r="DK497" s="800"/>
      <c r="DL497" s="800"/>
      <c r="DM497" s="800"/>
      <c r="DN497" s="800"/>
      <c r="DO497" s="800"/>
      <c r="DP497" s="800"/>
      <c r="DQ497" s="800"/>
      <c r="DR497" s="800"/>
      <c r="DS497" s="800"/>
      <c r="DT497" s="800"/>
      <c r="DU497" s="800"/>
      <c r="DV497" s="800"/>
      <c r="DW497" s="800"/>
      <c r="DX497" s="800"/>
      <c r="DY497" s="800"/>
      <c r="DZ497" s="800"/>
      <c r="EA497" s="800"/>
      <c r="EB497" s="800"/>
      <c r="EC497" s="800"/>
      <c r="ED497" s="800"/>
      <c r="EE497" s="800"/>
      <c r="EF497" s="800"/>
      <c r="EG497" s="800"/>
      <c r="EH497" s="800"/>
      <c r="EI497" s="800"/>
      <c r="EJ497" s="800"/>
      <c r="EK497" s="800"/>
      <c r="EL497" s="800"/>
      <c r="EM497" s="800"/>
      <c r="EN497" s="800"/>
      <c r="EO497" s="800"/>
      <c r="EP497" s="800"/>
      <c r="EQ497" s="800"/>
      <c r="ER497" s="800"/>
      <c r="ES497" s="800"/>
      <c r="ET497" s="800"/>
      <c r="EU497" s="800"/>
      <c r="EV497" s="800"/>
      <c r="EW497" s="800"/>
      <c r="EX497" s="800"/>
      <c r="EY497" s="800"/>
      <c r="EZ497" s="800"/>
      <c r="FA497" s="800"/>
      <c r="FB497" s="800"/>
      <c r="FC497" s="800"/>
      <c r="FD497" s="800"/>
      <c r="FE497" s="800"/>
      <c r="FF497" s="800"/>
      <c r="FG497" s="800"/>
      <c r="FH497" s="800"/>
      <c r="FI497" s="800"/>
      <c r="FJ497" s="800"/>
      <c r="FK497" s="800"/>
      <c r="FL497" s="800"/>
      <c r="FM497" s="800"/>
      <c r="FN497" s="800"/>
      <c r="FO497" s="800"/>
      <c r="FP497" s="800"/>
      <c r="FQ497" s="800"/>
      <c r="FR497" s="800"/>
      <c r="FS497" s="800"/>
      <c r="FT497" s="800"/>
      <c r="FU497" s="800"/>
      <c r="FV497" s="800"/>
      <c r="FW497" s="800"/>
      <c r="FX497" s="800"/>
      <c r="FY497" s="800"/>
      <c r="FZ497" s="800"/>
      <c r="GA497" s="800"/>
      <c r="GB497" s="800"/>
      <c r="GC497" s="800"/>
      <c r="GD497" s="800"/>
      <c r="GE497" s="800"/>
      <c r="GF497" s="800"/>
      <c r="GG497" s="800"/>
      <c r="GH497" s="800"/>
      <c r="GI497" s="800"/>
      <c r="GJ497" s="800"/>
      <c r="GK497" s="800"/>
      <c r="GL497" s="800"/>
      <c r="GM497" s="800"/>
      <c r="GN497" s="800"/>
      <c r="GO497" s="800"/>
      <c r="GP497" s="800"/>
      <c r="GQ497" s="800"/>
      <c r="GR497" s="800"/>
      <c r="GS497" s="800"/>
      <c r="GT497" s="800"/>
      <c r="GU497" s="800"/>
      <c r="GV497" s="800"/>
      <c r="GW497" s="800"/>
      <c r="GX497" s="800"/>
      <c r="GY497" s="800"/>
      <c r="GZ497" s="800"/>
      <c r="HA497" s="800"/>
      <c r="HB497" s="800"/>
      <c r="HC497" s="800"/>
      <c r="HD497" s="800"/>
      <c r="HE497" s="800"/>
      <c r="HF497" s="800"/>
      <c r="HG497" s="800"/>
      <c r="HH497" s="800"/>
      <c r="HI497" s="800"/>
      <c r="HJ497" s="800"/>
    </row>
    <row r="498" spans="1:218" s="790" customFormat="1" ht="21.75" customHeight="1">
      <c r="A498" s="794">
        <v>496</v>
      </c>
      <c r="B498" s="857" t="s">
        <v>550</v>
      </c>
      <c r="C498" s="857" t="s">
        <v>1286</v>
      </c>
      <c r="D498" s="840">
        <v>39295</v>
      </c>
      <c r="E498" s="840">
        <v>40210</v>
      </c>
      <c r="F498" s="857">
        <v>2007</v>
      </c>
      <c r="G498" s="857" t="s">
        <v>24</v>
      </c>
      <c r="H498" s="790" t="s">
        <v>1454</v>
      </c>
      <c r="I498" s="857" t="s">
        <v>983</v>
      </c>
      <c r="J498" s="812" t="s">
        <v>2438</v>
      </c>
      <c r="K498" s="817">
        <v>37500</v>
      </c>
      <c r="L498" s="817">
        <v>10532683</v>
      </c>
      <c r="M498" s="817">
        <v>10539123</v>
      </c>
      <c r="N498" s="817">
        <v>10536800</v>
      </c>
      <c r="O498" s="808">
        <f t="shared" si="32"/>
        <v>280.98133333333334</v>
      </c>
      <c r="P498" s="817">
        <v>100</v>
      </c>
      <c r="Q498" s="817" t="s">
        <v>339</v>
      </c>
      <c r="R498" s="838" t="s">
        <v>339</v>
      </c>
      <c r="S498" s="838" t="s">
        <v>339</v>
      </c>
      <c r="T498" s="817"/>
      <c r="U498" s="817"/>
      <c r="V498" s="817"/>
      <c r="W498" s="817">
        <v>85072</v>
      </c>
      <c r="X498" s="817">
        <v>85072</v>
      </c>
      <c r="Y498" s="817"/>
      <c r="Z498" s="817"/>
      <c r="AA498" s="817"/>
      <c r="AB498" s="817"/>
      <c r="AC498" s="817"/>
      <c r="AD498" s="817"/>
      <c r="AE498" s="817"/>
      <c r="AF498" s="817"/>
      <c r="AG498" s="817"/>
      <c r="AH498" s="817"/>
      <c r="AI498" s="817"/>
      <c r="AJ498" s="787">
        <f t="shared" si="31"/>
        <v>0</v>
      </c>
      <c r="AK498" s="817"/>
      <c r="AL498" s="817">
        <v>80</v>
      </c>
      <c r="AM498" s="817"/>
      <c r="AN498" s="817"/>
      <c r="AO498" s="817"/>
      <c r="AP498" s="817"/>
      <c r="AQ498" s="817"/>
      <c r="AR498" s="817"/>
      <c r="AS498" s="817"/>
      <c r="AT498" s="817"/>
      <c r="AU498" s="320" t="s">
        <v>984</v>
      </c>
      <c r="AV498" s="857"/>
      <c r="AW498" s="857"/>
      <c r="AX498" s="857"/>
      <c r="AY498" s="857"/>
      <c r="AZ498" s="857"/>
      <c r="BA498" s="857"/>
      <c r="BB498" s="857"/>
      <c r="BC498" s="857"/>
      <c r="BD498" s="857"/>
      <c r="BE498" s="857"/>
      <c r="BF498" s="857"/>
      <c r="BG498" s="857"/>
      <c r="BH498" s="857"/>
      <c r="BI498" s="857"/>
      <c r="BJ498" s="857"/>
      <c r="BK498" s="857"/>
      <c r="BL498" s="857"/>
      <c r="BM498" s="857"/>
      <c r="BN498" s="800"/>
      <c r="BO498" s="800"/>
      <c r="BP498" s="800"/>
      <c r="BQ498" s="800"/>
      <c r="BR498" s="800"/>
      <c r="BS498" s="800"/>
      <c r="BT498" s="800"/>
      <c r="BU498" s="800"/>
      <c r="BV498" s="800"/>
      <c r="BW498" s="800"/>
      <c r="BX498" s="800"/>
      <c r="BY498" s="800"/>
      <c r="BZ498" s="800"/>
      <c r="CA498" s="800"/>
      <c r="CB498" s="800"/>
      <c r="CC498" s="800"/>
      <c r="CD498" s="800"/>
      <c r="CE498" s="800"/>
      <c r="CF498" s="800"/>
      <c r="CG498" s="800"/>
      <c r="CH498" s="800"/>
      <c r="CI498" s="800"/>
      <c r="CJ498" s="800"/>
      <c r="CK498" s="800"/>
      <c r="CL498" s="800"/>
      <c r="CM498" s="800"/>
      <c r="CN498" s="800"/>
      <c r="CO498" s="800"/>
      <c r="CP498" s="800"/>
      <c r="CQ498" s="800"/>
      <c r="CR498" s="800"/>
      <c r="CS498" s="800"/>
      <c r="CT498" s="800"/>
      <c r="CU498" s="800"/>
      <c r="CV498" s="800"/>
      <c r="CW498" s="800"/>
      <c r="CX498" s="800"/>
      <c r="CY498" s="800"/>
      <c r="CZ498" s="800"/>
      <c r="DA498" s="800"/>
      <c r="DB498" s="800"/>
      <c r="DC498" s="800"/>
      <c r="DD498" s="800"/>
      <c r="DE498" s="800"/>
      <c r="DF498" s="800"/>
      <c r="DG498" s="800"/>
      <c r="DH498" s="800"/>
      <c r="DI498" s="800"/>
      <c r="DJ498" s="800"/>
      <c r="DK498" s="800"/>
      <c r="DL498" s="800"/>
      <c r="DM498" s="800"/>
      <c r="DN498" s="800"/>
      <c r="DO498" s="800"/>
      <c r="DP498" s="800"/>
      <c r="DQ498" s="800"/>
      <c r="DR498" s="800"/>
      <c r="DS498" s="800"/>
      <c r="DT498" s="800"/>
      <c r="DU498" s="800"/>
      <c r="DV498" s="800"/>
      <c r="DW498" s="800"/>
      <c r="DX498" s="800"/>
      <c r="DY498" s="800"/>
      <c r="DZ498" s="800"/>
      <c r="EA498" s="800"/>
      <c r="EB498" s="800"/>
      <c r="EC498" s="800"/>
      <c r="ED498" s="800"/>
      <c r="EE498" s="800"/>
      <c r="EF498" s="800"/>
      <c r="EG498" s="800"/>
      <c r="EH498" s="800"/>
      <c r="EI498" s="800"/>
      <c r="EJ498" s="800"/>
      <c r="EK498" s="800"/>
      <c r="EL498" s="800"/>
      <c r="EM498" s="800"/>
      <c r="EN498" s="800"/>
      <c r="EO498" s="800"/>
      <c r="EP498" s="800"/>
      <c r="EQ498" s="800"/>
      <c r="ER498" s="800"/>
      <c r="ES498" s="800"/>
      <c r="ET498" s="800"/>
      <c r="EU498" s="800"/>
      <c r="EV498" s="800"/>
      <c r="EW498" s="800"/>
      <c r="EX498" s="800"/>
      <c r="EY498" s="800"/>
      <c r="EZ498" s="800"/>
      <c r="FA498" s="800"/>
      <c r="FB498" s="800"/>
      <c r="FC498" s="800"/>
      <c r="FD498" s="800"/>
      <c r="FE498" s="800"/>
      <c r="FF498" s="800"/>
      <c r="FG498" s="800"/>
      <c r="FH498" s="800"/>
      <c r="FI498" s="800"/>
      <c r="FJ498" s="800"/>
      <c r="FK498" s="800"/>
      <c r="FL498" s="800"/>
      <c r="FM498" s="800"/>
      <c r="FN498" s="800"/>
      <c r="FO498" s="800"/>
      <c r="FP498" s="800"/>
      <c r="FQ498" s="800"/>
      <c r="FR498" s="800"/>
      <c r="FS498" s="800"/>
      <c r="FT498" s="800"/>
      <c r="FU498" s="800"/>
      <c r="FV498" s="800"/>
      <c r="FW498" s="800"/>
      <c r="FX498" s="800"/>
      <c r="FY498" s="800"/>
      <c r="FZ498" s="800"/>
      <c r="GA498" s="800"/>
      <c r="GB498" s="800"/>
      <c r="GC498" s="800"/>
      <c r="GD498" s="800"/>
      <c r="GE498" s="800"/>
      <c r="GF498" s="800"/>
      <c r="GG498" s="800"/>
      <c r="GH498" s="800"/>
      <c r="GI498" s="800"/>
      <c r="GJ498" s="800"/>
      <c r="GK498" s="800"/>
      <c r="GL498" s="800"/>
      <c r="GM498" s="800"/>
      <c r="GN498" s="800"/>
      <c r="GO498" s="800"/>
      <c r="GP498" s="800"/>
      <c r="GQ498" s="800"/>
      <c r="GR498" s="800"/>
      <c r="GS498" s="800"/>
      <c r="GT498" s="800"/>
      <c r="GU498" s="800"/>
      <c r="GV498" s="800"/>
      <c r="GW498" s="800"/>
      <c r="GX498" s="800"/>
      <c r="GY498" s="800"/>
      <c r="GZ498" s="800"/>
      <c r="HA498" s="800"/>
      <c r="HB498" s="800"/>
      <c r="HC498" s="800"/>
      <c r="HD498" s="800"/>
      <c r="HE498" s="800"/>
      <c r="HF498" s="800"/>
      <c r="HG498" s="800"/>
      <c r="HH498" s="800"/>
      <c r="HI498" s="800"/>
      <c r="HJ498" s="800"/>
    </row>
    <row r="499" spans="1:218" s="790" customFormat="1" ht="15">
      <c r="A499" s="794">
        <v>497</v>
      </c>
      <c r="B499" s="790" t="s">
        <v>550</v>
      </c>
      <c r="C499" s="800" t="s">
        <v>1286</v>
      </c>
      <c r="D499" s="824">
        <v>39234</v>
      </c>
      <c r="E499" s="824">
        <v>39569</v>
      </c>
      <c r="F499" s="857">
        <v>2007</v>
      </c>
      <c r="G499" s="790" t="s">
        <v>1750</v>
      </c>
      <c r="H499" s="790" t="s">
        <v>1453</v>
      </c>
      <c r="I499" s="790" t="s">
        <v>1864</v>
      </c>
      <c r="J499" s="800" t="s">
        <v>2331</v>
      </c>
      <c r="K499" s="787">
        <v>6570</v>
      </c>
      <c r="L499" s="787">
        <v>188000</v>
      </c>
      <c r="M499" s="787">
        <v>167054</v>
      </c>
      <c r="N499" s="787">
        <v>167054</v>
      </c>
      <c r="O499" s="808">
        <f t="shared" si="32"/>
        <v>25.426788432267884</v>
      </c>
      <c r="P499" s="787">
        <v>89</v>
      </c>
      <c r="Q499" s="787"/>
      <c r="R499" s="787"/>
      <c r="S499" s="808"/>
      <c r="T499" s="787"/>
      <c r="U499" s="787"/>
      <c r="V499" s="787">
        <f>1636*5</f>
        <v>8180</v>
      </c>
      <c r="W499" s="787"/>
      <c r="X499" s="787"/>
      <c r="Y499" s="808"/>
      <c r="Z499" s="787"/>
      <c r="AA499" s="787"/>
      <c r="AB499" s="787"/>
      <c r="AC499" s="787"/>
      <c r="AD499" s="787"/>
      <c r="AE499" s="787"/>
      <c r="AF499" s="787"/>
      <c r="AG499" s="787"/>
      <c r="AH499" s="808"/>
      <c r="AI499" s="787"/>
      <c r="AJ499" s="787">
        <f t="shared" si="31"/>
        <v>0</v>
      </c>
      <c r="AK499" s="787">
        <v>374</v>
      </c>
      <c r="AL499" s="787">
        <f>0.89*AK499</f>
        <v>332.86</v>
      </c>
      <c r="AM499" s="787"/>
      <c r="AN499" s="787"/>
      <c r="AO499" s="787"/>
      <c r="AP499" s="787"/>
      <c r="AQ499" s="787"/>
      <c r="AR499" s="787"/>
      <c r="AS499" s="787" t="s">
        <v>371</v>
      </c>
      <c r="AT499" s="787"/>
      <c r="AU499" s="790" t="s">
        <v>1863</v>
      </c>
      <c r="BM499" s="800"/>
      <c r="BN499" s="800"/>
      <c r="BO499" s="800"/>
      <c r="BP499" s="800"/>
      <c r="BQ499" s="800"/>
      <c r="BR499" s="800"/>
      <c r="BS499" s="800"/>
      <c r="BT499" s="800"/>
      <c r="BU499" s="800"/>
      <c r="BV499" s="800"/>
      <c r="BW499" s="800"/>
      <c r="BX499" s="800"/>
      <c r="BY499" s="800"/>
      <c r="BZ499" s="800"/>
      <c r="CA499" s="800"/>
      <c r="CB499" s="800"/>
      <c r="CC499" s="800"/>
      <c r="CD499" s="800"/>
      <c r="CE499" s="800"/>
      <c r="CF499" s="800"/>
      <c r="CG499" s="800"/>
      <c r="CH499" s="800"/>
      <c r="CI499" s="800"/>
      <c r="CJ499" s="800"/>
      <c r="CK499" s="800"/>
      <c r="CL499" s="800"/>
      <c r="CM499" s="800"/>
      <c r="CN499" s="800"/>
      <c r="CO499" s="800"/>
      <c r="CP499" s="800"/>
      <c r="CQ499" s="800"/>
      <c r="CR499" s="800"/>
      <c r="CS499" s="800"/>
      <c r="CT499" s="800"/>
      <c r="CU499" s="800"/>
      <c r="CV499" s="800"/>
      <c r="CW499" s="800"/>
      <c r="CX499" s="800"/>
      <c r="CY499" s="800"/>
      <c r="CZ499" s="800"/>
      <c r="DA499" s="800"/>
      <c r="DB499" s="800"/>
      <c r="DC499" s="800"/>
      <c r="DD499" s="800"/>
      <c r="DE499" s="800"/>
      <c r="DF499" s="800"/>
      <c r="DG499" s="800"/>
      <c r="DH499" s="800"/>
      <c r="DI499" s="800"/>
      <c r="DJ499" s="800"/>
      <c r="DK499" s="800"/>
      <c r="DL499" s="800"/>
      <c r="DM499" s="800"/>
      <c r="DN499" s="800"/>
      <c r="DO499" s="800"/>
      <c r="DP499" s="800"/>
      <c r="DQ499" s="800"/>
      <c r="DR499" s="800"/>
      <c r="DS499" s="800"/>
      <c r="DT499" s="800"/>
      <c r="DU499" s="800"/>
      <c r="DV499" s="800"/>
      <c r="DW499" s="800"/>
      <c r="DX499" s="800"/>
      <c r="DY499" s="800"/>
      <c r="DZ499" s="800"/>
      <c r="EA499" s="800"/>
      <c r="EB499" s="800"/>
      <c r="EC499" s="800"/>
      <c r="ED499" s="800"/>
      <c r="EE499" s="800"/>
      <c r="EF499" s="800"/>
      <c r="EG499" s="800"/>
      <c r="EH499" s="800"/>
      <c r="EI499" s="800"/>
      <c r="EJ499" s="800"/>
      <c r="EK499" s="800"/>
      <c r="EL499" s="800"/>
      <c r="EM499" s="800"/>
      <c r="EN499" s="800"/>
      <c r="EO499" s="800"/>
      <c r="EP499" s="800"/>
      <c r="EQ499" s="800"/>
      <c r="ER499" s="800"/>
      <c r="ES499" s="800"/>
      <c r="ET499" s="800"/>
      <c r="EU499" s="800"/>
      <c r="EV499" s="800"/>
      <c r="EW499" s="800"/>
      <c r="EX499" s="800"/>
      <c r="EY499" s="800"/>
      <c r="EZ499" s="800"/>
      <c r="FA499" s="800"/>
      <c r="FB499" s="800"/>
      <c r="FC499" s="800"/>
      <c r="FD499" s="800"/>
      <c r="FE499" s="800"/>
      <c r="FF499" s="800"/>
      <c r="FG499" s="800"/>
      <c r="FH499" s="800"/>
      <c r="FI499" s="800"/>
      <c r="FJ499" s="800"/>
      <c r="FK499" s="800"/>
      <c r="FL499" s="800"/>
      <c r="FM499" s="800"/>
      <c r="FN499" s="800"/>
      <c r="FO499" s="800"/>
      <c r="FP499" s="800"/>
      <c r="FQ499" s="800"/>
      <c r="FR499" s="800"/>
      <c r="FS499" s="800"/>
      <c r="FT499" s="800"/>
      <c r="FU499" s="800"/>
      <c r="FV499" s="800"/>
      <c r="FW499" s="800"/>
      <c r="FX499" s="800"/>
      <c r="FY499" s="800"/>
      <c r="FZ499" s="800"/>
      <c r="GA499" s="800"/>
      <c r="GB499" s="800"/>
      <c r="GC499" s="800"/>
      <c r="GD499" s="800"/>
      <c r="GE499" s="800"/>
      <c r="GF499" s="800"/>
      <c r="GG499" s="800"/>
      <c r="GH499" s="800"/>
      <c r="GI499" s="800"/>
      <c r="GJ499" s="800"/>
      <c r="GK499" s="800"/>
      <c r="GL499" s="800"/>
      <c r="GM499" s="800"/>
      <c r="GN499" s="800"/>
      <c r="GO499" s="800"/>
      <c r="GP499" s="800"/>
      <c r="GQ499" s="800"/>
      <c r="GR499" s="800"/>
      <c r="GS499" s="800"/>
      <c r="GT499" s="800"/>
      <c r="GU499" s="800"/>
      <c r="GV499" s="800"/>
      <c r="GW499" s="800"/>
      <c r="GX499" s="800"/>
      <c r="GY499" s="800"/>
      <c r="GZ499" s="800"/>
      <c r="HA499" s="800"/>
      <c r="HB499" s="800"/>
      <c r="HC499" s="800"/>
      <c r="HD499" s="800"/>
      <c r="HE499" s="800"/>
      <c r="HF499" s="800"/>
      <c r="HG499" s="800"/>
      <c r="HH499" s="800"/>
      <c r="HI499" s="800"/>
      <c r="HJ499" s="800"/>
    </row>
    <row r="500" spans="1:218" s="800" customFormat="1" ht="15">
      <c r="A500" s="794">
        <v>498</v>
      </c>
      <c r="B500" s="800" t="s">
        <v>170</v>
      </c>
      <c r="C500" s="800" t="s">
        <v>1299</v>
      </c>
      <c r="D500" s="819">
        <v>39387</v>
      </c>
      <c r="E500" s="883">
        <v>39387</v>
      </c>
      <c r="F500" s="857">
        <v>2007</v>
      </c>
      <c r="G500" s="800" t="s">
        <v>1469</v>
      </c>
      <c r="H500" s="800" t="s">
        <v>1451</v>
      </c>
      <c r="I500" s="800" t="s">
        <v>1785</v>
      </c>
      <c r="J500" s="800" t="s">
        <v>2331</v>
      </c>
      <c r="K500" s="808">
        <v>5000</v>
      </c>
      <c r="L500" s="808">
        <v>67600</v>
      </c>
      <c r="M500" s="808">
        <v>67395.67</v>
      </c>
      <c r="N500" s="808">
        <v>67395.67</v>
      </c>
      <c r="O500" s="808">
        <f t="shared" si="32"/>
        <v>13.479134</v>
      </c>
      <c r="P500" s="808">
        <f>(M500*100)/L500</f>
        <v>99.697736686390527</v>
      </c>
      <c r="Q500" s="808"/>
      <c r="R500" s="808"/>
      <c r="S500" s="808">
        <v>5000</v>
      </c>
      <c r="T500" s="808"/>
      <c r="U500" s="808"/>
      <c r="V500" s="808">
        <v>5000</v>
      </c>
      <c r="W500" s="808"/>
      <c r="X500" s="808"/>
      <c r="Y500" s="808">
        <f>X500/S500</f>
        <v>0</v>
      </c>
      <c r="Z500" s="808"/>
      <c r="AA500" s="808"/>
      <c r="AB500" s="808"/>
      <c r="AC500" s="808"/>
      <c r="AD500" s="808"/>
      <c r="AE500" s="808"/>
      <c r="AF500" s="808"/>
      <c r="AG500" s="808"/>
      <c r="AH500" s="808"/>
      <c r="AI500" s="808"/>
      <c r="AJ500" s="808">
        <f t="shared" si="31"/>
        <v>0</v>
      </c>
      <c r="AK500" s="808"/>
      <c r="AL500" s="808"/>
      <c r="AM500" s="808"/>
      <c r="AN500" s="808"/>
      <c r="AO500" s="808"/>
      <c r="AP500" s="808"/>
      <c r="AQ500" s="808"/>
      <c r="AR500" s="808"/>
      <c r="AS500" s="808"/>
      <c r="AT500" s="808"/>
      <c r="AU500" s="346" t="s">
        <v>1784</v>
      </c>
    </row>
    <row r="501" spans="1:218" s="790" customFormat="1" ht="15">
      <c r="A501" s="794">
        <v>499</v>
      </c>
      <c r="B501" s="790" t="s">
        <v>871</v>
      </c>
      <c r="C501" s="800" t="s">
        <v>1260</v>
      </c>
      <c r="D501" s="824">
        <v>39142</v>
      </c>
      <c r="E501" s="824">
        <v>39387</v>
      </c>
      <c r="F501" s="857">
        <v>2007</v>
      </c>
      <c r="G501" s="790" t="s">
        <v>1823</v>
      </c>
      <c r="H501" s="790" t="s">
        <v>1464</v>
      </c>
      <c r="I501" s="790" t="s">
        <v>1897</v>
      </c>
      <c r="J501" s="800" t="s">
        <v>2331</v>
      </c>
      <c r="K501" s="787">
        <v>1500</v>
      </c>
      <c r="L501" s="787">
        <v>105000</v>
      </c>
      <c r="M501" s="787">
        <v>105000</v>
      </c>
      <c r="N501" s="787">
        <v>105000</v>
      </c>
      <c r="O501" s="808">
        <f t="shared" si="32"/>
        <v>70</v>
      </c>
      <c r="P501" s="808">
        <v>100</v>
      </c>
      <c r="Q501" s="787"/>
      <c r="R501" s="787"/>
      <c r="S501" s="808"/>
      <c r="T501" s="787"/>
      <c r="U501" s="787"/>
      <c r="V501" s="787"/>
      <c r="W501" s="787" t="s">
        <v>66</v>
      </c>
      <c r="X501" s="787">
        <v>152</v>
      </c>
      <c r="Y501" s="808"/>
      <c r="Z501" s="787">
        <v>1500</v>
      </c>
      <c r="AA501" s="787"/>
      <c r="AB501" s="787"/>
      <c r="AC501" s="787"/>
      <c r="AD501" s="787"/>
      <c r="AE501" s="787"/>
      <c r="AF501" s="787"/>
      <c r="AG501" s="787"/>
      <c r="AH501" s="808"/>
      <c r="AI501" s="787"/>
      <c r="AJ501" s="787">
        <f t="shared" si="31"/>
        <v>1500</v>
      </c>
      <c r="AK501" s="787">
        <v>621</v>
      </c>
      <c r="AL501" s="787">
        <v>620</v>
      </c>
      <c r="AM501" s="787"/>
      <c r="AN501" s="787"/>
      <c r="AO501" s="787"/>
      <c r="AP501" s="787"/>
      <c r="AQ501" s="787"/>
      <c r="AR501" s="787"/>
      <c r="AS501" s="787"/>
      <c r="AT501" s="787"/>
      <c r="AU501" s="352" t="s">
        <v>1896</v>
      </c>
      <c r="BM501" s="800"/>
      <c r="BN501" s="800"/>
      <c r="BO501" s="800"/>
      <c r="BP501" s="800"/>
      <c r="BQ501" s="800"/>
      <c r="BR501" s="800"/>
      <c r="BS501" s="800"/>
      <c r="BT501" s="800"/>
      <c r="BU501" s="800"/>
      <c r="BV501" s="800"/>
      <c r="BW501" s="800"/>
      <c r="BX501" s="800"/>
      <c r="BY501" s="800"/>
      <c r="BZ501" s="800"/>
      <c r="CA501" s="800"/>
      <c r="CB501" s="800"/>
      <c r="CC501" s="800"/>
      <c r="CD501" s="800"/>
      <c r="CE501" s="800"/>
      <c r="CF501" s="800"/>
      <c r="CG501" s="800"/>
      <c r="CH501" s="800"/>
      <c r="CI501" s="800"/>
      <c r="CJ501" s="800"/>
      <c r="CK501" s="800"/>
      <c r="CL501" s="800"/>
      <c r="CM501" s="800"/>
      <c r="CN501" s="800"/>
      <c r="CO501" s="800"/>
      <c r="CP501" s="800"/>
      <c r="CQ501" s="800"/>
      <c r="CR501" s="800"/>
      <c r="CS501" s="800"/>
      <c r="CT501" s="800"/>
      <c r="CU501" s="800"/>
      <c r="CV501" s="800"/>
      <c r="CW501" s="800"/>
      <c r="CX501" s="800"/>
      <c r="CY501" s="800"/>
      <c r="CZ501" s="800"/>
      <c r="DA501" s="800"/>
      <c r="DB501" s="800"/>
      <c r="DC501" s="800"/>
      <c r="DD501" s="800"/>
      <c r="DE501" s="800"/>
      <c r="DF501" s="800"/>
      <c r="DG501" s="800"/>
      <c r="DH501" s="800"/>
      <c r="DI501" s="800"/>
      <c r="DJ501" s="800"/>
      <c r="DK501" s="800"/>
      <c r="DL501" s="800"/>
      <c r="DM501" s="800"/>
      <c r="DN501" s="800"/>
      <c r="DO501" s="800"/>
      <c r="DP501" s="800"/>
      <c r="DQ501" s="800"/>
      <c r="DR501" s="800"/>
      <c r="DS501" s="800"/>
      <c r="DT501" s="800"/>
      <c r="DU501" s="800"/>
      <c r="DV501" s="800"/>
      <c r="DW501" s="800"/>
      <c r="DX501" s="800"/>
      <c r="DY501" s="800"/>
      <c r="DZ501" s="800"/>
      <c r="EA501" s="800"/>
      <c r="EB501" s="800"/>
      <c r="EC501" s="800"/>
      <c r="ED501" s="800"/>
      <c r="EE501" s="800"/>
      <c r="EF501" s="800"/>
      <c r="EG501" s="800"/>
      <c r="EH501" s="800"/>
      <c r="EI501" s="800"/>
      <c r="EJ501" s="800"/>
      <c r="EK501" s="800"/>
      <c r="EL501" s="800"/>
      <c r="EM501" s="800"/>
      <c r="EN501" s="800"/>
      <c r="EO501" s="800"/>
      <c r="EP501" s="800"/>
      <c r="EQ501" s="800"/>
      <c r="ER501" s="800"/>
      <c r="ES501" s="800"/>
      <c r="ET501" s="800"/>
      <c r="EU501" s="800"/>
      <c r="EV501" s="800"/>
      <c r="EW501" s="800"/>
      <c r="EX501" s="800"/>
      <c r="EY501" s="800"/>
      <c r="EZ501" s="800"/>
      <c r="FA501" s="800"/>
      <c r="FB501" s="800"/>
      <c r="FC501" s="800"/>
      <c r="FD501" s="800"/>
      <c r="FE501" s="800"/>
      <c r="FF501" s="800"/>
      <c r="FG501" s="800"/>
      <c r="FH501" s="800"/>
      <c r="FI501" s="800"/>
      <c r="FJ501" s="800"/>
      <c r="FK501" s="800"/>
      <c r="FL501" s="800"/>
      <c r="FM501" s="800"/>
      <c r="FN501" s="800"/>
      <c r="FO501" s="800"/>
      <c r="FP501" s="800"/>
      <c r="FQ501" s="800"/>
      <c r="FR501" s="800"/>
      <c r="FS501" s="800"/>
      <c r="FT501" s="800"/>
      <c r="FU501" s="800"/>
      <c r="FV501" s="800"/>
      <c r="FW501" s="800"/>
      <c r="FX501" s="800"/>
      <c r="FY501" s="800"/>
      <c r="FZ501" s="800"/>
      <c r="GA501" s="800"/>
      <c r="GB501" s="800"/>
      <c r="GC501" s="800"/>
      <c r="GD501" s="800"/>
      <c r="GE501" s="800"/>
      <c r="GF501" s="800"/>
      <c r="GG501" s="800"/>
      <c r="GH501" s="800"/>
      <c r="GI501" s="800"/>
      <c r="GJ501" s="800"/>
      <c r="GK501" s="800"/>
      <c r="GL501" s="800"/>
      <c r="GM501" s="800"/>
      <c r="GN501" s="800"/>
      <c r="GO501" s="800"/>
      <c r="GP501" s="800"/>
      <c r="GQ501" s="800"/>
      <c r="GR501" s="800"/>
      <c r="GS501" s="800"/>
      <c r="GT501" s="800"/>
      <c r="GU501" s="800"/>
      <c r="GV501" s="800"/>
      <c r="GW501" s="800"/>
      <c r="GX501" s="800"/>
      <c r="GY501" s="800"/>
      <c r="GZ501" s="800"/>
      <c r="HA501" s="800"/>
      <c r="HB501" s="800"/>
      <c r="HC501" s="800"/>
      <c r="HD501" s="800"/>
      <c r="HE501" s="800"/>
      <c r="HF501" s="800"/>
      <c r="HG501" s="800"/>
      <c r="HH501" s="800"/>
      <c r="HI501" s="800"/>
      <c r="HJ501" s="800"/>
    </row>
    <row r="502" spans="1:218" s="800" customFormat="1" ht="15">
      <c r="A502" s="794">
        <v>500</v>
      </c>
      <c r="B502" s="785" t="s">
        <v>153</v>
      </c>
      <c r="C502" s="785" t="s">
        <v>1299</v>
      </c>
      <c r="D502" s="792">
        <v>39356</v>
      </c>
      <c r="E502" s="792">
        <v>39753</v>
      </c>
      <c r="F502" s="857">
        <v>2007</v>
      </c>
      <c r="G502" s="789" t="s">
        <v>5</v>
      </c>
      <c r="H502" s="800" t="s">
        <v>1451</v>
      </c>
      <c r="I502" s="785" t="s">
        <v>575</v>
      </c>
      <c r="J502" s="800" t="s">
        <v>2331</v>
      </c>
      <c r="K502" s="842">
        <v>5100</v>
      </c>
      <c r="L502" s="842">
        <v>188899</v>
      </c>
      <c r="M502" s="842">
        <v>190366</v>
      </c>
      <c r="N502" s="842">
        <v>190366</v>
      </c>
      <c r="O502" s="808">
        <f t="shared" si="32"/>
        <v>37.326666666666668</v>
      </c>
      <c r="P502" s="842">
        <v>101</v>
      </c>
      <c r="Q502" s="842">
        <v>5100</v>
      </c>
      <c r="R502" s="842">
        <v>5100</v>
      </c>
      <c r="S502" s="842">
        <v>5100</v>
      </c>
      <c r="T502" s="842" t="s">
        <v>2</v>
      </c>
      <c r="U502" s="842">
        <v>26</v>
      </c>
      <c r="V502" s="842">
        <v>5100</v>
      </c>
      <c r="W502" s="842">
        <v>3883</v>
      </c>
      <c r="X502" s="842">
        <v>3921.83</v>
      </c>
      <c r="Y502" s="808">
        <f>X502/S502</f>
        <v>0.76898627450980395</v>
      </c>
      <c r="Z502" s="842" t="s">
        <v>75</v>
      </c>
      <c r="AA502" s="842" t="s">
        <v>75</v>
      </c>
      <c r="AB502" s="842" t="s">
        <v>75</v>
      </c>
      <c r="AC502" s="842" t="s">
        <v>75</v>
      </c>
      <c r="AD502" s="842" t="s">
        <v>75</v>
      </c>
      <c r="AE502" s="842" t="s">
        <v>75</v>
      </c>
      <c r="AF502" s="842" t="s">
        <v>75</v>
      </c>
      <c r="AG502" s="842" t="s">
        <v>75</v>
      </c>
      <c r="AH502" s="842" t="s">
        <v>75</v>
      </c>
      <c r="AI502" s="842" t="s">
        <v>75</v>
      </c>
      <c r="AJ502" s="808">
        <f t="shared" si="31"/>
        <v>0</v>
      </c>
      <c r="AK502" s="842" t="s">
        <v>75</v>
      </c>
      <c r="AL502" s="842" t="s">
        <v>75</v>
      </c>
      <c r="AM502" s="842"/>
      <c r="AN502" s="842" t="s">
        <v>75</v>
      </c>
      <c r="AO502" s="842" t="s">
        <v>75</v>
      </c>
      <c r="AP502" s="842" t="s">
        <v>75</v>
      </c>
      <c r="AQ502" s="842" t="s">
        <v>75</v>
      </c>
      <c r="AR502" s="842" t="s">
        <v>75</v>
      </c>
      <c r="AS502" s="842" t="s">
        <v>75</v>
      </c>
      <c r="AT502" s="842" t="s">
        <v>75</v>
      </c>
      <c r="AU502" s="344" t="s">
        <v>574</v>
      </c>
      <c r="AV502" s="785"/>
      <c r="AW502" s="785"/>
      <c r="AX502" s="785"/>
      <c r="AY502" s="785"/>
      <c r="AZ502" s="785"/>
      <c r="BA502" s="785"/>
      <c r="BB502" s="785"/>
      <c r="BC502" s="785"/>
      <c r="BD502" s="785"/>
      <c r="BE502" s="785"/>
      <c r="BF502" s="785"/>
      <c r="BG502" s="785"/>
      <c r="BH502" s="785"/>
      <c r="BI502" s="785"/>
      <c r="BJ502" s="785"/>
      <c r="BK502" s="785"/>
      <c r="BL502" s="785"/>
      <c r="BM502" s="785"/>
    </row>
    <row r="503" spans="1:218" s="800" customFormat="1" ht="18" customHeight="1">
      <c r="A503" s="794">
        <v>501</v>
      </c>
      <c r="B503" s="789" t="s">
        <v>248</v>
      </c>
      <c r="C503" s="789" t="s">
        <v>1299</v>
      </c>
      <c r="D503" s="840">
        <v>39356</v>
      </c>
      <c r="E503" s="840">
        <v>39661</v>
      </c>
      <c r="F503" s="857">
        <v>2007</v>
      </c>
      <c r="G503" s="789" t="s">
        <v>168</v>
      </c>
      <c r="H503" s="800" t="s">
        <v>1449</v>
      </c>
      <c r="I503" s="789" t="s">
        <v>809</v>
      </c>
      <c r="J503" s="800" t="s">
        <v>2331</v>
      </c>
      <c r="K503" s="817">
        <v>2324</v>
      </c>
      <c r="L503" s="817">
        <v>40000</v>
      </c>
      <c r="M503" s="817">
        <v>39451</v>
      </c>
      <c r="N503" s="817">
        <v>39451</v>
      </c>
      <c r="O503" s="808">
        <f t="shared" si="32"/>
        <v>16.975473321858864</v>
      </c>
      <c r="P503" s="817">
        <v>99</v>
      </c>
      <c r="Q503" s="817">
        <v>5882</v>
      </c>
      <c r="R503" s="817">
        <v>5882</v>
      </c>
      <c r="S503" s="817">
        <v>5882</v>
      </c>
      <c r="T503" s="817" t="s">
        <v>849</v>
      </c>
      <c r="U503" s="817">
        <v>240</v>
      </c>
      <c r="V503" s="817">
        <v>5882</v>
      </c>
      <c r="W503" s="817" t="s">
        <v>339</v>
      </c>
      <c r="X503" s="817">
        <v>11038</v>
      </c>
      <c r="Y503" s="808">
        <f>X503/S503</f>
        <v>1.8765725943556613</v>
      </c>
      <c r="Z503" s="817" t="s">
        <v>75</v>
      </c>
      <c r="AA503" s="817">
        <v>5882</v>
      </c>
      <c r="AB503" s="817">
        <v>240</v>
      </c>
      <c r="AC503" s="817" t="s">
        <v>75</v>
      </c>
      <c r="AD503" s="817" t="s">
        <v>75</v>
      </c>
      <c r="AE503" s="817" t="s">
        <v>75</v>
      </c>
      <c r="AF503" s="817" t="s">
        <v>75</v>
      </c>
      <c r="AG503" s="817" t="s">
        <v>75</v>
      </c>
      <c r="AH503" s="817" t="s">
        <v>75</v>
      </c>
      <c r="AI503" s="817" t="s">
        <v>75</v>
      </c>
      <c r="AJ503" s="808">
        <f t="shared" si="31"/>
        <v>5882</v>
      </c>
      <c r="AK503" s="817" t="s">
        <v>75</v>
      </c>
      <c r="AL503" s="817" t="s">
        <v>75</v>
      </c>
      <c r="AM503" s="817"/>
      <c r="AN503" s="817" t="s">
        <v>75</v>
      </c>
      <c r="AO503" s="817" t="s">
        <v>75</v>
      </c>
      <c r="AP503" s="817" t="s">
        <v>75</v>
      </c>
      <c r="AQ503" s="817" t="s">
        <v>75</v>
      </c>
      <c r="AR503" s="817" t="s">
        <v>75</v>
      </c>
      <c r="AS503" s="817" t="s">
        <v>75</v>
      </c>
      <c r="AT503" s="817" t="s">
        <v>75</v>
      </c>
      <c r="AU503" s="359" t="s">
        <v>808</v>
      </c>
      <c r="AV503" s="789"/>
      <c r="AW503" s="789"/>
      <c r="AX503" s="789"/>
      <c r="AY503" s="789"/>
      <c r="AZ503" s="789"/>
      <c r="BA503" s="789"/>
      <c r="BB503" s="789"/>
      <c r="BC503" s="789"/>
      <c r="BD503" s="789"/>
      <c r="BE503" s="789"/>
      <c r="BF503" s="789"/>
      <c r="BG503" s="789"/>
      <c r="BH503" s="789"/>
      <c r="BI503" s="789"/>
      <c r="BJ503" s="789"/>
      <c r="BK503" s="789"/>
      <c r="BL503" s="789"/>
      <c r="BM503" s="789"/>
    </row>
    <row r="504" spans="1:218" s="800" customFormat="1" ht="15">
      <c r="A504" s="794">
        <v>502</v>
      </c>
      <c r="B504" s="800" t="s">
        <v>25</v>
      </c>
      <c r="C504" s="800" t="s">
        <v>1260</v>
      </c>
      <c r="D504" s="819">
        <v>39356</v>
      </c>
      <c r="E504" s="819">
        <v>39479</v>
      </c>
      <c r="F504" s="857">
        <v>2007</v>
      </c>
      <c r="G504" s="800" t="s">
        <v>5</v>
      </c>
      <c r="H504" s="800" t="s">
        <v>1451</v>
      </c>
      <c r="I504" s="800" t="s">
        <v>1895</v>
      </c>
      <c r="J504" s="800" t="s">
        <v>2331</v>
      </c>
      <c r="K504" s="808">
        <v>4200</v>
      </c>
      <c r="L504" s="808">
        <v>111080</v>
      </c>
      <c r="M504" s="808">
        <v>111080</v>
      </c>
      <c r="N504" s="808">
        <v>111080</v>
      </c>
      <c r="O504" s="808">
        <f t="shared" si="32"/>
        <v>26.447619047619046</v>
      </c>
      <c r="P504" s="808">
        <v>100</v>
      </c>
      <c r="Q504" s="808">
        <f>1400*2.8</f>
        <v>3919.9999999999995</v>
      </c>
      <c r="R504" s="808"/>
      <c r="S504" s="808">
        <f>1400*2.8</f>
        <v>3919.9999999999995</v>
      </c>
      <c r="T504" s="808"/>
      <c r="U504" s="808"/>
      <c r="V504" s="808">
        <v>20000</v>
      </c>
      <c r="W504" s="808">
        <v>16700</v>
      </c>
      <c r="X504" s="808">
        <v>16468</v>
      </c>
      <c r="Y504" s="808">
        <f>X504/S504</f>
        <v>4.2010204081632656</v>
      </c>
      <c r="Z504" s="808"/>
      <c r="AA504" s="808"/>
      <c r="AB504" s="808"/>
      <c r="AC504" s="808"/>
      <c r="AD504" s="808"/>
      <c r="AE504" s="808"/>
      <c r="AF504" s="808"/>
      <c r="AG504" s="808"/>
      <c r="AH504" s="808"/>
      <c r="AI504" s="808"/>
      <c r="AJ504" s="787">
        <f t="shared" si="31"/>
        <v>0</v>
      </c>
      <c r="AK504" s="808" t="s">
        <v>66</v>
      </c>
      <c r="AL504" s="808" t="s">
        <v>66</v>
      </c>
      <c r="AM504" s="808"/>
      <c r="AN504" s="808"/>
      <c r="AO504" s="808"/>
      <c r="AP504" s="808"/>
      <c r="AQ504" s="808"/>
      <c r="AR504" s="808"/>
      <c r="AS504" s="808"/>
      <c r="AT504" s="808"/>
      <c r="AU504" s="346" t="s">
        <v>1894</v>
      </c>
    </row>
    <row r="505" spans="1:218" s="882" customFormat="1" ht="15">
      <c r="A505" s="794">
        <v>503</v>
      </c>
      <c r="B505" s="790" t="s">
        <v>1813</v>
      </c>
      <c r="C505" s="790" t="s">
        <v>1260</v>
      </c>
      <c r="D505" s="824">
        <v>39387</v>
      </c>
      <c r="E505" s="824">
        <v>39539</v>
      </c>
      <c r="F505" s="857">
        <v>2007</v>
      </c>
      <c r="G505" s="790" t="s">
        <v>5</v>
      </c>
      <c r="H505" s="790" t="s">
        <v>1451</v>
      </c>
      <c r="I505" s="790" t="s">
        <v>1812</v>
      </c>
      <c r="J505" s="800" t="s">
        <v>2331</v>
      </c>
      <c r="K505" s="787">
        <v>3336</v>
      </c>
      <c r="L505" s="787">
        <v>123597</v>
      </c>
      <c r="M505" s="787">
        <v>123597</v>
      </c>
      <c r="N505" s="787">
        <v>123597</v>
      </c>
      <c r="O505" s="808">
        <f t="shared" si="32"/>
        <v>37.049460431654673</v>
      </c>
      <c r="P505" s="787">
        <v>100</v>
      </c>
      <c r="Q505" s="787"/>
      <c r="R505" s="787"/>
      <c r="S505" s="808"/>
      <c r="T505" s="787"/>
      <c r="U505" s="787"/>
      <c r="V505" s="787"/>
      <c r="W505" s="787">
        <v>6683</v>
      </c>
      <c r="X505" s="787">
        <v>6683</v>
      </c>
      <c r="Y505" s="808"/>
      <c r="Z505" s="787"/>
      <c r="AA505" s="787"/>
      <c r="AB505" s="787"/>
      <c r="AC505" s="787"/>
      <c r="AD505" s="787"/>
      <c r="AE505" s="787"/>
      <c r="AF505" s="787"/>
      <c r="AG505" s="787"/>
      <c r="AH505" s="808"/>
      <c r="AI505" s="787"/>
      <c r="AJ505" s="787">
        <f t="shared" si="31"/>
        <v>0</v>
      </c>
      <c r="AK505" s="787" t="s">
        <v>66</v>
      </c>
      <c r="AL505" s="787" t="s">
        <v>66</v>
      </c>
      <c r="AM505" s="787"/>
      <c r="AN505" s="787"/>
      <c r="AO505" s="787"/>
      <c r="AP505" s="787"/>
      <c r="AQ505" s="787"/>
      <c r="AR505" s="787"/>
      <c r="AS505" s="787"/>
      <c r="AT505" s="787"/>
      <c r="AU505" s="352" t="s">
        <v>1811</v>
      </c>
      <c r="AV505" s="790"/>
      <c r="AW505" s="790"/>
      <c r="AX505" s="790"/>
      <c r="AY505" s="790"/>
      <c r="AZ505" s="790"/>
      <c r="BA505" s="790"/>
      <c r="BB505" s="790"/>
      <c r="BC505" s="790"/>
      <c r="BD505" s="790"/>
      <c r="BE505" s="790"/>
      <c r="BF505" s="790"/>
      <c r="BG505" s="790"/>
      <c r="BH505" s="790"/>
      <c r="BI505" s="790"/>
      <c r="BJ505" s="790"/>
      <c r="BK505" s="790"/>
      <c r="BL505" s="790"/>
      <c r="BM505" s="800"/>
      <c r="BN505" s="800"/>
      <c r="BO505" s="800"/>
      <c r="BP505" s="800"/>
      <c r="BQ505" s="800"/>
      <c r="BR505" s="800"/>
      <c r="BS505" s="800"/>
      <c r="BT505" s="800"/>
      <c r="BU505" s="800"/>
      <c r="BV505" s="800"/>
      <c r="BW505" s="800"/>
      <c r="BX505" s="800"/>
      <c r="BY505" s="800"/>
      <c r="BZ505" s="800"/>
      <c r="CA505" s="800"/>
      <c r="CB505" s="800"/>
      <c r="CC505" s="800"/>
      <c r="CD505" s="800"/>
      <c r="CE505" s="800"/>
      <c r="CF505" s="800"/>
      <c r="CG505" s="800"/>
      <c r="CH505" s="800"/>
      <c r="CI505" s="800"/>
      <c r="CJ505" s="800"/>
      <c r="CK505" s="800"/>
      <c r="CL505" s="800"/>
      <c r="CM505" s="800"/>
      <c r="CN505" s="800"/>
      <c r="CO505" s="800"/>
      <c r="CP505" s="800"/>
      <c r="CQ505" s="800"/>
      <c r="CR505" s="800"/>
      <c r="CS505" s="800"/>
      <c r="CT505" s="800"/>
      <c r="CU505" s="800"/>
      <c r="CV505" s="800"/>
      <c r="CW505" s="800"/>
      <c r="CX505" s="800"/>
      <c r="CY505" s="800"/>
      <c r="CZ505" s="800"/>
      <c r="DA505" s="800"/>
      <c r="DB505" s="800"/>
      <c r="DC505" s="800"/>
      <c r="DD505" s="800"/>
      <c r="DE505" s="800"/>
      <c r="DF505" s="800"/>
      <c r="DG505" s="800"/>
      <c r="DH505" s="800"/>
      <c r="DI505" s="800"/>
      <c r="DJ505" s="800"/>
      <c r="DK505" s="800"/>
      <c r="DL505" s="800"/>
      <c r="DM505" s="800"/>
      <c r="DN505" s="800"/>
      <c r="DO505" s="800"/>
      <c r="DP505" s="800"/>
      <c r="DQ505" s="800"/>
      <c r="DR505" s="800"/>
      <c r="DS505" s="800"/>
      <c r="DT505" s="800"/>
      <c r="DU505" s="800"/>
      <c r="DV505" s="800"/>
      <c r="DW505" s="800"/>
      <c r="DX505" s="800"/>
      <c r="DY505" s="800"/>
      <c r="DZ505" s="800"/>
      <c r="EA505" s="800"/>
      <c r="EB505" s="800"/>
      <c r="EC505" s="800"/>
      <c r="ED505" s="800"/>
      <c r="EE505" s="800"/>
      <c r="EF505" s="800"/>
      <c r="EG505" s="800"/>
      <c r="EH505" s="800"/>
      <c r="EI505" s="800"/>
      <c r="EJ505" s="800"/>
      <c r="EK505" s="800"/>
      <c r="EL505" s="800"/>
      <c r="EM505" s="800"/>
      <c r="EN505" s="800"/>
      <c r="EO505" s="800"/>
      <c r="EP505" s="800"/>
      <c r="EQ505" s="800"/>
      <c r="ER505" s="800"/>
      <c r="ES505" s="800"/>
      <c r="ET505" s="800"/>
      <c r="EU505" s="800"/>
      <c r="EV505" s="800"/>
      <c r="EW505" s="800"/>
      <c r="EX505" s="800"/>
      <c r="EY505" s="800"/>
      <c r="EZ505" s="800"/>
      <c r="FA505" s="800"/>
      <c r="FB505" s="800"/>
      <c r="FC505" s="800"/>
      <c r="FD505" s="800"/>
      <c r="FE505" s="800"/>
      <c r="FF505" s="800"/>
      <c r="FG505" s="800"/>
      <c r="FH505" s="800"/>
      <c r="FI505" s="800"/>
      <c r="FJ505" s="800"/>
      <c r="FK505" s="800"/>
      <c r="FL505" s="800"/>
      <c r="FM505" s="800"/>
      <c r="FN505" s="800"/>
      <c r="FO505" s="800"/>
      <c r="FP505" s="800"/>
      <c r="FQ505" s="800"/>
      <c r="FR505" s="800"/>
      <c r="FS505" s="800"/>
      <c r="FT505" s="800"/>
      <c r="FU505" s="800"/>
      <c r="FV505" s="800"/>
      <c r="FW505" s="800"/>
      <c r="FX505" s="800"/>
      <c r="FY505" s="800"/>
      <c r="FZ505" s="800"/>
      <c r="GA505" s="800"/>
      <c r="GB505" s="800"/>
      <c r="GC505" s="800"/>
      <c r="GD505" s="800"/>
      <c r="GE505" s="800"/>
      <c r="GF505" s="800"/>
      <c r="GG505" s="800"/>
      <c r="GH505" s="800"/>
      <c r="GI505" s="800"/>
      <c r="GJ505" s="800"/>
      <c r="GK505" s="800"/>
      <c r="GL505" s="800"/>
      <c r="GM505" s="800"/>
      <c r="GN505" s="800"/>
      <c r="GO505" s="800"/>
      <c r="GP505" s="800"/>
      <c r="GQ505" s="800"/>
      <c r="GR505" s="800"/>
      <c r="GS505" s="800"/>
      <c r="GT505" s="800"/>
      <c r="GU505" s="800"/>
      <c r="GV505" s="800"/>
      <c r="GW505" s="800"/>
      <c r="GX505" s="800"/>
      <c r="GY505" s="800"/>
      <c r="GZ505" s="800"/>
      <c r="HA505" s="800"/>
      <c r="HB505" s="800"/>
      <c r="HC505" s="800"/>
      <c r="HD505" s="800"/>
      <c r="HE505" s="800"/>
      <c r="HF505" s="800"/>
      <c r="HG505" s="800"/>
      <c r="HH505" s="800"/>
      <c r="HI505" s="800"/>
      <c r="HJ505" s="800"/>
    </row>
    <row r="506" spans="1:218" s="800" customFormat="1" ht="19.5" customHeight="1">
      <c r="A506" s="794">
        <v>504</v>
      </c>
      <c r="B506" s="785" t="s">
        <v>638</v>
      </c>
      <c r="C506" s="785" t="s">
        <v>1261</v>
      </c>
      <c r="D506" s="792">
        <v>39186</v>
      </c>
      <c r="E506" s="792">
        <v>40070</v>
      </c>
      <c r="F506" s="857">
        <v>2007</v>
      </c>
      <c r="G506" s="789" t="s">
        <v>637</v>
      </c>
      <c r="H506" s="800" t="s">
        <v>1454</v>
      </c>
      <c r="I506" s="785" t="s">
        <v>636</v>
      </c>
      <c r="J506" s="812" t="s">
        <v>2438</v>
      </c>
      <c r="K506" s="842">
        <v>9000</v>
      </c>
      <c r="L506" s="842">
        <v>1776895</v>
      </c>
      <c r="M506" s="842">
        <v>1776061</v>
      </c>
      <c r="N506" s="842">
        <v>1776061</v>
      </c>
      <c r="O506" s="808">
        <f t="shared" si="32"/>
        <v>197.3401111111111</v>
      </c>
      <c r="P506" s="842">
        <v>100</v>
      </c>
      <c r="Q506" s="842">
        <v>7500</v>
      </c>
      <c r="R506" s="842">
        <v>7500</v>
      </c>
      <c r="S506" s="842">
        <v>7500</v>
      </c>
      <c r="T506" s="842" t="s">
        <v>95</v>
      </c>
      <c r="U506" s="842">
        <v>30</v>
      </c>
      <c r="V506" s="842">
        <v>2382</v>
      </c>
      <c r="W506" s="842">
        <v>314000</v>
      </c>
      <c r="X506" s="842">
        <v>186495</v>
      </c>
      <c r="Y506" s="808">
        <f>X506/S506</f>
        <v>24.866</v>
      </c>
      <c r="Z506" s="842" t="s">
        <v>75</v>
      </c>
      <c r="AA506" s="842" t="s">
        <v>75</v>
      </c>
      <c r="AB506" s="842">
        <v>20</v>
      </c>
      <c r="AC506" s="842">
        <v>434</v>
      </c>
      <c r="AD506" s="842" t="s">
        <v>75</v>
      </c>
      <c r="AE506" s="842">
        <v>540</v>
      </c>
      <c r="AF506" s="842" t="s">
        <v>75</v>
      </c>
      <c r="AG506" s="842" t="s">
        <v>75</v>
      </c>
      <c r="AH506" s="842" t="s">
        <v>75</v>
      </c>
      <c r="AI506" s="842" t="s">
        <v>75</v>
      </c>
      <c r="AJ506" s="808">
        <f t="shared" si="31"/>
        <v>0</v>
      </c>
      <c r="AK506" s="842">
        <v>1354</v>
      </c>
      <c r="AL506" s="842">
        <v>674</v>
      </c>
      <c r="AM506" s="842"/>
      <c r="AN506" s="842" t="s">
        <v>75</v>
      </c>
      <c r="AO506" s="842" t="s">
        <v>75</v>
      </c>
      <c r="AP506" s="842" t="s">
        <v>75</v>
      </c>
      <c r="AQ506" s="842" t="s">
        <v>75</v>
      </c>
      <c r="AR506" s="842" t="s">
        <v>75</v>
      </c>
      <c r="AS506" s="842" t="s">
        <v>75</v>
      </c>
      <c r="AT506" s="842" t="s">
        <v>75</v>
      </c>
      <c r="AU506" s="293" t="s">
        <v>635</v>
      </c>
      <c r="AV506" s="785"/>
      <c r="AW506" s="785"/>
      <c r="AX506" s="785"/>
      <c r="AY506" s="785"/>
      <c r="AZ506" s="785"/>
      <c r="BA506" s="785"/>
      <c r="BB506" s="785"/>
      <c r="BC506" s="785"/>
      <c r="BD506" s="785"/>
      <c r="BE506" s="785"/>
      <c r="BF506" s="785"/>
      <c r="BG506" s="785"/>
      <c r="BH506" s="785"/>
      <c r="BI506" s="785"/>
      <c r="BJ506" s="785"/>
      <c r="BK506" s="785"/>
      <c r="BL506" s="785"/>
      <c r="BM506" s="785"/>
    </row>
    <row r="507" spans="1:218" s="800" customFormat="1" ht="16.5" customHeight="1">
      <c r="A507" s="794">
        <v>505</v>
      </c>
      <c r="B507" s="838" t="s">
        <v>2372</v>
      </c>
      <c r="C507" s="842" t="s">
        <v>1299</v>
      </c>
      <c r="D507" s="792">
        <v>39083</v>
      </c>
      <c r="E507" s="792">
        <v>39630</v>
      </c>
      <c r="F507" s="857">
        <v>2007</v>
      </c>
      <c r="G507" s="817" t="s">
        <v>5</v>
      </c>
      <c r="H507" s="808" t="s">
        <v>1451</v>
      </c>
      <c r="I507" s="842" t="s">
        <v>600</v>
      </c>
      <c r="J507" s="812" t="s">
        <v>2438</v>
      </c>
      <c r="K507" s="842">
        <v>154150</v>
      </c>
      <c r="L507" s="842">
        <v>8223204</v>
      </c>
      <c r="M507" s="842">
        <v>5490949</v>
      </c>
      <c r="N507" s="842">
        <v>5490949</v>
      </c>
      <c r="O507" s="808">
        <f t="shared" si="32"/>
        <v>35.620817385663315</v>
      </c>
      <c r="P507" s="842">
        <v>67</v>
      </c>
      <c r="Q507" s="842">
        <v>37500</v>
      </c>
      <c r="R507" s="842">
        <v>37500</v>
      </c>
      <c r="S507" s="842">
        <v>37500</v>
      </c>
      <c r="T507" s="842" t="s">
        <v>95</v>
      </c>
      <c r="U507" s="842">
        <v>160</v>
      </c>
      <c r="V507" s="842">
        <v>50000</v>
      </c>
      <c r="W507" s="842">
        <v>1815873</v>
      </c>
      <c r="X507" s="842">
        <v>353230</v>
      </c>
      <c r="Y507" s="808">
        <f>X507/S507</f>
        <v>9.4194666666666667</v>
      </c>
      <c r="Z507" s="842">
        <v>39000</v>
      </c>
      <c r="AA507" s="842">
        <v>39275</v>
      </c>
      <c r="AB507" s="842" t="s">
        <v>75</v>
      </c>
      <c r="AC507" s="842" t="s">
        <v>75</v>
      </c>
      <c r="AD507" s="842" t="s">
        <v>75</v>
      </c>
      <c r="AE507" s="842">
        <v>21491</v>
      </c>
      <c r="AF507" s="842" t="s">
        <v>75</v>
      </c>
      <c r="AG507" s="842" t="s">
        <v>75</v>
      </c>
      <c r="AH507" s="842" t="s">
        <v>75</v>
      </c>
      <c r="AI507" s="842" t="s">
        <v>75</v>
      </c>
      <c r="AJ507" s="808">
        <f t="shared" si="31"/>
        <v>78275</v>
      </c>
      <c r="AK507" s="842">
        <v>20170</v>
      </c>
      <c r="AL507" s="842">
        <v>21124</v>
      </c>
      <c r="AM507" s="842"/>
      <c r="AN507" s="842" t="s">
        <v>75</v>
      </c>
      <c r="AO507" s="842" t="s">
        <v>75</v>
      </c>
      <c r="AP507" s="842" t="s">
        <v>75</v>
      </c>
      <c r="AQ507" s="842" t="s">
        <v>75</v>
      </c>
      <c r="AR507" s="842" t="s">
        <v>75</v>
      </c>
      <c r="AS507" s="842" t="s">
        <v>75</v>
      </c>
      <c r="AT507" s="842" t="s">
        <v>2</v>
      </c>
      <c r="AU507" s="396" t="s">
        <v>673</v>
      </c>
      <c r="AV507" s="842"/>
      <c r="AW507" s="842"/>
      <c r="AX507" s="842"/>
      <c r="AY507" s="842"/>
      <c r="AZ507" s="842"/>
      <c r="BA507" s="842"/>
      <c r="BB507" s="842"/>
      <c r="BC507" s="842"/>
      <c r="BD507" s="842"/>
      <c r="BE507" s="842"/>
      <c r="BF507" s="842"/>
      <c r="BG507" s="842"/>
      <c r="BH507" s="842"/>
      <c r="BI507" s="842"/>
      <c r="BJ507" s="842"/>
      <c r="BK507" s="842"/>
      <c r="BL507" s="842"/>
      <c r="BM507" s="842"/>
    </row>
    <row r="508" spans="1:218" s="790" customFormat="1" ht="18.75" customHeight="1">
      <c r="A508" s="794">
        <v>506</v>
      </c>
      <c r="B508" s="857" t="s">
        <v>26</v>
      </c>
      <c r="C508" s="857" t="s">
        <v>1299</v>
      </c>
      <c r="D508" s="840">
        <v>39264</v>
      </c>
      <c r="E508" s="840">
        <v>39539</v>
      </c>
      <c r="F508" s="857">
        <v>2007</v>
      </c>
      <c r="G508" s="857" t="s">
        <v>5</v>
      </c>
      <c r="H508" s="790" t="s">
        <v>1451</v>
      </c>
      <c r="I508" s="857" t="s">
        <v>1021</v>
      </c>
      <c r="J508" s="812" t="s">
        <v>2438</v>
      </c>
      <c r="K508" s="817">
        <v>1500000</v>
      </c>
      <c r="L508" s="817">
        <v>7384145</v>
      </c>
      <c r="M508" s="817">
        <v>5918478</v>
      </c>
      <c r="N508" s="817">
        <v>5918415</v>
      </c>
      <c r="O508" s="808">
        <f t="shared" si="32"/>
        <v>3.9456099999999998</v>
      </c>
      <c r="P508" s="817">
        <v>80</v>
      </c>
      <c r="Q508" s="817">
        <v>1300000</v>
      </c>
      <c r="R508" s="817"/>
      <c r="S508" s="817">
        <v>1300000</v>
      </c>
      <c r="T508" s="817" t="s">
        <v>2</v>
      </c>
      <c r="U508" s="817">
        <v>1500</v>
      </c>
      <c r="V508" s="817">
        <v>760550</v>
      </c>
      <c r="W508" s="817">
        <v>772334</v>
      </c>
      <c r="X508" s="817">
        <v>342728</v>
      </c>
      <c r="Y508" s="808">
        <f>X508/S508</f>
        <v>0.2636369230769231</v>
      </c>
      <c r="Z508" s="817"/>
      <c r="AA508" s="817">
        <v>760550</v>
      </c>
      <c r="AB508" s="817">
        <v>400</v>
      </c>
      <c r="AC508" s="817" t="s">
        <v>2</v>
      </c>
      <c r="AD508" s="817"/>
      <c r="AE508" s="817">
        <v>100125</v>
      </c>
      <c r="AF508" s="817"/>
      <c r="AG508" s="817"/>
      <c r="AH508" s="817"/>
      <c r="AI508" s="817"/>
      <c r="AJ508" s="787">
        <f t="shared" si="31"/>
        <v>760550</v>
      </c>
      <c r="AK508" s="817">
        <v>71711</v>
      </c>
      <c r="AL508" s="817">
        <v>85781</v>
      </c>
      <c r="AM508" s="817"/>
      <c r="AN508" s="817"/>
      <c r="AO508" s="817"/>
      <c r="AP508" s="817">
        <v>1</v>
      </c>
      <c r="AQ508" s="817"/>
      <c r="AR508" s="817"/>
      <c r="AS508" s="817"/>
      <c r="AT508" s="817"/>
      <c r="AU508" s="320" t="s">
        <v>1022</v>
      </c>
      <c r="AV508" s="857"/>
      <c r="AW508" s="857"/>
      <c r="AX508" s="857"/>
      <c r="AY508" s="857"/>
      <c r="AZ508" s="857"/>
      <c r="BA508" s="857"/>
      <c r="BB508" s="857"/>
      <c r="BC508" s="857"/>
      <c r="BD508" s="857"/>
      <c r="BE508" s="857"/>
      <c r="BF508" s="857"/>
      <c r="BG508" s="857"/>
      <c r="BH508" s="857"/>
      <c r="BI508" s="857"/>
      <c r="BJ508" s="857"/>
      <c r="BK508" s="857"/>
      <c r="BL508" s="857"/>
      <c r="BM508" s="857"/>
      <c r="BN508" s="800"/>
      <c r="BO508" s="800"/>
      <c r="BP508" s="800"/>
      <c r="BQ508" s="800"/>
      <c r="BR508" s="800"/>
      <c r="BS508" s="800"/>
      <c r="BT508" s="800"/>
      <c r="BU508" s="800"/>
      <c r="BV508" s="800"/>
      <c r="BW508" s="800"/>
      <c r="BX508" s="800"/>
      <c r="BY508" s="800"/>
      <c r="BZ508" s="800"/>
      <c r="CA508" s="800"/>
      <c r="CB508" s="800"/>
      <c r="CC508" s="800"/>
      <c r="CD508" s="800"/>
      <c r="CE508" s="800"/>
      <c r="CF508" s="800"/>
      <c r="CG508" s="800"/>
      <c r="CH508" s="800"/>
      <c r="CI508" s="800"/>
      <c r="CJ508" s="800"/>
      <c r="CK508" s="800"/>
      <c r="CL508" s="800"/>
      <c r="CM508" s="800"/>
      <c r="CN508" s="800"/>
      <c r="CO508" s="800"/>
      <c r="CP508" s="800"/>
      <c r="CQ508" s="800"/>
      <c r="CR508" s="800"/>
      <c r="CS508" s="800"/>
      <c r="CT508" s="800"/>
      <c r="CU508" s="800"/>
      <c r="CV508" s="800"/>
      <c r="CW508" s="800"/>
      <c r="CX508" s="800"/>
      <c r="CY508" s="800"/>
      <c r="CZ508" s="800"/>
      <c r="DA508" s="800"/>
      <c r="DB508" s="800"/>
      <c r="DC508" s="800"/>
      <c r="DD508" s="800"/>
      <c r="DE508" s="800"/>
      <c r="DF508" s="800"/>
      <c r="DG508" s="800"/>
      <c r="DH508" s="800"/>
      <c r="DI508" s="800"/>
      <c r="DJ508" s="800"/>
      <c r="DK508" s="800"/>
      <c r="DL508" s="800"/>
      <c r="DM508" s="800"/>
      <c r="DN508" s="800"/>
      <c r="DO508" s="800"/>
      <c r="DP508" s="800"/>
      <c r="DQ508" s="800"/>
      <c r="DR508" s="800"/>
      <c r="DS508" s="800"/>
      <c r="DT508" s="800"/>
      <c r="DU508" s="800"/>
      <c r="DV508" s="800"/>
      <c r="DW508" s="800"/>
      <c r="DX508" s="800"/>
      <c r="DY508" s="800"/>
      <c r="DZ508" s="800"/>
      <c r="EA508" s="800"/>
      <c r="EB508" s="800"/>
      <c r="EC508" s="800"/>
      <c r="ED508" s="800"/>
      <c r="EE508" s="800"/>
      <c r="EF508" s="800"/>
      <c r="EG508" s="800"/>
      <c r="EH508" s="800"/>
      <c r="EI508" s="800"/>
      <c r="EJ508" s="800"/>
      <c r="EK508" s="800"/>
      <c r="EL508" s="800"/>
      <c r="EM508" s="800"/>
      <c r="EN508" s="800"/>
      <c r="EO508" s="800"/>
      <c r="EP508" s="800"/>
      <c r="EQ508" s="800"/>
      <c r="ER508" s="800"/>
      <c r="ES508" s="800"/>
      <c r="ET508" s="800"/>
      <c r="EU508" s="800"/>
      <c r="EV508" s="800"/>
      <c r="EW508" s="800"/>
      <c r="EX508" s="800"/>
      <c r="EY508" s="800"/>
      <c r="EZ508" s="800"/>
      <c r="FA508" s="800"/>
      <c r="FB508" s="800"/>
      <c r="FC508" s="800"/>
      <c r="FD508" s="800"/>
      <c r="FE508" s="800"/>
      <c r="FF508" s="800"/>
      <c r="FG508" s="800"/>
      <c r="FH508" s="800"/>
      <c r="FI508" s="800"/>
      <c r="FJ508" s="800"/>
      <c r="FK508" s="800"/>
      <c r="FL508" s="800"/>
      <c r="FM508" s="800"/>
      <c r="FN508" s="800"/>
      <c r="FO508" s="800"/>
      <c r="FP508" s="800"/>
      <c r="FQ508" s="800"/>
      <c r="FR508" s="800"/>
      <c r="FS508" s="800"/>
      <c r="FT508" s="800"/>
      <c r="FU508" s="800"/>
      <c r="FV508" s="800"/>
      <c r="FW508" s="800"/>
      <c r="FX508" s="800"/>
      <c r="FY508" s="800"/>
      <c r="FZ508" s="800"/>
      <c r="GA508" s="800"/>
      <c r="GB508" s="800"/>
      <c r="GC508" s="800"/>
      <c r="GD508" s="800"/>
      <c r="GE508" s="800"/>
      <c r="GF508" s="800"/>
      <c r="GG508" s="800"/>
      <c r="GH508" s="800"/>
      <c r="GI508" s="800"/>
      <c r="GJ508" s="800"/>
      <c r="GK508" s="800"/>
      <c r="GL508" s="800"/>
      <c r="GM508" s="800"/>
      <c r="GN508" s="800"/>
      <c r="GO508" s="800"/>
      <c r="GP508" s="800"/>
      <c r="GQ508" s="800"/>
      <c r="GR508" s="800"/>
      <c r="GS508" s="800"/>
      <c r="GT508" s="800"/>
      <c r="GU508" s="800"/>
      <c r="GV508" s="800"/>
      <c r="GW508" s="800"/>
      <c r="GX508" s="800"/>
      <c r="GY508" s="800"/>
      <c r="GZ508" s="800"/>
      <c r="HA508" s="800"/>
      <c r="HB508" s="800"/>
      <c r="HC508" s="800"/>
      <c r="HD508" s="800"/>
      <c r="HE508" s="800"/>
      <c r="HF508" s="800"/>
      <c r="HG508" s="800"/>
      <c r="HH508" s="800"/>
      <c r="HI508" s="800"/>
      <c r="HJ508" s="800"/>
    </row>
    <row r="509" spans="1:218" s="882" customFormat="1" ht="15">
      <c r="A509" s="794">
        <v>507</v>
      </c>
      <c r="B509" s="790" t="s">
        <v>26</v>
      </c>
      <c r="C509" s="800" t="s">
        <v>1299</v>
      </c>
      <c r="D509" s="824">
        <v>39264</v>
      </c>
      <c r="E509" s="824">
        <v>39448</v>
      </c>
      <c r="F509" s="857">
        <v>2007</v>
      </c>
      <c r="G509" s="790" t="s">
        <v>569</v>
      </c>
      <c r="H509" s="790" t="s">
        <v>1449</v>
      </c>
      <c r="I509" s="790" t="s">
        <v>1899</v>
      </c>
      <c r="J509" s="800" t="s">
        <v>2331</v>
      </c>
      <c r="K509" s="787">
        <v>900000</v>
      </c>
      <c r="L509" s="787">
        <v>218289</v>
      </c>
      <c r="M509" s="787">
        <v>214172</v>
      </c>
      <c r="N509" s="787">
        <v>214172</v>
      </c>
      <c r="O509" s="808">
        <f t="shared" si="32"/>
        <v>0.2379688888888889</v>
      </c>
      <c r="P509" s="787">
        <v>98</v>
      </c>
      <c r="Q509" s="787"/>
      <c r="R509" s="787"/>
      <c r="S509" s="808"/>
      <c r="T509" s="787"/>
      <c r="U509" s="787"/>
      <c r="V509" s="787"/>
      <c r="W509" s="787" t="s">
        <v>66</v>
      </c>
      <c r="X509" s="787" t="s">
        <v>66</v>
      </c>
      <c r="Y509" s="808"/>
      <c r="Z509" s="787"/>
      <c r="AA509" s="787">
        <v>500000</v>
      </c>
      <c r="AB509" s="787">
        <v>303</v>
      </c>
      <c r="AC509" s="787"/>
      <c r="AD509" s="787"/>
      <c r="AE509" s="787"/>
      <c r="AF509" s="787"/>
      <c r="AG509" s="787"/>
      <c r="AH509" s="808">
        <v>5800</v>
      </c>
      <c r="AI509" s="787"/>
      <c r="AJ509" s="787">
        <f t="shared" si="31"/>
        <v>505800</v>
      </c>
      <c r="AK509" s="787">
        <v>20000</v>
      </c>
      <c r="AL509" s="787">
        <v>12966</v>
      </c>
      <c r="AM509" s="787"/>
      <c r="AN509" s="787"/>
      <c r="AO509" s="787"/>
      <c r="AP509" s="787"/>
      <c r="AQ509" s="787"/>
      <c r="AR509" s="787"/>
      <c r="AS509" s="787"/>
      <c r="AT509" s="787"/>
      <c r="AU509" s="790" t="s">
        <v>1898</v>
      </c>
      <c r="AV509" s="790"/>
      <c r="AW509" s="790"/>
      <c r="AX509" s="790"/>
      <c r="AY509" s="790"/>
      <c r="AZ509" s="790"/>
      <c r="BA509" s="790"/>
      <c r="BB509" s="790"/>
      <c r="BC509" s="790"/>
      <c r="BD509" s="790"/>
      <c r="BE509" s="790"/>
      <c r="BF509" s="790"/>
      <c r="BG509" s="790"/>
      <c r="BH509" s="790"/>
      <c r="BI509" s="790"/>
      <c r="BJ509" s="790"/>
      <c r="BK509" s="790"/>
      <c r="BL509" s="790"/>
      <c r="BM509" s="800"/>
      <c r="BN509" s="800"/>
      <c r="BO509" s="800"/>
      <c r="BP509" s="800"/>
      <c r="BQ509" s="800"/>
      <c r="BR509" s="800"/>
      <c r="BS509" s="800"/>
      <c r="BT509" s="800"/>
      <c r="BU509" s="800"/>
      <c r="BV509" s="800"/>
      <c r="BW509" s="800"/>
      <c r="BX509" s="800"/>
      <c r="BY509" s="800"/>
      <c r="BZ509" s="800"/>
      <c r="CA509" s="800"/>
      <c r="CB509" s="800"/>
      <c r="CC509" s="800"/>
      <c r="CD509" s="800"/>
      <c r="CE509" s="800"/>
      <c r="CF509" s="800"/>
      <c r="CG509" s="800"/>
      <c r="CH509" s="800"/>
      <c r="CI509" s="800"/>
      <c r="CJ509" s="800"/>
      <c r="CK509" s="800"/>
      <c r="CL509" s="800"/>
      <c r="CM509" s="800"/>
      <c r="CN509" s="800"/>
      <c r="CO509" s="800"/>
      <c r="CP509" s="800"/>
      <c r="CQ509" s="800"/>
      <c r="CR509" s="800"/>
      <c r="CS509" s="800"/>
      <c r="CT509" s="800"/>
      <c r="CU509" s="800"/>
      <c r="CV509" s="800"/>
      <c r="CW509" s="800"/>
      <c r="CX509" s="800"/>
      <c r="CY509" s="800"/>
      <c r="CZ509" s="800"/>
      <c r="DA509" s="800"/>
      <c r="DB509" s="800"/>
      <c r="DC509" s="800"/>
      <c r="DD509" s="800"/>
      <c r="DE509" s="800"/>
      <c r="DF509" s="800"/>
      <c r="DG509" s="800"/>
      <c r="DH509" s="800"/>
      <c r="DI509" s="800"/>
      <c r="DJ509" s="800"/>
      <c r="DK509" s="800"/>
      <c r="DL509" s="800"/>
      <c r="DM509" s="800"/>
      <c r="DN509" s="800"/>
      <c r="DO509" s="800"/>
      <c r="DP509" s="800"/>
      <c r="DQ509" s="800"/>
      <c r="DR509" s="800"/>
      <c r="DS509" s="800"/>
      <c r="DT509" s="800"/>
      <c r="DU509" s="800"/>
      <c r="DV509" s="800"/>
      <c r="DW509" s="800"/>
      <c r="DX509" s="800"/>
      <c r="DY509" s="800"/>
      <c r="DZ509" s="800"/>
      <c r="EA509" s="800"/>
      <c r="EB509" s="800"/>
      <c r="EC509" s="800"/>
      <c r="ED509" s="800"/>
      <c r="EE509" s="800"/>
      <c r="EF509" s="800"/>
      <c r="EG509" s="800"/>
      <c r="EH509" s="800"/>
      <c r="EI509" s="800"/>
      <c r="EJ509" s="800"/>
      <c r="EK509" s="800"/>
      <c r="EL509" s="800"/>
      <c r="EM509" s="800"/>
      <c r="EN509" s="800"/>
      <c r="EO509" s="800"/>
      <c r="EP509" s="800"/>
      <c r="EQ509" s="800"/>
      <c r="ER509" s="800"/>
      <c r="ES509" s="800"/>
      <c r="ET509" s="800"/>
      <c r="EU509" s="800"/>
      <c r="EV509" s="800"/>
      <c r="EW509" s="800"/>
      <c r="EX509" s="800"/>
      <c r="EY509" s="800"/>
      <c r="EZ509" s="800"/>
      <c r="FA509" s="800"/>
      <c r="FB509" s="800"/>
      <c r="FC509" s="800"/>
      <c r="FD509" s="800"/>
      <c r="FE509" s="800"/>
      <c r="FF509" s="800"/>
      <c r="FG509" s="800"/>
      <c r="FH509" s="800"/>
      <c r="FI509" s="800"/>
      <c r="FJ509" s="800"/>
      <c r="FK509" s="800"/>
      <c r="FL509" s="800"/>
      <c r="FM509" s="800"/>
      <c r="FN509" s="800"/>
      <c r="FO509" s="800"/>
      <c r="FP509" s="800"/>
      <c r="FQ509" s="800"/>
      <c r="FR509" s="800"/>
      <c r="FS509" s="800"/>
      <c r="FT509" s="800"/>
      <c r="FU509" s="800"/>
      <c r="FV509" s="800"/>
      <c r="FW509" s="800"/>
      <c r="FX509" s="800"/>
      <c r="FY509" s="800"/>
      <c r="FZ509" s="800"/>
      <c r="GA509" s="800"/>
      <c r="GB509" s="800"/>
      <c r="GC509" s="800"/>
      <c r="GD509" s="800"/>
      <c r="GE509" s="800"/>
      <c r="GF509" s="800"/>
      <c r="GG509" s="800"/>
      <c r="GH509" s="800"/>
      <c r="GI509" s="800"/>
      <c r="GJ509" s="800"/>
      <c r="GK509" s="800"/>
      <c r="GL509" s="800"/>
      <c r="GM509" s="800"/>
      <c r="GN509" s="800"/>
      <c r="GO509" s="800"/>
      <c r="GP509" s="800"/>
      <c r="GQ509" s="800"/>
      <c r="GR509" s="800"/>
      <c r="GS509" s="800"/>
      <c r="GT509" s="800"/>
      <c r="GU509" s="800"/>
      <c r="GV509" s="800"/>
      <c r="GW509" s="800"/>
      <c r="GX509" s="800"/>
      <c r="GY509" s="800"/>
      <c r="GZ509" s="800"/>
      <c r="HA509" s="800"/>
      <c r="HB509" s="800"/>
      <c r="HC509" s="800"/>
      <c r="HD509" s="800"/>
      <c r="HE509" s="800"/>
      <c r="HF509" s="800"/>
      <c r="HG509" s="800"/>
      <c r="HH509" s="800"/>
      <c r="HI509" s="800"/>
      <c r="HJ509" s="800"/>
    </row>
    <row r="510" spans="1:218" s="800" customFormat="1" ht="15">
      <c r="A510" s="794">
        <v>508</v>
      </c>
      <c r="B510" s="800" t="s">
        <v>138</v>
      </c>
      <c r="C510" s="800" t="s">
        <v>1299</v>
      </c>
      <c r="D510" s="819">
        <v>39114</v>
      </c>
      <c r="E510" s="819">
        <v>39508</v>
      </c>
      <c r="F510" s="857">
        <v>2007</v>
      </c>
      <c r="G510" s="800" t="s">
        <v>1902</v>
      </c>
      <c r="H510" s="800" t="s">
        <v>1451</v>
      </c>
      <c r="I510" s="800" t="s">
        <v>1901</v>
      </c>
      <c r="J510" s="800" t="s">
        <v>2331</v>
      </c>
      <c r="K510" s="808">
        <v>3344</v>
      </c>
      <c r="L510" s="808">
        <v>51535</v>
      </c>
      <c r="M510" s="808">
        <v>48117</v>
      </c>
      <c r="N510" s="808">
        <v>48117</v>
      </c>
      <c r="O510" s="808">
        <f t="shared" si="32"/>
        <v>14.389055023923445</v>
      </c>
      <c r="P510" s="808">
        <v>93</v>
      </c>
      <c r="Q510" s="808"/>
      <c r="R510" s="808"/>
      <c r="S510" s="808"/>
      <c r="T510" s="808"/>
      <c r="U510" s="808"/>
      <c r="V510" s="808"/>
      <c r="W510" s="808"/>
      <c r="X510" s="808"/>
      <c r="Y510" s="808"/>
      <c r="Z510" s="808"/>
      <c r="AA510" s="808"/>
      <c r="AB510" s="808"/>
      <c r="AC510" s="808"/>
      <c r="AD510" s="808"/>
      <c r="AE510" s="808"/>
      <c r="AF510" s="808"/>
      <c r="AG510" s="808"/>
      <c r="AH510" s="808"/>
      <c r="AI510" s="808"/>
      <c r="AJ510" s="808">
        <f t="shared" si="31"/>
        <v>0</v>
      </c>
      <c r="AK510" s="808"/>
      <c r="AL510" s="808"/>
      <c r="AM510" s="808"/>
      <c r="AN510" s="808"/>
      <c r="AO510" s="808"/>
      <c r="AP510" s="808"/>
      <c r="AQ510" s="808"/>
      <c r="AR510" s="808"/>
      <c r="AS510" s="808"/>
      <c r="AT510" s="808"/>
      <c r="AU510" s="800" t="s">
        <v>1900</v>
      </c>
    </row>
    <row r="511" spans="1:218" s="800" customFormat="1" ht="19.5" customHeight="1">
      <c r="A511" s="794">
        <v>509</v>
      </c>
      <c r="B511" s="789" t="s">
        <v>196</v>
      </c>
      <c r="C511" s="789" t="s">
        <v>1260</v>
      </c>
      <c r="D511" s="840">
        <v>39173</v>
      </c>
      <c r="E511" s="840">
        <v>39203</v>
      </c>
      <c r="F511" s="857">
        <v>2007</v>
      </c>
      <c r="G511" s="789" t="s">
        <v>197</v>
      </c>
      <c r="H511" s="800" t="s">
        <v>1451</v>
      </c>
      <c r="I511" s="789" t="s">
        <v>195</v>
      </c>
      <c r="J511" s="800" t="s">
        <v>2331</v>
      </c>
      <c r="K511" s="817">
        <v>17184</v>
      </c>
      <c r="L511" s="817">
        <v>85115</v>
      </c>
      <c r="M511" s="817">
        <v>81701</v>
      </c>
      <c r="N511" s="817">
        <v>81701</v>
      </c>
      <c r="O511" s="808">
        <f t="shared" si="32"/>
        <v>4.7544809124767227</v>
      </c>
      <c r="P511" s="817">
        <v>96</v>
      </c>
      <c r="Q511" s="817"/>
      <c r="R511" s="817"/>
      <c r="S511" s="848"/>
      <c r="T511" s="817" t="s">
        <v>233</v>
      </c>
      <c r="U511" s="817"/>
      <c r="V511" s="817" t="s">
        <v>75</v>
      </c>
      <c r="W511" s="817" t="s">
        <v>66</v>
      </c>
      <c r="X511" s="817" t="s">
        <v>66</v>
      </c>
      <c r="Y511" s="817"/>
      <c r="Z511" s="817"/>
      <c r="AA511" s="817"/>
      <c r="AB511" s="817"/>
      <c r="AC511" s="817"/>
      <c r="AD511" s="817"/>
      <c r="AE511" s="817"/>
      <c r="AF511" s="817" t="s">
        <v>75</v>
      </c>
      <c r="AG511" s="817" t="s">
        <v>75</v>
      </c>
      <c r="AH511" s="817"/>
      <c r="AI511" s="817"/>
      <c r="AJ511" s="808">
        <f t="shared" si="31"/>
        <v>0</v>
      </c>
      <c r="AK511" s="817" t="s">
        <v>66</v>
      </c>
      <c r="AL511" s="817" t="s">
        <v>66</v>
      </c>
      <c r="AM511" s="817"/>
      <c r="AN511" s="817" t="s">
        <v>75</v>
      </c>
      <c r="AO511" s="817" t="s">
        <v>75</v>
      </c>
      <c r="AP511" s="817" t="s">
        <v>75</v>
      </c>
      <c r="AQ511" s="817" t="s">
        <v>75</v>
      </c>
      <c r="AR511" s="817" t="s">
        <v>75</v>
      </c>
      <c r="AS511" s="817" t="s">
        <v>75</v>
      </c>
      <c r="AT511" s="817" t="s">
        <v>75</v>
      </c>
      <c r="AU511" s="363" t="s">
        <v>198</v>
      </c>
      <c r="AV511" s="789"/>
      <c r="AW511" s="789"/>
      <c r="AX511" s="789"/>
      <c r="AY511" s="789"/>
      <c r="AZ511" s="789"/>
      <c r="BA511" s="789"/>
      <c r="BB511" s="789"/>
      <c r="BC511" s="789"/>
      <c r="BD511" s="789"/>
      <c r="BE511" s="789"/>
      <c r="BF511" s="789"/>
      <c r="BG511" s="789"/>
      <c r="BH511" s="789"/>
      <c r="BI511" s="789"/>
      <c r="BJ511" s="789"/>
      <c r="BK511" s="789"/>
      <c r="BL511" s="789"/>
      <c r="BM511" s="789"/>
    </row>
    <row r="512" spans="1:218" s="800" customFormat="1" ht="15">
      <c r="A512" s="794">
        <v>510</v>
      </c>
      <c r="B512" s="800" t="s">
        <v>196</v>
      </c>
      <c r="C512" s="800" t="s">
        <v>1260</v>
      </c>
      <c r="D512" s="819">
        <v>39264</v>
      </c>
      <c r="E512" s="819">
        <v>39417</v>
      </c>
      <c r="F512" s="857">
        <v>2007</v>
      </c>
      <c r="G512" s="800" t="s">
        <v>24</v>
      </c>
      <c r="H512" s="800" t="s">
        <v>1454</v>
      </c>
      <c r="I512" s="800" t="s">
        <v>1904</v>
      </c>
      <c r="J512" s="800" t="s">
        <v>2331</v>
      </c>
      <c r="K512" s="808">
        <v>720</v>
      </c>
      <c r="L512" s="808">
        <v>55000</v>
      </c>
      <c r="M512" s="808">
        <v>50393</v>
      </c>
      <c r="N512" s="808">
        <v>50393</v>
      </c>
      <c r="O512" s="808">
        <f t="shared" si="32"/>
        <v>69.990277777777777</v>
      </c>
      <c r="P512" s="808">
        <f>5039300/L512</f>
        <v>91.623636363636365</v>
      </c>
      <c r="Q512" s="808"/>
      <c r="R512" s="808"/>
      <c r="S512" s="808"/>
      <c r="T512" s="808"/>
      <c r="U512" s="808"/>
      <c r="V512" s="808"/>
      <c r="W512" s="808"/>
      <c r="X512" s="808"/>
      <c r="Y512" s="808"/>
      <c r="Z512" s="808"/>
      <c r="AA512" s="808"/>
      <c r="AB512" s="808"/>
      <c r="AC512" s="808"/>
      <c r="AD512" s="808"/>
      <c r="AE512" s="808"/>
      <c r="AF512" s="808"/>
      <c r="AG512" s="808"/>
      <c r="AH512" s="808"/>
      <c r="AI512" s="808"/>
      <c r="AJ512" s="808">
        <f t="shared" si="31"/>
        <v>0</v>
      </c>
      <c r="AK512" s="808"/>
      <c r="AL512" s="808"/>
      <c r="AM512" s="808"/>
      <c r="AN512" s="808"/>
      <c r="AO512" s="808"/>
      <c r="AP512" s="808"/>
      <c r="AQ512" s="808"/>
      <c r="AR512" s="808"/>
      <c r="AS512" s="808"/>
      <c r="AT512" s="808"/>
      <c r="AU512" s="800" t="s">
        <v>1903</v>
      </c>
    </row>
    <row r="513" spans="1:218" s="800" customFormat="1" ht="15">
      <c r="A513" s="794">
        <v>511</v>
      </c>
      <c r="B513" s="785" t="s">
        <v>1995</v>
      </c>
      <c r="C513" s="785" t="s">
        <v>1286</v>
      </c>
      <c r="D513" s="792">
        <v>39430</v>
      </c>
      <c r="E513" s="792">
        <v>39629</v>
      </c>
      <c r="F513" s="857">
        <v>2007</v>
      </c>
      <c r="G513" s="789" t="s">
        <v>685</v>
      </c>
      <c r="H513" s="800" t="s">
        <v>1450</v>
      </c>
      <c r="I513" s="785" t="s">
        <v>684</v>
      </c>
      <c r="J513" s="812" t="s">
        <v>2438</v>
      </c>
      <c r="K513" s="842">
        <v>108550</v>
      </c>
      <c r="L513" s="842">
        <v>2927000</v>
      </c>
      <c r="M513" s="842">
        <v>2843771</v>
      </c>
      <c r="N513" s="842">
        <v>2843771</v>
      </c>
      <c r="O513" s="808">
        <f t="shared" si="32"/>
        <v>26.197798249654536</v>
      </c>
      <c r="P513" s="842">
        <v>98</v>
      </c>
      <c r="Q513" s="842" t="s">
        <v>75</v>
      </c>
      <c r="R513" s="842" t="s">
        <v>75</v>
      </c>
      <c r="S513" s="842"/>
      <c r="T513" s="842" t="s">
        <v>95</v>
      </c>
      <c r="U513" s="842" t="s">
        <v>75</v>
      </c>
      <c r="V513" s="842">
        <v>5000</v>
      </c>
      <c r="W513" s="842">
        <v>5458</v>
      </c>
      <c r="X513" s="842">
        <v>5096</v>
      </c>
      <c r="Y513" s="842"/>
      <c r="Z513" s="842" t="s">
        <v>75</v>
      </c>
      <c r="AA513" s="842">
        <v>1000</v>
      </c>
      <c r="AB513" s="842" t="s">
        <v>75</v>
      </c>
      <c r="AC513" s="842" t="s">
        <v>75</v>
      </c>
      <c r="AD513" s="842" t="s">
        <v>75</v>
      </c>
      <c r="AE513" s="842">
        <v>2450</v>
      </c>
      <c r="AF513" s="842" t="s">
        <v>75</v>
      </c>
      <c r="AG513" s="842" t="s">
        <v>75</v>
      </c>
      <c r="AH513" s="842" t="s">
        <v>75</v>
      </c>
      <c r="AI513" s="842" t="s">
        <v>75</v>
      </c>
      <c r="AJ513" s="808">
        <f t="shared" si="31"/>
        <v>1000</v>
      </c>
      <c r="AK513" s="842" t="s">
        <v>339</v>
      </c>
      <c r="AL513" s="842">
        <v>90</v>
      </c>
      <c r="AM513" s="842"/>
      <c r="AN513" s="842" t="s">
        <v>75</v>
      </c>
      <c r="AO513" s="842" t="s">
        <v>75</v>
      </c>
      <c r="AP513" s="842" t="s">
        <v>75</v>
      </c>
      <c r="AQ513" s="842" t="s">
        <v>75</v>
      </c>
      <c r="AR513" s="842" t="s">
        <v>75</v>
      </c>
      <c r="AS513" s="842" t="s">
        <v>75</v>
      </c>
      <c r="AT513" s="842" t="s">
        <v>2</v>
      </c>
      <c r="AU513" s="276" t="s">
        <v>683</v>
      </c>
      <c r="AV513" s="785"/>
      <c r="AW513" s="785"/>
      <c r="AX513" s="785"/>
      <c r="AY513" s="785"/>
      <c r="AZ513" s="785"/>
      <c r="BA513" s="785"/>
      <c r="BB513" s="785"/>
      <c r="BC513" s="785"/>
      <c r="BD513" s="785"/>
      <c r="BE513" s="785"/>
      <c r="BF513" s="785"/>
      <c r="BG513" s="785"/>
      <c r="BH513" s="785"/>
      <c r="BI513" s="785"/>
      <c r="BJ513" s="785"/>
      <c r="BK513" s="785"/>
      <c r="BL513" s="785"/>
      <c r="BM513" s="785"/>
    </row>
    <row r="514" spans="1:218" s="800" customFormat="1" ht="15.75" customHeight="1">
      <c r="A514" s="794">
        <v>512</v>
      </c>
      <c r="B514" s="817" t="s">
        <v>201</v>
      </c>
      <c r="C514" s="817" t="s">
        <v>1261</v>
      </c>
      <c r="D514" s="840">
        <v>39083</v>
      </c>
      <c r="E514" s="840">
        <v>39568</v>
      </c>
      <c r="F514" s="857">
        <v>2007</v>
      </c>
      <c r="G514" s="817" t="s">
        <v>794</v>
      </c>
      <c r="H514" s="808" t="s">
        <v>1451</v>
      </c>
      <c r="I514" s="817" t="s">
        <v>793</v>
      </c>
      <c r="J514" s="800" t="s">
        <v>2331</v>
      </c>
      <c r="K514" s="817">
        <v>947</v>
      </c>
      <c r="L514" s="817">
        <v>145212</v>
      </c>
      <c r="M514" s="817">
        <v>135854</v>
      </c>
      <c r="N514" s="817">
        <v>135854</v>
      </c>
      <c r="O514" s="808">
        <f t="shared" si="32"/>
        <v>143.4572333685322</v>
      </c>
      <c r="P514" s="817">
        <v>94</v>
      </c>
      <c r="Q514" s="817" t="s">
        <v>75</v>
      </c>
      <c r="R514" s="817" t="s">
        <v>75</v>
      </c>
      <c r="S514" s="817" t="s">
        <v>75</v>
      </c>
      <c r="T514" s="817" t="s">
        <v>849</v>
      </c>
      <c r="U514" s="817" t="s">
        <v>75</v>
      </c>
      <c r="V514" s="817" t="s">
        <v>75</v>
      </c>
      <c r="W514" s="817" t="s">
        <v>75</v>
      </c>
      <c r="X514" s="817" t="s">
        <v>75</v>
      </c>
      <c r="Y514" s="817"/>
      <c r="Z514" s="817" t="s">
        <v>75</v>
      </c>
      <c r="AA514" s="817" t="s">
        <v>75</v>
      </c>
      <c r="AB514" s="817" t="s">
        <v>75</v>
      </c>
      <c r="AC514" s="817" t="s">
        <v>75</v>
      </c>
      <c r="AD514" s="817" t="s">
        <v>75</v>
      </c>
      <c r="AE514" s="817" t="s">
        <v>75</v>
      </c>
      <c r="AF514" s="817" t="s">
        <v>75</v>
      </c>
      <c r="AG514" s="817" t="s">
        <v>75</v>
      </c>
      <c r="AH514" s="817" t="s">
        <v>75</v>
      </c>
      <c r="AI514" s="817" t="s">
        <v>75</v>
      </c>
      <c r="AJ514" s="808">
        <f t="shared" si="31"/>
        <v>0</v>
      </c>
      <c r="AK514" s="817" t="s">
        <v>75</v>
      </c>
      <c r="AL514" s="817" t="s">
        <v>75</v>
      </c>
      <c r="AM514" s="817"/>
      <c r="AN514" s="817" t="s">
        <v>75</v>
      </c>
      <c r="AO514" s="817" t="s">
        <v>75</v>
      </c>
      <c r="AP514" s="817" t="s">
        <v>75</v>
      </c>
      <c r="AQ514" s="817" t="s">
        <v>75</v>
      </c>
      <c r="AR514" s="817" t="s">
        <v>75</v>
      </c>
      <c r="AS514" s="817" t="s">
        <v>75</v>
      </c>
      <c r="AT514" s="817" t="s">
        <v>75</v>
      </c>
      <c r="AU514" s="398" t="s">
        <v>792</v>
      </c>
      <c r="AV514" s="817"/>
      <c r="AW514" s="817"/>
      <c r="AX514" s="817"/>
      <c r="AY514" s="817"/>
      <c r="AZ514" s="817"/>
      <c r="BA514" s="817"/>
      <c r="BB514" s="817"/>
      <c r="BC514" s="817"/>
      <c r="BD514" s="817"/>
      <c r="BE514" s="817"/>
      <c r="BF514" s="817"/>
      <c r="BG514" s="817"/>
      <c r="BH514" s="817"/>
      <c r="BI514" s="817"/>
      <c r="BJ514" s="817"/>
      <c r="BK514" s="817"/>
      <c r="BL514" s="817"/>
      <c r="BM514" s="817"/>
    </row>
    <row r="515" spans="1:218" s="882" customFormat="1" ht="23.25" customHeight="1">
      <c r="A515" s="794">
        <v>513</v>
      </c>
      <c r="B515" s="789" t="s">
        <v>502</v>
      </c>
      <c r="C515" s="789" t="s">
        <v>1299</v>
      </c>
      <c r="D515" s="840">
        <v>39114</v>
      </c>
      <c r="E515" s="840">
        <v>39417</v>
      </c>
      <c r="F515" s="857">
        <v>2007</v>
      </c>
      <c r="G515" s="789" t="s">
        <v>626</v>
      </c>
      <c r="H515" s="790" t="s">
        <v>1449</v>
      </c>
      <c r="I515" s="789" t="s">
        <v>756</v>
      </c>
      <c r="J515" s="800" t="s">
        <v>2331</v>
      </c>
      <c r="K515" s="817">
        <v>1300000</v>
      </c>
      <c r="L515" s="817">
        <v>0</v>
      </c>
      <c r="M515" s="817">
        <v>48928</v>
      </c>
      <c r="N515" s="817">
        <v>48928</v>
      </c>
      <c r="O515" s="808">
        <f t="shared" si="32"/>
        <v>3.7636923076923075E-2</v>
      </c>
      <c r="P515" s="817">
        <v>0</v>
      </c>
      <c r="Q515" s="817" t="s">
        <v>75</v>
      </c>
      <c r="R515" s="817" t="s">
        <v>75</v>
      </c>
      <c r="S515" s="817" t="s">
        <v>75</v>
      </c>
      <c r="T515" s="817" t="s">
        <v>849</v>
      </c>
      <c r="U515" s="817" t="s">
        <v>75</v>
      </c>
      <c r="V515" s="817" t="s">
        <v>75</v>
      </c>
      <c r="W515" s="817" t="s">
        <v>75</v>
      </c>
      <c r="X515" s="817" t="s">
        <v>75</v>
      </c>
      <c r="Y515" s="817"/>
      <c r="Z515" s="817" t="s">
        <v>75</v>
      </c>
      <c r="AA515" s="817">
        <v>677135</v>
      </c>
      <c r="AB515" s="817">
        <v>1016</v>
      </c>
      <c r="AC515" s="817" t="s">
        <v>75</v>
      </c>
      <c r="AD515" s="817" t="s">
        <v>75</v>
      </c>
      <c r="AE515" s="817" t="s">
        <v>75</v>
      </c>
      <c r="AF515" s="817" t="s">
        <v>75</v>
      </c>
      <c r="AG515" s="817" t="s">
        <v>75</v>
      </c>
      <c r="AH515" s="817" t="s">
        <v>75</v>
      </c>
      <c r="AI515" s="817" t="s">
        <v>75</v>
      </c>
      <c r="AJ515" s="787">
        <f t="shared" si="31"/>
        <v>677135</v>
      </c>
      <c r="AK515" s="817" t="s">
        <v>75</v>
      </c>
      <c r="AL515" s="817" t="s">
        <v>75</v>
      </c>
      <c r="AM515" s="817"/>
      <c r="AN515" s="817" t="s">
        <v>75</v>
      </c>
      <c r="AO515" s="817" t="s">
        <v>75</v>
      </c>
      <c r="AP515" s="817" t="s">
        <v>75</v>
      </c>
      <c r="AQ515" s="817" t="s">
        <v>75</v>
      </c>
      <c r="AR515" s="817" t="s">
        <v>75</v>
      </c>
      <c r="AS515" s="817" t="s">
        <v>75</v>
      </c>
      <c r="AT515" s="817" t="s">
        <v>75</v>
      </c>
      <c r="AU515" s="359" t="s">
        <v>755</v>
      </c>
      <c r="AV515" s="789"/>
      <c r="AW515" s="789"/>
      <c r="AX515" s="789"/>
      <c r="AY515" s="789"/>
      <c r="AZ515" s="789"/>
      <c r="BA515" s="789"/>
      <c r="BB515" s="789"/>
      <c r="BC515" s="789"/>
      <c r="BD515" s="789"/>
      <c r="BE515" s="789"/>
      <c r="BF515" s="789"/>
      <c r="BG515" s="789"/>
      <c r="BH515" s="789"/>
      <c r="BI515" s="789"/>
      <c r="BJ515" s="789"/>
      <c r="BK515" s="789"/>
      <c r="BL515" s="789"/>
      <c r="BM515" s="789"/>
      <c r="BN515" s="800"/>
      <c r="BO515" s="800"/>
      <c r="BP515" s="800"/>
      <c r="BQ515" s="800"/>
      <c r="BR515" s="800"/>
      <c r="BS515" s="800"/>
      <c r="BT515" s="800"/>
      <c r="BU515" s="800"/>
      <c r="BV515" s="800"/>
      <c r="BW515" s="800"/>
      <c r="BX515" s="800"/>
      <c r="BY515" s="800"/>
      <c r="BZ515" s="800"/>
      <c r="CA515" s="800"/>
      <c r="CB515" s="800"/>
      <c r="CC515" s="800"/>
      <c r="CD515" s="800"/>
      <c r="CE515" s="800"/>
      <c r="CF515" s="800"/>
      <c r="CG515" s="800"/>
      <c r="CH515" s="800"/>
      <c r="CI515" s="800"/>
      <c r="CJ515" s="800"/>
      <c r="CK515" s="800"/>
      <c r="CL515" s="800"/>
      <c r="CM515" s="800"/>
      <c r="CN515" s="800"/>
      <c r="CO515" s="800"/>
      <c r="CP515" s="800"/>
      <c r="CQ515" s="800"/>
      <c r="CR515" s="800"/>
      <c r="CS515" s="800"/>
      <c r="CT515" s="800"/>
      <c r="CU515" s="800"/>
      <c r="CV515" s="800"/>
      <c r="CW515" s="800"/>
      <c r="CX515" s="800"/>
      <c r="CY515" s="800"/>
      <c r="CZ515" s="800"/>
      <c r="DA515" s="800"/>
      <c r="DB515" s="800"/>
      <c r="DC515" s="800"/>
      <c r="DD515" s="800"/>
      <c r="DE515" s="800"/>
      <c r="DF515" s="800"/>
      <c r="DG515" s="800"/>
      <c r="DH515" s="800"/>
      <c r="DI515" s="800"/>
      <c r="DJ515" s="800"/>
      <c r="DK515" s="800"/>
      <c r="DL515" s="800"/>
      <c r="DM515" s="800"/>
      <c r="DN515" s="800"/>
      <c r="DO515" s="800"/>
      <c r="DP515" s="800"/>
      <c r="DQ515" s="800"/>
      <c r="DR515" s="800"/>
      <c r="DS515" s="800"/>
      <c r="DT515" s="800"/>
      <c r="DU515" s="800"/>
      <c r="DV515" s="800"/>
      <c r="DW515" s="800"/>
      <c r="DX515" s="800"/>
      <c r="DY515" s="800"/>
      <c r="DZ515" s="800"/>
      <c r="EA515" s="800"/>
      <c r="EB515" s="800"/>
      <c r="EC515" s="800"/>
      <c r="ED515" s="800"/>
      <c r="EE515" s="800"/>
      <c r="EF515" s="800"/>
      <c r="EG515" s="800"/>
      <c r="EH515" s="800"/>
      <c r="EI515" s="800"/>
      <c r="EJ515" s="800"/>
      <c r="EK515" s="800"/>
      <c r="EL515" s="800"/>
      <c r="EM515" s="800"/>
      <c r="EN515" s="800"/>
      <c r="EO515" s="800"/>
      <c r="EP515" s="800"/>
      <c r="EQ515" s="800"/>
      <c r="ER515" s="800"/>
      <c r="ES515" s="800"/>
      <c r="ET515" s="800"/>
      <c r="EU515" s="800"/>
      <c r="EV515" s="800"/>
      <c r="EW515" s="800"/>
      <c r="EX515" s="800"/>
      <c r="EY515" s="800"/>
      <c r="EZ515" s="800"/>
      <c r="FA515" s="800"/>
      <c r="FB515" s="800"/>
      <c r="FC515" s="800"/>
      <c r="FD515" s="800"/>
      <c r="FE515" s="800"/>
      <c r="FF515" s="800"/>
      <c r="FG515" s="800"/>
      <c r="FH515" s="800"/>
      <c r="FI515" s="800"/>
      <c r="FJ515" s="800"/>
      <c r="FK515" s="800"/>
      <c r="FL515" s="800"/>
      <c r="FM515" s="800"/>
      <c r="FN515" s="800"/>
      <c r="FO515" s="800"/>
      <c r="FP515" s="800"/>
      <c r="FQ515" s="800"/>
      <c r="FR515" s="800"/>
      <c r="FS515" s="800"/>
      <c r="FT515" s="800"/>
      <c r="FU515" s="800"/>
      <c r="FV515" s="800"/>
      <c r="FW515" s="800"/>
      <c r="FX515" s="800"/>
      <c r="FY515" s="800"/>
      <c r="FZ515" s="800"/>
      <c r="GA515" s="800"/>
      <c r="GB515" s="800"/>
      <c r="GC515" s="800"/>
      <c r="GD515" s="800"/>
      <c r="GE515" s="800"/>
      <c r="GF515" s="800"/>
      <c r="GG515" s="800"/>
      <c r="GH515" s="800"/>
      <c r="GI515" s="800"/>
      <c r="GJ515" s="800"/>
      <c r="GK515" s="800"/>
      <c r="GL515" s="800"/>
      <c r="GM515" s="800"/>
      <c r="GN515" s="800"/>
      <c r="GO515" s="800"/>
      <c r="GP515" s="800"/>
      <c r="GQ515" s="800"/>
      <c r="GR515" s="800"/>
      <c r="GS515" s="800"/>
      <c r="GT515" s="800"/>
      <c r="GU515" s="800"/>
      <c r="GV515" s="800"/>
      <c r="GW515" s="800"/>
      <c r="GX515" s="800"/>
      <c r="GY515" s="800"/>
      <c r="GZ515" s="800"/>
      <c r="HA515" s="800"/>
      <c r="HB515" s="800"/>
      <c r="HC515" s="800"/>
      <c r="HD515" s="800"/>
      <c r="HE515" s="800"/>
      <c r="HF515" s="800"/>
      <c r="HG515" s="800"/>
      <c r="HH515" s="800"/>
      <c r="HI515" s="800"/>
      <c r="HJ515" s="800"/>
    </row>
    <row r="516" spans="1:218" s="800" customFormat="1" ht="25.5" customHeight="1">
      <c r="A516" s="794">
        <v>514</v>
      </c>
      <c r="B516" s="789" t="s">
        <v>160</v>
      </c>
      <c r="C516" s="789" t="s">
        <v>1278</v>
      </c>
      <c r="D516" s="840">
        <v>39173</v>
      </c>
      <c r="E516" s="840">
        <v>39264</v>
      </c>
      <c r="F516" s="857">
        <v>2007</v>
      </c>
      <c r="G516" s="789" t="s">
        <v>5</v>
      </c>
      <c r="H516" s="800" t="s">
        <v>1451</v>
      </c>
      <c r="I516" s="789" t="s">
        <v>185</v>
      </c>
      <c r="J516" s="800" t="s">
        <v>2331</v>
      </c>
      <c r="K516" s="817">
        <v>1875</v>
      </c>
      <c r="L516" s="817">
        <v>45000</v>
      </c>
      <c r="M516" s="817">
        <v>45000</v>
      </c>
      <c r="N516" s="817">
        <v>45000</v>
      </c>
      <c r="O516" s="808">
        <f t="shared" si="32"/>
        <v>24</v>
      </c>
      <c r="P516" s="817">
        <v>100</v>
      </c>
      <c r="Q516" s="817"/>
      <c r="R516" s="817"/>
      <c r="S516" s="817"/>
      <c r="T516" s="817" t="s">
        <v>233</v>
      </c>
      <c r="U516" s="817" t="s">
        <v>75</v>
      </c>
      <c r="V516" s="817" t="s">
        <v>75</v>
      </c>
      <c r="W516" s="817" t="s">
        <v>66</v>
      </c>
      <c r="X516" s="817" t="s">
        <v>66</v>
      </c>
      <c r="Y516" s="817"/>
      <c r="Z516" s="817"/>
      <c r="AA516" s="817"/>
      <c r="AB516" s="817"/>
      <c r="AC516" s="817"/>
      <c r="AD516" s="817"/>
      <c r="AE516" s="817"/>
      <c r="AF516" s="817" t="s">
        <v>75</v>
      </c>
      <c r="AG516" s="817" t="s">
        <v>75</v>
      </c>
      <c r="AH516" s="817"/>
      <c r="AI516" s="817"/>
      <c r="AJ516" s="808">
        <f t="shared" si="31"/>
        <v>0</v>
      </c>
      <c r="AK516" s="817" t="s">
        <v>66</v>
      </c>
      <c r="AL516" s="817" t="s">
        <v>66</v>
      </c>
      <c r="AM516" s="817"/>
      <c r="AN516" s="817" t="s">
        <v>75</v>
      </c>
      <c r="AO516" s="817" t="s">
        <v>75</v>
      </c>
      <c r="AP516" s="817" t="s">
        <v>75</v>
      </c>
      <c r="AQ516" s="817" t="s">
        <v>75</v>
      </c>
      <c r="AR516" s="817" t="s">
        <v>75</v>
      </c>
      <c r="AS516" s="817" t="s">
        <v>75</v>
      </c>
      <c r="AT516" s="817" t="s">
        <v>75</v>
      </c>
      <c r="AU516" s="363" t="s">
        <v>159</v>
      </c>
      <c r="AV516" s="789"/>
      <c r="AW516" s="789"/>
      <c r="AX516" s="789"/>
      <c r="AY516" s="789"/>
      <c r="AZ516" s="789"/>
      <c r="BA516" s="789"/>
      <c r="BB516" s="789"/>
      <c r="BC516" s="789"/>
      <c r="BD516" s="789"/>
      <c r="BE516" s="789"/>
      <c r="BF516" s="789"/>
      <c r="BG516" s="789"/>
      <c r="BH516" s="789"/>
      <c r="BI516" s="789"/>
      <c r="BJ516" s="789"/>
      <c r="BK516" s="789"/>
      <c r="BL516" s="789"/>
      <c r="BM516" s="789"/>
    </row>
    <row r="517" spans="1:218" s="800" customFormat="1" ht="15">
      <c r="A517" s="794">
        <v>515</v>
      </c>
      <c r="B517" s="800" t="s">
        <v>160</v>
      </c>
      <c r="C517" s="800" t="s">
        <v>1278</v>
      </c>
      <c r="D517" s="819">
        <v>39356</v>
      </c>
      <c r="E517" s="819">
        <v>39417</v>
      </c>
      <c r="F517" s="857">
        <v>2007</v>
      </c>
      <c r="G517" s="800" t="s">
        <v>1120</v>
      </c>
      <c r="H517" s="800" t="s">
        <v>1451</v>
      </c>
      <c r="I517" s="800" t="s">
        <v>1935</v>
      </c>
      <c r="J517" s="800" t="s">
        <v>2331</v>
      </c>
      <c r="K517" s="808">
        <f>500*5</f>
        <v>2500</v>
      </c>
      <c r="L517" s="808">
        <v>105000</v>
      </c>
      <c r="M517" s="808">
        <v>105000</v>
      </c>
      <c r="N517" s="808">
        <v>105000</v>
      </c>
      <c r="O517" s="808">
        <f t="shared" si="32"/>
        <v>42</v>
      </c>
      <c r="P517" s="808">
        <v>100</v>
      </c>
      <c r="Q517" s="808"/>
      <c r="R517" s="808"/>
      <c r="S517" s="808"/>
      <c r="T517" s="808"/>
      <c r="U517" s="808"/>
      <c r="V517" s="808"/>
      <c r="W517" s="808"/>
      <c r="X517" s="808"/>
      <c r="Y517" s="808"/>
      <c r="Z517" s="808">
        <v>2500</v>
      </c>
      <c r="AA517" s="808"/>
      <c r="AB517" s="808"/>
      <c r="AC517" s="808"/>
      <c r="AD517" s="808"/>
      <c r="AE517" s="808"/>
      <c r="AF517" s="808"/>
      <c r="AG517" s="808"/>
      <c r="AH517" s="808"/>
      <c r="AI517" s="808"/>
      <c r="AJ517" s="787">
        <f t="shared" si="31"/>
        <v>2500</v>
      </c>
      <c r="AK517" s="808"/>
      <c r="AL517" s="808"/>
      <c r="AM517" s="808"/>
      <c r="AN517" s="808"/>
      <c r="AO517" s="808"/>
      <c r="AP517" s="808"/>
      <c r="AQ517" s="808"/>
      <c r="AR517" s="808"/>
      <c r="AS517" s="808"/>
      <c r="AT517" s="808"/>
      <c r="AU517" s="800" t="s">
        <v>1934</v>
      </c>
    </row>
    <row r="518" spans="1:218" s="800" customFormat="1" ht="21.75" customHeight="1">
      <c r="A518" s="794">
        <v>516</v>
      </c>
      <c r="B518" s="857" t="s">
        <v>148</v>
      </c>
      <c r="C518" s="857" t="s">
        <v>1299</v>
      </c>
      <c r="D518" s="840">
        <v>39326</v>
      </c>
      <c r="E518" s="840">
        <v>39630</v>
      </c>
      <c r="F518" s="857">
        <v>2007</v>
      </c>
      <c r="G518" s="857" t="s">
        <v>5</v>
      </c>
      <c r="H518" s="800" t="s">
        <v>1451</v>
      </c>
      <c r="I518" s="857" t="s">
        <v>998</v>
      </c>
      <c r="J518" s="812" t="s">
        <v>2438</v>
      </c>
      <c r="K518" s="817">
        <v>100000</v>
      </c>
      <c r="L518" s="817">
        <v>11413603</v>
      </c>
      <c r="M518" s="817">
        <v>7863044</v>
      </c>
      <c r="N518" s="817">
        <v>7863044</v>
      </c>
      <c r="O518" s="808">
        <f t="shared" si="32"/>
        <v>78.630439999999993</v>
      </c>
      <c r="P518" s="817">
        <v>69</v>
      </c>
      <c r="Q518" s="817">
        <f>(20*400)+(250*34)</f>
        <v>16500</v>
      </c>
      <c r="R518" s="817">
        <f>11555+4150</f>
        <v>15705</v>
      </c>
      <c r="S518" s="817">
        <v>16500</v>
      </c>
      <c r="T518" s="817" t="s">
        <v>2</v>
      </c>
      <c r="U518" s="817">
        <v>18</v>
      </c>
      <c r="V518" s="817">
        <v>100000</v>
      </c>
      <c r="W518" s="817">
        <v>1572838</v>
      </c>
      <c r="X518" s="817">
        <v>2</v>
      </c>
      <c r="Y518" s="808">
        <f>X518/S518</f>
        <v>1.2121212121212121E-4</v>
      </c>
      <c r="Z518" s="817"/>
      <c r="AA518" s="817"/>
      <c r="AB518" s="817"/>
      <c r="AC518" s="817"/>
      <c r="AD518" s="817"/>
      <c r="AE518" s="817">
        <v>40863</v>
      </c>
      <c r="AF518" s="817"/>
      <c r="AG518" s="817"/>
      <c r="AH518" s="817"/>
      <c r="AI518" s="817"/>
      <c r="AJ518" s="808">
        <f t="shared" si="31"/>
        <v>0</v>
      </c>
      <c r="AK518" s="817">
        <v>184600</v>
      </c>
      <c r="AL518" s="817">
        <v>47083</v>
      </c>
      <c r="AM518" s="817"/>
      <c r="AN518" s="817"/>
      <c r="AO518" s="817"/>
      <c r="AP518" s="817"/>
      <c r="AQ518" s="817"/>
      <c r="AR518" s="817"/>
      <c r="AS518" s="817"/>
      <c r="AT518" s="817"/>
      <c r="AU518" s="322" t="s">
        <v>999</v>
      </c>
      <c r="AV518" s="857"/>
      <c r="AW518" s="857"/>
      <c r="AX518" s="857"/>
      <c r="AY518" s="857"/>
      <c r="AZ518" s="857"/>
      <c r="BA518" s="857"/>
      <c r="BB518" s="857"/>
      <c r="BC518" s="857"/>
      <c r="BD518" s="857"/>
      <c r="BE518" s="857"/>
      <c r="BF518" s="857"/>
      <c r="BG518" s="857"/>
      <c r="BH518" s="857"/>
      <c r="BI518" s="857"/>
      <c r="BJ518" s="857"/>
      <c r="BK518" s="857"/>
      <c r="BL518" s="857"/>
      <c r="BM518" s="857"/>
    </row>
    <row r="519" spans="1:218" s="790" customFormat="1" ht="15">
      <c r="A519" s="794">
        <v>517</v>
      </c>
      <c r="B519" s="790" t="s">
        <v>148</v>
      </c>
      <c r="C519" s="800" t="s">
        <v>1299</v>
      </c>
      <c r="D519" s="824">
        <v>39114</v>
      </c>
      <c r="E519" s="824">
        <v>39203</v>
      </c>
      <c r="F519" s="857">
        <v>2007</v>
      </c>
      <c r="G519" s="790" t="s">
        <v>226</v>
      </c>
      <c r="H519" s="790" t="s">
        <v>1449</v>
      </c>
      <c r="I519" s="790" t="s">
        <v>1941</v>
      </c>
      <c r="J519" s="800" t="s">
        <v>2331</v>
      </c>
      <c r="K519" s="787">
        <v>500000</v>
      </c>
      <c r="L519" s="787">
        <v>0</v>
      </c>
      <c r="M519" s="787">
        <v>66122</v>
      </c>
      <c r="N519" s="787">
        <v>66122</v>
      </c>
      <c r="O519" s="808">
        <f t="shared" si="32"/>
        <v>0.132244</v>
      </c>
      <c r="P519" s="787">
        <v>100</v>
      </c>
      <c r="Q519" s="787"/>
      <c r="R519" s="787"/>
      <c r="S519" s="808"/>
      <c r="T519" s="787"/>
      <c r="U519" s="787"/>
      <c r="V519" s="787"/>
      <c r="W519" s="787"/>
      <c r="X519" s="787"/>
      <c r="Y519" s="808"/>
      <c r="Z519" s="787"/>
      <c r="AA519" s="787">
        <v>857182</v>
      </c>
      <c r="AB519" s="787">
        <v>300</v>
      </c>
      <c r="AC519" s="787"/>
      <c r="AD519" s="787"/>
      <c r="AE519" s="787"/>
      <c r="AF519" s="787"/>
      <c r="AG519" s="787"/>
      <c r="AH519" s="808"/>
      <c r="AI519" s="787"/>
      <c r="AJ519" s="787">
        <f t="shared" si="31"/>
        <v>857182</v>
      </c>
      <c r="AK519" s="787"/>
      <c r="AL519" s="787"/>
      <c r="AM519" s="787"/>
      <c r="AN519" s="787"/>
      <c r="AO519" s="787"/>
      <c r="AP519" s="787"/>
      <c r="AQ519" s="787"/>
      <c r="AR519" s="787"/>
      <c r="AS519" s="787"/>
      <c r="AT519" s="787"/>
      <c r="AU519" s="790" t="s">
        <v>1940</v>
      </c>
      <c r="BM519" s="800"/>
      <c r="BN519" s="800"/>
      <c r="BO519" s="800"/>
      <c r="BP519" s="800"/>
      <c r="BQ519" s="800"/>
      <c r="BR519" s="800"/>
      <c r="BS519" s="800"/>
      <c r="BT519" s="800"/>
      <c r="BU519" s="800"/>
      <c r="BV519" s="800"/>
      <c r="BW519" s="800"/>
      <c r="BX519" s="800"/>
      <c r="BY519" s="800"/>
      <c r="BZ519" s="800"/>
      <c r="CA519" s="800"/>
      <c r="CB519" s="800"/>
      <c r="CC519" s="800"/>
      <c r="CD519" s="800"/>
      <c r="CE519" s="800"/>
      <c r="CF519" s="800"/>
      <c r="CG519" s="800"/>
      <c r="CH519" s="800"/>
      <c r="CI519" s="800"/>
      <c r="CJ519" s="800"/>
      <c r="CK519" s="800"/>
      <c r="CL519" s="800"/>
      <c r="CM519" s="800"/>
      <c r="CN519" s="800"/>
      <c r="CO519" s="800"/>
      <c r="CP519" s="800"/>
      <c r="CQ519" s="800"/>
      <c r="CR519" s="800"/>
      <c r="CS519" s="800"/>
      <c r="CT519" s="800"/>
      <c r="CU519" s="800"/>
      <c r="CV519" s="800"/>
      <c r="CW519" s="800"/>
      <c r="CX519" s="800"/>
      <c r="CY519" s="800"/>
      <c r="CZ519" s="800"/>
      <c r="DA519" s="800"/>
      <c r="DB519" s="800"/>
      <c r="DC519" s="800"/>
      <c r="DD519" s="800"/>
      <c r="DE519" s="800"/>
      <c r="DF519" s="800"/>
      <c r="DG519" s="800"/>
      <c r="DH519" s="800"/>
      <c r="DI519" s="800"/>
      <c r="DJ519" s="800"/>
      <c r="DK519" s="800"/>
      <c r="DL519" s="800"/>
      <c r="DM519" s="800"/>
      <c r="DN519" s="800"/>
      <c r="DO519" s="800"/>
      <c r="DP519" s="800"/>
      <c r="DQ519" s="800"/>
      <c r="DR519" s="800"/>
      <c r="DS519" s="800"/>
      <c r="DT519" s="800"/>
      <c r="DU519" s="800"/>
      <c r="DV519" s="800"/>
      <c r="DW519" s="800"/>
      <c r="DX519" s="800"/>
      <c r="DY519" s="800"/>
      <c r="DZ519" s="800"/>
      <c r="EA519" s="800"/>
      <c r="EB519" s="800"/>
      <c r="EC519" s="800"/>
      <c r="ED519" s="800"/>
      <c r="EE519" s="800"/>
      <c r="EF519" s="800"/>
      <c r="EG519" s="800"/>
      <c r="EH519" s="800"/>
      <c r="EI519" s="800"/>
      <c r="EJ519" s="800"/>
      <c r="EK519" s="800"/>
      <c r="EL519" s="800"/>
      <c r="EM519" s="800"/>
      <c r="EN519" s="800"/>
      <c r="EO519" s="800"/>
      <c r="EP519" s="800"/>
      <c r="EQ519" s="800"/>
      <c r="ER519" s="800"/>
      <c r="ES519" s="800"/>
      <c r="ET519" s="800"/>
      <c r="EU519" s="800"/>
      <c r="EV519" s="800"/>
      <c r="EW519" s="800"/>
      <c r="EX519" s="800"/>
      <c r="EY519" s="800"/>
      <c r="EZ519" s="800"/>
      <c r="FA519" s="800"/>
      <c r="FB519" s="800"/>
      <c r="FC519" s="800"/>
      <c r="FD519" s="800"/>
      <c r="FE519" s="800"/>
      <c r="FF519" s="800"/>
      <c r="FG519" s="800"/>
      <c r="FH519" s="800"/>
      <c r="FI519" s="800"/>
      <c r="FJ519" s="800"/>
      <c r="FK519" s="800"/>
      <c r="FL519" s="800"/>
      <c r="FM519" s="800"/>
      <c r="FN519" s="800"/>
      <c r="FO519" s="800"/>
      <c r="FP519" s="800"/>
      <c r="FQ519" s="800"/>
      <c r="FR519" s="800"/>
      <c r="FS519" s="800"/>
      <c r="FT519" s="800"/>
      <c r="FU519" s="800"/>
      <c r="FV519" s="800"/>
      <c r="FW519" s="800"/>
      <c r="FX519" s="800"/>
      <c r="FY519" s="800"/>
      <c r="FZ519" s="800"/>
      <c r="GA519" s="800"/>
      <c r="GB519" s="800"/>
      <c r="GC519" s="800"/>
      <c r="GD519" s="800"/>
      <c r="GE519" s="800"/>
      <c r="GF519" s="800"/>
      <c r="GG519" s="800"/>
      <c r="GH519" s="800"/>
      <c r="GI519" s="800"/>
      <c r="GJ519" s="800"/>
      <c r="GK519" s="800"/>
      <c r="GL519" s="800"/>
      <c r="GM519" s="800"/>
      <c r="GN519" s="800"/>
      <c r="GO519" s="800"/>
      <c r="GP519" s="800"/>
      <c r="GQ519" s="800"/>
      <c r="GR519" s="800"/>
      <c r="GS519" s="800"/>
      <c r="GT519" s="800"/>
      <c r="GU519" s="800"/>
      <c r="GV519" s="800"/>
      <c r="GW519" s="800"/>
      <c r="GX519" s="800"/>
      <c r="GY519" s="800"/>
      <c r="GZ519" s="800"/>
      <c r="HA519" s="800"/>
      <c r="HB519" s="800"/>
      <c r="HC519" s="800"/>
      <c r="HD519" s="800"/>
      <c r="HE519" s="800"/>
      <c r="HF519" s="800"/>
      <c r="HG519" s="800"/>
      <c r="HH519" s="800"/>
      <c r="HI519" s="800"/>
      <c r="HJ519" s="800"/>
    </row>
    <row r="520" spans="1:218" s="790" customFormat="1" ht="15">
      <c r="A520" s="794">
        <v>518</v>
      </c>
      <c r="B520" s="790" t="s">
        <v>148</v>
      </c>
      <c r="C520" s="800" t="s">
        <v>1299</v>
      </c>
      <c r="D520" s="824">
        <v>39387</v>
      </c>
      <c r="E520" s="824">
        <v>39479</v>
      </c>
      <c r="F520" s="857">
        <v>2007</v>
      </c>
      <c r="G520" s="790" t="s">
        <v>1826</v>
      </c>
      <c r="H520" s="790" t="s">
        <v>1449</v>
      </c>
      <c r="I520" s="790" t="s">
        <v>1943</v>
      </c>
      <c r="J520" s="800" t="s">
        <v>2331</v>
      </c>
      <c r="K520" s="787" t="s">
        <v>134</v>
      </c>
      <c r="L520" s="787">
        <v>152756</v>
      </c>
      <c r="M520" s="787">
        <v>149548</v>
      </c>
      <c r="N520" s="787">
        <v>149548</v>
      </c>
      <c r="O520" s="808"/>
      <c r="P520" s="787">
        <v>98</v>
      </c>
      <c r="Q520" s="787"/>
      <c r="R520" s="787"/>
      <c r="S520" s="808"/>
      <c r="T520" s="787"/>
      <c r="U520" s="787"/>
      <c r="V520" s="787"/>
      <c r="W520" s="787"/>
      <c r="X520" s="787"/>
      <c r="Y520" s="808"/>
      <c r="Z520" s="787"/>
      <c r="AA520" s="787"/>
      <c r="AB520" s="787">
        <v>306</v>
      </c>
      <c r="AC520" s="787"/>
      <c r="AD520" s="787"/>
      <c r="AE520" s="787"/>
      <c r="AF520" s="787"/>
      <c r="AG520" s="787"/>
      <c r="AH520" s="808"/>
      <c r="AI520" s="787"/>
      <c r="AJ520" s="787">
        <f t="shared" si="31"/>
        <v>0</v>
      </c>
      <c r="AK520" s="787"/>
      <c r="AL520" s="787"/>
      <c r="AM520" s="787"/>
      <c r="AN520" s="787"/>
      <c r="AO520" s="787"/>
      <c r="AP520" s="787"/>
      <c r="AQ520" s="787"/>
      <c r="AR520" s="787"/>
      <c r="AS520" s="787"/>
      <c r="AT520" s="787"/>
      <c r="AU520" s="790" t="s">
        <v>1942</v>
      </c>
      <c r="BM520" s="800"/>
      <c r="BN520" s="800"/>
      <c r="BO520" s="800"/>
      <c r="BP520" s="800"/>
      <c r="BQ520" s="800"/>
      <c r="BR520" s="800"/>
      <c r="BS520" s="800"/>
      <c r="BT520" s="800"/>
      <c r="BU520" s="800"/>
      <c r="BV520" s="800"/>
      <c r="BW520" s="800"/>
      <c r="BX520" s="800"/>
      <c r="BY520" s="800"/>
      <c r="BZ520" s="800"/>
      <c r="CA520" s="800"/>
      <c r="CB520" s="800"/>
      <c r="CC520" s="800"/>
      <c r="CD520" s="800"/>
      <c r="CE520" s="800"/>
      <c r="CF520" s="800"/>
      <c r="CG520" s="800"/>
      <c r="CH520" s="800"/>
      <c r="CI520" s="800"/>
      <c r="CJ520" s="800"/>
      <c r="CK520" s="800"/>
      <c r="CL520" s="800"/>
      <c r="CM520" s="800"/>
      <c r="CN520" s="800"/>
      <c r="CO520" s="800"/>
      <c r="CP520" s="800"/>
      <c r="CQ520" s="800"/>
      <c r="CR520" s="800"/>
      <c r="CS520" s="800"/>
      <c r="CT520" s="800"/>
      <c r="CU520" s="800"/>
      <c r="CV520" s="800"/>
      <c r="CW520" s="800"/>
      <c r="CX520" s="800"/>
      <c r="CY520" s="800"/>
      <c r="CZ520" s="800"/>
      <c r="DA520" s="800"/>
      <c r="DB520" s="800"/>
      <c r="DC520" s="800"/>
      <c r="DD520" s="800"/>
      <c r="DE520" s="800"/>
      <c r="DF520" s="800"/>
      <c r="DG520" s="800"/>
      <c r="DH520" s="800"/>
      <c r="DI520" s="800"/>
      <c r="DJ520" s="800"/>
      <c r="DK520" s="800"/>
      <c r="DL520" s="800"/>
      <c r="DM520" s="800"/>
      <c r="DN520" s="800"/>
      <c r="DO520" s="800"/>
      <c r="DP520" s="800"/>
      <c r="DQ520" s="800"/>
      <c r="DR520" s="800"/>
      <c r="DS520" s="800"/>
      <c r="DT520" s="800"/>
      <c r="DU520" s="800"/>
      <c r="DV520" s="800"/>
      <c r="DW520" s="800"/>
      <c r="DX520" s="800"/>
      <c r="DY520" s="800"/>
      <c r="DZ520" s="800"/>
      <c r="EA520" s="800"/>
      <c r="EB520" s="800"/>
      <c r="EC520" s="800"/>
      <c r="ED520" s="800"/>
      <c r="EE520" s="800"/>
      <c r="EF520" s="800"/>
      <c r="EG520" s="800"/>
      <c r="EH520" s="800"/>
      <c r="EI520" s="800"/>
      <c r="EJ520" s="800"/>
      <c r="EK520" s="800"/>
      <c r="EL520" s="800"/>
      <c r="EM520" s="800"/>
      <c r="EN520" s="800"/>
      <c r="EO520" s="800"/>
      <c r="EP520" s="800"/>
      <c r="EQ520" s="800"/>
      <c r="ER520" s="800"/>
      <c r="ES520" s="800"/>
      <c r="ET520" s="800"/>
      <c r="EU520" s="800"/>
      <c r="EV520" s="800"/>
      <c r="EW520" s="800"/>
      <c r="EX520" s="800"/>
      <c r="EY520" s="800"/>
      <c r="EZ520" s="800"/>
      <c r="FA520" s="800"/>
      <c r="FB520" s="800"/>
      <c r="FC520" s="800"/>
      <c r="FD520" s="800"/>
      <c r="FE520" s="800"/>
      <c r="FF520" s="800"/>
      <c r="FG520" s="800"/>
      <c r="FH520" s="800"/>
      <c r="FI520" s="800"/>
      <c r="FJ520" s="800"/>
      <c r="FK520" s="800"/>
      <c r="FL520" s="800"/>
      <c r="FM520" s="800"/>
      <c r="FN520" s="800"/>
      <c r="FO520" s="800"/>
      <c r="FP520" s="800"/>
      <c r="FQ520" s="800"/>
      <c r="FR520" s="800"/>
      <c r="FS520" s="800"/>
      <c r="FT520" s="800"/>
      <c r="FU520" s="800"/>
      <c r="FV520" s="800"/>
      <c r="FW520" s="800"/>
      <c r="FX520" s="800"/>
      <c r="FY520" s="800"/>
      <c r="FZ520" s="800"/>
      <c r="GA520" s="800"/>
      <c r="GB520" s="800"/>
      <c r="GC520" s="800"/>
      <c r="GD520" s="800"/>
      <c r="GE520" s="800"/>
      <c r="GF520" s="800"/>
      <c r="GG520" s="800"/>
      <c r="GH520" s="800"/>
      <c r="GI520" s="800"/>
      <c r="GJ520" s="800"/>
      <c r="GK520" s="800"/>
      <c r="GL520" s="800"/>
      <c r="GM520" s="800"/>
      <c r="GN520" s="800"/>
      <c r="GO520" s="800"/>
      <c r="GP520" s="800"/>
      <c r="GQ520" s="800"/>
      <c r="GR520" s="800"/>
      <c r="GS520" s="800"/>
      <c r="GT520" s="800"/>
      <c r="GU520" s="800"/>
      <c r="GV520" s="800"/>
      <c r="GW520" s="800"/>
      <c r="GX520" s="800"/>
      <c r="GY520" s="800"/>
      <c r="GZ520" s="800"/>
      <c r="HA520" s="800"/>
      <c r="HB520" s="800"/>
      <c r="HC520" s="800"/>
      <c r="HD520" s="800"/>
      <c r="HE520" s="800"/>
      <c r="HF520" s="800"/>
      <c r="HG520" s="800"/>
      <c r="HH520" s="800"/>
      <c r="HI520" s="800"/>
      <c r="HJ520" s="800"/>
    </row>
    <row r="521" spans="1:218" s="790" customFormat="1" ht="21" customHeight="1">
      <c r="A521" s="794">
        <v>519</v>
      </c>
      <c r="B521" s="817" t="s">
        <v>148</v>
      </c>
      <c r="C521" s="817" t="s">
        <v>1299</v>
      </c>
      <c r="D521" s="840">
        <v>39295</v>
      </c>
      <c r="E521" s="840">
        <v>39539</v>
      </c>
      <c r="F521" s="857">
        <v>2007</v>
      </c>
      <c r="G521" s="817" t="s">
        <v>751</v>
      </c>
      <c r="H521" s="808" t="s">
        <v>1449</v>
      </c>
      <c r="I521" s="817" t="s">
        <v>750</v>
      </c>
      <c r="J521" s="800" t="s">
        <v>2331</v>
      </c>
      <c r="K521" s="817">
        <v>1300000</v>
      </c>
      <c r="L521" s="817">
        <v>129276</v>
      </c>
      <c r="M521" s="817">
        <v>126066</v>
      </c>
      <c r="N521" s="817">
        <v>126066</v>
      </c>
      <c r="O521" s="808">
        <f t="shared" ref="O521:O543" si="33">N521/K521</f>
        <v>9.697384615384616E-2</v>
      </c>
      <c r="P521" s="817">
        <v>98</v>
      </c>
      <c r="Q521" s="817" t="s">
        <v>75</v>
      </c>
      <c r="R521" s="817" t="s">
        <v>75</v>
      </c>
      <c r="S521" s="817" t="s">
        <v>75</v>
      </c>
      <c r="T521" s="817" t="s">
        <v>849</v>
      </c>
      <c r="U521" s="817" t="s">
        <v>75</v>
      </c>
      <c r="V521" s="817">
        <v>126100</v>
      </c>
      <c r="W521" s="817" t="s">
        <v>75</v>
      </c>
      <c r="X521" s="817" t="s">
        <v>75</v>
      </c>
      <c r="Y521" s="817"/>
      <c r="Z521" s="817" t="s">
        <v>75</v>
      </c>
      <c r="AA521" s="817">
        <v>332413</v>
      </c>
      <c r="AB521" s="817">
        <v>450</v>
      </c>
      <c r="AC521" s="817" t="s">
        <v>75</v>
      </c>
      <c r="AD521" s="817" t="s">
        <v>75</v>
      </c>
      <c r="AE521" s="817" t="s">
        <v>75</v>
      </c>
      <c r="AF521" s="817" t="s">
        <v>75</v>
      </c>
      <c r="AG521" s="817" t="s">
        <v>75</v>
      </c>
      <c r="AH521" s="817" t="s">
        <v>75</v>
      </c>
      <c r="AI521" s="817" t="s">
        <v>75</v>
      </c>
      <c r="AJ521" s="787">
        <f t="shared" si="31"/>
        <v>332413</v>
      </c>
      <c r="AK521" s="817" t="s">
        <v>75</v>
      </c>
      <c r="AL521" s="817" t="s">
        <v>75</v>
      </c>
      <c r="AM521" s="817"/>
      <c r="AN521" s="817" t="s">
        <v>75</v>
      </c>
      <c r="AO521" s="817" t="s">
        <v>75</v>
      </c>
      <c r="AP521" s="817" t="s">
        <v>75</v>
      </c>
      <c r="AQ521" s="817" t="s">
        <v>75</v>
      </c>
      <c r="AR521" s="817" t="s">
        <v>75</v>
      </c>
      <c r="AS521" s="817" t="s">
        <v>75</v>
      </c>
      <c r="AT521" s="817" t="s">
        <v>75</v>
      </c>
      <c r="AU521" s="398" t="s">
        <v>749</v>
      </c>
      <c r="AV521" s="817"/>
      <c r="AW521" s="817"/>
      <c r="AX521" s="817"/>
      <c r="AY521" s="817"/>
      <c r="AZ521" s="817"/>
      <c r="BA521" s="817"/>
      <c r="BB521" s="817"/>
      <c r="BC521" s="817"/>
      <c r="BD521" s="817"/>
      <c r="BE521" s="817"/>
      <c r="BF521" s="817"/>
      <c r="BG521" s="817"/>
      <c r="BH521" s="817"/>
      <c r="BI521" s="817"/>
      <c r="BJ521" s="817"/>
      <c r="BK521" s="817"/>
      <c r="BL521" s="817"/>
      <c r="BM521" s="817"/>
      <c r="BN521" s="800"/>
      <c r="BO521" s="800"/>
      <c r="BP521" s="800"/>
      <c r="BQ521" s="800"/>
      <c r="BR521" s="800"/>
      <c r="BS521" s="800"/>
      <c r="BT521" s="800"/>
      <c r="BU521" s="800"/>
      <c r="BV521" s="800"/>
      <c r="BW521" s="800"/>
      <c r="BX521" s="800"/>
      <c r="BY521" s="800"/>
      <c r="BZ521" s="800"/>
      <c r="CA521" s="800"/>
      <c r="CB521" s="800"/>
      <c r="CC521" s="800"/>
      <c r="CD521" s="800"/>
      <c r="CE521" s="800"/>
      <c r="CF521" s="800"/>
      <c r="CG521" s="800"/>
      <c r="CH521" s="800"/>
      <c r="CI521" s="800"/>
      <c r="CJ521" s="800"/>
      <c r="CK521" s="800"/>
      <c r="CL521" s="800"/>
      <c r="CM521" s="800"/>
      <c r="CN521" s="800"/>
      <c r="CO521" s="800"/>
      <c r="CP521" s="800"/>
      <c r="CQ521" s="800"/>
      <c r="CR521" s="800"/>
      <c r="CS521" s="800"/>
      <c r="CT521" s="800"/>
      <c r="CU521" s="800"/>
      <c r="CV521" s="800"/>
      <c r="CW521" s="800"/>
      <c r="CX521" s="800"/>
      <c r="CY521" s="800"/>
      <c r="CZ521" s="800"/>
      <c r="DA521" s="800"/>
      <c r="DB521" s="800"/>
      <c r="DC521" s="800"/>
      <c r="DD521" s="800"/>
      <c r="DE521" s="800"/>
      <c r="DF521" s="800"/>
      <c r="DG521" s="800"/>
      <c r="DH521" s="800"/>
      <c r="DI521" s="800"/>
      <c r="DJ521" s="800"/>
      <c r="DK521" s="800"/>
      <c r="DL521" s="800"/>
      <c r="DM521" s="800"/>
      <c r="DN521" s="800"/>
      <c r="DO521" s="800"/>
      <c r="DP521" s="800"/>
      <c r="DQ521" s="800"/>
      <c r="DR521" s="800"/>
      <c r="DS521" s="800"/>
      <c r="DT521" s="800"/>
      <c r="DU521" s="800"/>
      <c r="DV521" s="800"/>
      <c r="DW521" s="800"/>
      <c r="DX521" s="800"/>
      <c r="DY521" s="800"/>
      <c r="DZ521" s="800"/>
      <c r="EA521" s="800"/>
      <c r="EB521" s="800"/>
      <c r="EC521" s="800"/>
      <c r="ED521" s="800"/>
      <c r="EE521" s="800"/>
      <c r="EF521" s="800"/>
      <c r="EG521" s="800"/>
      <c r="EH521" s="800"/>
      <c r="EI521" s="800"/>
      <c r="EJ521" s="800"/>
      <c r="EK521" s="800"/>
      <c r="EL521" s="800"/>
      <c r="EM521" s="800"/>
      <c r="EN521" s="800"/>
      <c r="EO521" s="800"/>
      <c r="EP521" s="800"/>
      <c r="EQ521" s="800"/>
      <c r="ER521" s="800"/>
      <c r="ES521" s="800"/>
      <c r="ET521" s="800"/>
      <c r="EU521" s="800"/>
      <c r="EV521" s="800"/>
      <c r="EW521" s="800"/>
      <c r="EX521" s="800"/>
      <c r="EY521" s="800"/>
      <c r="EZ521" s="800"/>
      <c r="FA521" s="800"/>
      <c r="FB521" s="800"/>
      <c r="FC521" s="800"/>
      <c r="FD521" s="800"/>
      <c r="FE521" s="800"/>
      <c r="FF521" s="800"/>
      <c r="FG521" s="800"/>
      <c r="FH521" s="800"/>
      <c r="FI521" s="800"/>
      <c r="FJ521" s="800"/>
      <c r="FK521" s="800"/>
      <c r="FL521" s="800"/>
      <c r="FM521" s="800"/>
      <c r="FN521" s="800"/>
      <c r="FO521" s="800"/>
      <c r="FP521" s="800"/>
      <c r="FQ521" s="800"/>
      <c r="FR521" s="800"/>
      <c r="FS521" s="800"/>
      <c r="FT521" s="800"/>
      <c r="FU521" s="800"/>
      <c r="FV521" s="800"/>
      <c r="FW521" s="800"/>
      <c r="FX521" s="800"/>
      <c r="FY521" s="800"/>
      <c r="FZ521" s="800"/>
      <c r="GA521" s="800"/>
      <c r="GB521" s="800"/>
      <c r="GC521" s="800"/>
      <c r="GD521" s="800"/>
      <c r="GE521" s="800"/>
      <c r="GF521" s="800"/>
      <c r="GG521" s="800"/>
      <c r="GH521" s="800"/>
      <c r="GI521" s="800"/>
      <c r="GJ521" s="800"/>
      <c r="GK521" s="800"/>
      <c r="GL521" s="800"/>
      <c r="GM521" s="800"/>
      <c r="GN521" s="800"/>
      <c r="GO521" s="800"/>
      <c r="GP521" s="800"/>
      <c r="GQ521" s="800"/>
      <c r="GR521" s="800"/>
      <c r="GS521" s="800"/>
      <c r="GT521" s="800"/>
      <c r="GU521" s="800"/>
      <c r="GV521" s="800"/>
      <c r="GW521" s="800"/>
      <c r="GX521" s="800"/>
      <c r="GY521" s="800"/>
      <c r="GZ521" s="800"/>
      <c r="HA521" s="800"/>
      <c r="HB521" s="800"/>
      <c r="HC521" s="800"/>
      <c r="HD521" s="800"/>
      <c r="HE521" s="800"/>
      <c r="HF521" s="800"/>
      <c r="HG521" s="800"/>
      <c r="HH521" s="800"/>
      <c r="HI521" s="800"/>
      <c r="HJ521" s="800"/>
    </row>
    <row r="522" spans="1:218" s="800" customFormat="1" ht="15">
      <c r="A522" s="794">
        <v>520</v>
      </c>
      <c r="B522" s="800" t="s">
        <v>251</v>
      </c>
      <c r="C522" s="800" t="s">
        <v>1260</v>
      </c>
      <c r="D522" s="819">
        <v>39295</v>
      </c>
      <c r="E522" s="819">
        <v>39356</v>
      </c>
      <c r="F522" s="857">
        <v>2007</v>
      </c>
      <c r="G522" s="800" t="s">
        <v>1824</v>
      </c>
      <c r="H522" s="800" t="s">
        <v>1451</v>
      </c>
      <c r="I522" s="800" t="s">
        <v>1937</v>
      </c>
      <c r="J522" s="800" t="s">
        <v>2331</v>
      </c>
      <c r="K522" s="808">
        <v>4951</v>
      </c>
      <c r="L522" s="808">
        <v>80000</v>
      </c>
      <c r="M522" s="808">
        <v>79908</v>
      </c>
      <c r="N522" s="808">
        <v>79908</v>
      </c>
      <c r="O522" s="808">
        <f t="shared" si="33"/>
        <v>16.139769743486163</v>
      </c>
      <c r="P522" s="808">
        <v>100</v>
      </c>
      <c r="Q522" s="808"/>
      <c r="R522" s="808"/>
      <c r="S522" s="808"/>
      <c r="T522" s="808"/>
      <c r="U522" s="808"/>
      <c r="V522" s="808"/>
      <c r="W522" s="808"/>
      <c r="X522" s="808"/>
      <c r="Y522" s="808"/>
      <c r="Z522" s="808"/>
      <c r="AA522" s="808"/>
      <c r="AB522" s="808"/>
      <c r="AC522" s="808"/>
      <c r="AD522" s="808"/>
      <c r="AE522" s="808"/>
      <c r="AF522" s="808"/>
      <c r="AG522" s="808"/>
      <c r="AH522" s="808"/>
      <c r="AI522" s="808"/>
      <c r="AJ522" s="808">
        <f t="shared" ref="AJ522:AJ585" si="34">SUM(Z522,AA522,AH522)</f>
        <v>0</v>
      </c>
      <c r="AK522" s="808"/>
      <c r="AL522" s="808"/>
      <c r="AM522" s="808"/>
      <c r="AN522" s="808"/>
      <c r="AO522" s="808"/>
      <c r="AP522" s="808"/>
      <c r="AQ522" s="808"/>
      <c r="AR522" s="808"/>
      <c r="AS522" s="808"/>
      <c r="AT522" s="808"/>
      <c r="AU522" s="800" t="s">
        <v>1936</v>
      </c>
    </row>
    <row r="523" spans="1:218" s="790" customFormat="1" ht="15">
      <c r="A523" s="794">
        <v>521</v>
      </c>
      <c r="B523" s="790" t="s">
        <v>251</v>
      </c>
      <c r="C523" s="800" t="s">
        <v>1260</v>
      </c>
      <c r="D523" s="824">
        <v>39387</v>
      </c>
      <c r="E523" s="824">
        <v>39569</v>
      </c>
      <c r="F523" s="857">
        <v>2007</v>
      </c>
      <c r="G523" s="790" t="s">
        <v>1825</v>
      </c>
      <c r="H523" s="790" t="s">
        <v>1464</v>
      </c>
      <c r="I523" s="790" t="s">
        <v>1939</v>
      </c>
      <c r="J523" s="800" t="s">
        <v>2331</v>
      </c>
      <c r="K523" s="787">
        <v>800</v>
      </c>
      <c r="L523" s="787">
        <v>37132</v>
      </c>
      <c r="M523" s="787">
        <v>37132</v>
      </c>
      <c r="N523" s="787">
        <v>37132</v>
      </c>
      <c r="O523" s="808">
        <f t="shared" si="33"/>
        <v>46.414999999999999</v>
      </c>
      <c r="P523" s="787">
        <v>100</v>
      </c>
      <c r="Q523" s="787"/>
      <c r="R523" s="787"/>
      <c r="S523" s="808"/>
      <c r="T523" s="787"/>
      <c r="U523" s="787"/>
      <c r="V523" s="787"/>
      <c r="W523" s="787"/>
      <c r="X523" s="787"/>
      <c r="Y523" s="808"/>
      <c r="Z523" s="787">
        <v>800</v>
      </c>
      <c r="AA523" s="787"/>
      <c r="AB523" s="787"/>
      <c r="AC523" s="787"/>
      <c r="AD523" s="787"/>
      <c r="AE523" s="787"/>
      <c r="AF523" s="787"/>
      <c r="AG523" s="787"/>
      <c r="AH523" s="808"/>
      <c r="AI523" s="787"/>
      <c r="AJ523" s="787">
        <f t="shared" si="34"/>
        <v>800</v>
      </c>
      <c r="AK523" s="787">
        <v>252</v>
      </c>
      <c r="AL523" s="787">
        <v>252</v>
      </c>
      <c r="AM523" s="787"/>
      <c r="AN523" s="787"/>
      <c r="AO523" s="787"/>
      <c r="AP523" s="787"/>
      <c r="AQ523" s="787"/>
      <c r="AR523" s="787"/>
      <c r="AS523" s="787"/>
      <c r="AT523" s="787"/>
      <c r="AU523" s="790" t="s">
        <v>1938</v>
      </c>
      <c r="BM523" s="800"/>
      <c r="BN523" s="800"/>
      <c r="BO523" s="800"/>
      <c r="BP523" s="800"/>
      <c r="BQ523" s="800"/>
      <c r="BR523" s="800"/>
      <c r="BS523" s="800"/>
      <c r="BT523" s="800"/>
      <c r="BU523" s="800"/>
      <c r="BV523" s="800"/>
      <c r="BW523" s="800"/>
      <c r="BX523" s="800"/>
      <c r="BY523" s="800"/>
      <c r="BZ523" s="800"/>
      <c r="CA523" s="800"/>
      <c r="CB523" s="800"/>
      <c r="CC523" s="800"/>
      <c r="CD523" s="800"/>
      <c r="CE523" s="800"/>
      <c r="CF523" s="800"/>
      <c r="CG523" s="800"/>
      <c r="CH523" s="800"/>
      <c r="CI523" s="800"/>
      <c r="CJ523" s="800"/>
      <c r="CK523" s="800"/>
      <c r="CL523" s="800"/>
      <c r="CM523" s="800"/>
      <c r="CN523" s="800"/>
      <c r="CO523" s="800"/>
      <c r="CP523" s="800"/>
      <c r="CQ523" s="800"/>
      <c r="CR523" s="800"/>
      <c r="CS523" s="800"/>
      <c r="CT523" s="800"/>
      <c r="CU523" s="800"/>
      <c r="CV523" s="800"/>
      <c r="CW523" s="800"/>
      <c r="CX523" s="800"/>
      <c r="CY523" s="800"/>
      <c r="CZ523" s="800"/>
      <c r="DA523" s="800"/>
      <c r="DB523" s="800"/>
      <c r="DC523" s="800"/>
      <c r="DD523" s="800"/>
      <c r="DE523" s="800"/>
      <c r="DF523" s="800"/>
      <c r="DG523" s="800"/>
      <c r="DH523" s="800"/>
      <c r="DI523" s="800"/>
      <c r="DJ523" s="800"/>
      <c r="DK523" s="800"/>
      <c r="DL523" s="800"/>
      <c r="DM523" s="800"/>
      <c r="DN523" s="800"/>
      <c r="DO523" s="800"/>
      <c r="DP523" s="800"/>
      <c r="DQ523" s="800"/>
      <c r="DR523" s="800"/>
      <c r="DS523" s="800"/>
      <c r="DT523" s="800"/>
      <c r="DU523" s="800"/>
      <c r="DV523" s="800"/>
      <c r="DW523" s="800"/>
      <c r="DX523" s="800"/>
      <c r="DY523" s="800"/>
      <c r="DZ523" s="800"/>
      <c r="EA523" s="800"/>
      <c r="EB523" s="800"/>
      <c r="EC523" s="800"/>
      <c r="ED523" s="800"/>
      <c r="EE523" s="800"/>
      <c r="EF523" s="800"/>
      <c r="EG523" s="800"/>
      <c r="EH523" s="800"/>
      <c r="EI523" s="800"/>
      <c r="EJ523" s="800"/>
      <c r="EK523" s="800"/>
      <c r="EL523" s="800"/>
      <c r="EM523" s="800"/>
      <c r="EN523" s="800"/>
      <c r="EO523" s="800"/>
      <c r="EP523" s="800"/>
      <c r="EQ523" s="800"/>
      <c r="ER523" s="800"/>
      <c r="ES523" s="800"/>
      <c r="ET523" s="800"/>
      <c r="EU523" s="800"/>
      <c r="EV523" s="800"/>
      <c r="EW523" s="800"/>
      <c r="EX523" s="800"/>
      <c r="EY523" s="800"/>
      <c r="EZ523" s="800"/>
      <c r="FA523" s="800"/>
      <c r="FB523" s="800"/>
      <c r="FC523" s="800"/>
      <c r="FD523" s="800"/>
      <c r="FE523" s="800"/>
      <c r="FF523" s="800"/>
      <c r="FG523" s="800"/>
      <c r="FH523" s="800"/>
      <c r="FI523" s="800"/>
      <c r="FJ523" s="800"/>
      <c r="FK523" s="800"/>
      <c r="FL523" s="800"/>
      <c r="FM523" s="800"/>
      <c r="FN523" s="800"/>
      <c r="FO523" s="800"/>
      <c r="FP523" s="800"/>
      <c r="FQ523" s="800"/>
      <c r="FR523" s="800"/>
      <c r="FS523" s="800"/>
      <c r="FT523" s="800"/>
      <c r="FU523" s="800"/>
      <c r="FV523" s="800"/>
      <c r="FW523" s="800"/>
      <c r="FX523" s="800"/>
      <c r="FY523" s="800"/>
      <c r="FZ523" s="800"/>
      <c r="GA523" s="800"/>
      <c r="GB523" s="800"/>
      <c r="GC523" s="800"/>
      <c r="GD523" s="800"/>
      <c r="GE523" s="800"/>
      <c r="GF523" s="800"/>
      <c r="GG523" s="800"/>
      <c r="GH523" s="800"/>
      <c r="GI523" s="800"/>
      <c r="GJ523" s="800"/>
      <c r="GK523" s="800"/>
      <c r="GL523" s="800"/>
      <c r="GM523" s="800"/>
      <c r="GN523" s="800"/>
      <c r="GO523" s="800"/>
      <c r="GP523" s="800"/>
      <c r="GQ523" s="800"/>
      <c r="GR523" s="800"/>
      <c r="GS523" s="800"/>
      <c r="GT523" s="800"/>
      <c r="GU523" s="800"/>
      <c r="GV523" s="800"/>
      <c r="GW523" s="800"/>
      <c r="GX523" s="800"/>
      <c r="GY523" s="800"/>
      <c r="GZ523" s="800"/>
      <c r="HA523" s="800"/>
      <c r="HB523" s="800"/>
      <c r="HC523" s="800"/>
      <c r="HD523" s="800"/>
      <c r="HE523" s="800"/>
      <c r="HF523" s="800"/>
      <c r="HG523" s="800"/>
      <c r="HH523" s="800"/>
      <c r="HI523" s="800"/>
      <c r="HJ523" s="800"/>
    </row>
    <row r="524" spans="1:218" s="881" customFormat="1" ht="16.5" customHeight="1">
      <c r="A524" s="794">
        <v>522</v>
      </c>
      <c r="B524" s="790" t="s">
        <v>1818</v>
      </c>
      <c r="C524" s="800" t="s">
        <v>1286</v>
      </c>
      <c r="D524" s="824">
        <v>39203</v>
      </c>
      <c r="E524" s="824">
        <v>39326</v>
      </c>
      <c r="F524" s="857">
        <v>2007</v>
      </c>
      <c r="G524" s="790" t="s">
        <v>5</v>
      </c>
      <c r="H524" s="790" t="s">
        <v>1451</v>
      </c>
      <c r="I524" s="880" t="s">
        <v>1945</v>
      </c>
      <c r="J524" s="800" t="s">
        <v>2331</v>
      </c>
      <c r="K524" s="787">
        <v>3750</v>
      </c>
      <c r="L524" s="787">
        <v>140000</v>
      </c>
      <c r="M524" s="787">
        <v>138320</v>
      </c>
      <c r="N524" s="787">
        <v>138320</v>
      </c>
      <c r="O524" s="808">
        <f t="shared" si="33"/>
        <v>36.885333333333335</v>
      </c>
      <c r="P524" s="787">
        <v>99</v>
      </c>
      <c r="Q524" s="787"/>
      <c r="R524" s="787"/>
      <c r="S524" s="808"/>
      <c r="T524" s="787"/>
      <c r="U524" s="787"/>
      <c r="V524" s="787"/>
      <c r="W524" s="787"/>
      <c r="X524" s="787"/>
      <c r="Y524" s="808"/>
      <c r="Z524" s="787">
        <v>3750</v>
      </c>
      <c r="AA524" s="787"/>
      <c r="AB524" s="787">
        <v>45</v>
      </c>
      <c r="AC524" s="787"/>
      <c r="AD524" s="787"/>
      <c r="AE524" s="787"/>
      <c r="AF524" s="787"/>
      <c r="AG524" s="787"/>
      <c r="AH524" s="808"/>
      <c r="AI524" s="787"/>
      <c r="AJ524" s="787">
        <f t="shared" si="34"/>
        <v>3750</v>
      </c>
      <c r="AK524" s="787">
        <v>4840</v>
      </c>
      <c r="AL524" s="787">
        <v>529</v>
      </c>
      <c r="AM524" s="787"/>
      <c r="AN524" s="787"/>
      <c r="AO524" s="787"/>
      <c r="AP524" s="787"/>
      <c r="AQ524" s="787"/>
      <c r="AR524" s="787"/>
      <c r="AS524" s="787"/>
      <c r="AT524" s="787"/>
      <c r="AU524" s="790" t="s">
        <v>1944</v>
      </c>
      <c r="AV524" s="790"/>
      <c r="AW524" s="790"/>
      <c r="AX524" s="790"/>
      <c r="AY524" s="790"/>
      <c r="AZ524" s="790"/>
      <c r="BA524" s="790"/>
      <c r="BB524" s="790"/>
      <c r="BC524" s="790"/>
      <c r="BD524" s="790"/>
      <c r="BE524" s="790"/>
      <c r="BF524" s="790"/>
      <c r="BG524" s="790"/>
      <c r="BH524" s="790"/>
      <c r="BI524" s="790"/>
      <c r="BJ524" s="790"/>
      <c r="BK524" s="790"/>
      <c r="BL524" s="790"/>
      <c r="BM524" s="800"/>
      <c r="BN524" s="785"/>
      <c r="BO524" s="785"/>
      <c r="BP524" s="785"/>
      <c r="BQ524" s="785"/>
      <c r="BR524" s="785"/>
      <c r="BS524" s="785"/>
      <c r="BT524" s="785"/>
      <c r="BU524" s="785"/>
      <c r="BV524" s="785"/>
      <c r="BW524" s="785"/>
      <c r="BX524" s="785"/>
      <c r="BY524" s="785"/>
      <c r="BZ524" s="785"/>
      <c r="CA524" s="785"/>
      <c r="CB524" s="785"/>
      <c r="CC524" s="785"/>
      <c r="CD524" s="785"/>
      <c r="CE524" s="785"/>
      <c r="CF524" s="785"/>
      <c r="CG524" s="785"/>
      <c r="CH524" s="785"/>
      <c r="CI524" s="785"/>
      <c r="CJ524" s="785"/>
      <c r="CK524" s="785"/>
      <c r="CL524" s="785"/>
      <c r="CM524" s="785"/>
      <c r="CN524" s="785"/>
      <c r="CO524" s="785"/>
      <c r="CP524" s="785"/>
      <c r="CQ524" s="785"/>
      <c r="CR524" s="785"/>
      <c r="CS524" s="785"/>
      <c r="CT524" s="785"/>
      <c r="CU524" s="785"/>
      <c r="CV524" s="785"/>
      <c r="CW524" s="785"/>
      <c r="CX524" s="785"/>
      <c r="CY524" s="785"/>
      <c r="CZ524" s="785"/>
      <c r="DA524" s="785"/>
      <c r="DB524" s="785"/>
      <c r="DC524" s="785"/>
      <c r="DD524" s="785"/>
      <c r="DE524" s="785"/>
      <c r="DF524" s="785"/>
      <c r="DG524" s="785"/>
      <c r="DH524" s="785"/>
      <c r="DI524" s="785"/>
      <c r="DJ524" s="785"/>
      <c r="DK524" s="785"/>
      <c r="DL524" s="785"/>
      <c r="DM524" s="785"/>
      <c r="DN524" s="785"/>
      <c r="DO524" s="785"/>
      <c r="DP524" s="785"/>
      <c r="DQ524" s="785"/>
      <c r="DR524" s="785"/>
      <c r="DS524" s="785"/>
      <c r="DT524" s="785"/>
      <c r="DU524" s="785"/>
      <c r="DV524" s="785"/>
      <c r="DW524" s="785"/>
      <c r="DX524" s="785"/>
      <c r="DY524" s="785"/>
      <c r="DZ524" s="785"/>
      <c r="EA524" s="785"/>
      <c r="EB524" s="785"/>
      <c r="EC524" s="785"/>
      <c r="ED524" s="785"/>
      <c r="EE524" s="785"/>
      <c r="EF524" s="785"/>
      <c r="EG524" s="785"/>
      <c r="EH524" s="785"/>
      <c r="EI524" s="785"/>
      <c r="EJ524" s="785"/>
      <c r="EK524" s="785"/>
      <c r="EL524" s="785"/>
      <c r="EM524" s="785"/>
      <c r="EN524" s="785"/>
      <c r="EO524" s="785"/>
      <c r="EP524" s="785"/>
      <c r="EQ524" s="785"/>
      <c r="ER524" s="785"/>
      <c r="ES524" s="785"/>
      <c r="ET524" s="785"/>
      <c r="EU524" s="785"/>
      <c r="EV524" s="785"/>
      <c r="EW524" s="785"/>
      <c r="EX524" s="785"/>
      <c r="EY524" s="785"/>
      <c r="EZ524" s="785"/>
      <c r="FA524" s="785"/>
      <c r="FB524" s="785"/>
      <c r="FC524" s="785"/>
      <c r="FD524" s="785"/>
      <c r="FE524" s="785"/>
      <c r="FF524" s="785"/>
      <c r="FG524" s="785"/>
      <c r="FH524" s="785"/>
      <c r="FI524" s="785"/>
      <c r="FJ524" s="785"/>
      <c r="FK524" s="785"/>
      <c r="FL524" s="785"/>
      <c r="FM524" s="785"/>
      <c r="FN524" s="785"/>
      <c r="FO524" s="785"/>
      <c r="FP524" s="785"/>
      <c r="FQ524" s="785"/>
      <c r="FR524" s="785"/>
      <c r="FS524" s="785"/>
      <c r="FT524" s="785"/>
      <c r="FU524" s="785"/>
      <c r="FV524" s="785"/>
      <c r="FW524" s="785"/>
      <c r="FX524" s="785"/>
      <c r="FY524" s="785"/>
      <c r="FZ524" s="785"/>
      <c r="GA524" s="785"/>
      <c r="GB524" s="785"/>
      <c r="GC524" s="785"/>
      <c r="GD524" s="785"/>
      <c r="GE524" s="785"/>
      <c r="GF524" s="785"/>
      <c r="GG524" s="785"/>
      <c r="GH524" s="785"/>
      <c r="GI524" s="785"/>
      <c r="GJ524" s="785"/>
      <c r="GK524" s="785"/>
      <c r="GL524" s="785"/>
      <c r="GM524" s="785"/>
      <c r="GN524" s="785"/>
      <c r="GO524" s="785"/>
      <c r="GP524" s="785"/>
      <c r="GQ524" s="785"/>
      <c r="GR524" s="785"/>
      <c r="GS524" s="785"/>
      <c r="GT524" s="785"/>
      <c r="GU524" s="785"/>
      <c r="GV524" s="785"/>
      <c r="GW524" s="785"/>
      <c r="GX524" s="785"/>
      <c r="GY524" s="785"/>
      <c r="GZ524" s="785"/>
      <c r="HA524" s="785"/>
      <c r="HB524" s="785"/>
      <c r="HC524" s="785"/>
      <c r="HD524" s="785"/>
      <c r="HE524" s="785"/>
      <c r="HF524" s="785"/>
      <c r="HG524" s="785"/>
      <c r="HH524" s="785"/>
      <c r="HI524" s="785"/>
      <c r="HJ524" s="785"/>
    </row>
    <row r="525" spans="1:218" s="842" customFormat="1" ht="19.5" customHeight="1">
      <c r="A525" s="794">
        <v>523</v>
      </c>
      <c r="B525" s="842" t="s">
        <v>259</v>
      </c>
      <c r="C525" s="842" t="s">
        <v>1261</v>
      </c>
      <c r="D525" s="792">
        <v>39142</v>
      </c>
      <c r="E525" s="792">
        <v>39722</v>
      </c>
      <c r="F525" s="857">
        <v>2007</v>
      </c>
      <c r="G525" s="817" t="s">
        <v>578</v>
      </c>
      <c r="H525" s="808" t="s">
        <v>1450</v>
      </c>
      <c r="I525" s="842" t="s">
        <v>577</v>
      </c>
      <c r="J525" s="812" t="s">
        <v>2438</v>
      </c>
      <c r="K525" s="842">
        <v>193000</v>
      </c>
      <c r="L525" s="842">
        <v>3231507</v>
      </c>
      <c r="M525" s="842">
        <v>2453420</v>
      </c>
      <c r="N525" s="842">
        <v>2453420</v>
      </c>
      <c r="O525" s="808">
        <f t="shared" si="33"/>
        <v>12.712020725388602</v>
      </c>
      <c r="P525" s="842">
        <v>76</v>
      </c>
      <c r="Q525" s="842" t="s">
        <v>75</v>
      </c>
      <c r="R525" s="842" t="s">
        <v>75</v>
      </c>
      <c r="T525" s="842" t="s">
        <v>95</v>
      </c>
      <c r="U525" s="842" t="s">
        <v>75</v>
      </c>
      <c r="V525" s="842" t="s">
        <v>75</v>
      </c>
      <c r="W525" s="842" t="s">
        <v>75</v>
      </c>
      <c r="X525" s="842" t="s">
        <v>75</v>
      </c>
      <c r="Z525" s="842" t="s">
        <v>75</v>
      </c>
      <c r="AA525" s="842" t="s">
        <v>75</v>
      </c>
      <c r="AB525" s="842" t="s">
        <v>75</v>
      </c>
      <c r="AC525" s="842" t="s">
        <v>75</v>
      </c>
      <c r="AD525" s="842" t="s">
        <v>75</v>
      </c>
      <c r="AE525" s="842" t="s">
        <v>75</v>
      </c>
      <c r="AF525" s="842" t="s">
        <v>75</v>
      </c>
      <c r="AG525" s="842" t="s">
        <v>75</v>
      </c>
      <c r="AH525" s="842" t="s">
        <v>75</v>
      </c>
      <c r="AI525" s="842" t="s">
        <v>75</v>
      </c>
      <c r="AJ525" s="808">
        <f t="shared" si="34"/>
        <v>0</v>
      </c>
      <c r="AK525" s="842" t="s">
        <v>75</v>
      </c>
      <c r="AL525" s="842" t="s">
        <v>75</v>
      </c>
      <c r="AN525" s="842" t="s">
        <v>75</v>
      </c>
      <c r="AO525" s="842" t="s">
        <v>75</v>
      </c>
      <c r="AP525" s="842" t="s">
        <v>75</v>
      </c>
      <c r="AQ525" s="842" t="s">
        <v>75</v>
      </c>
      <c r="AR525" s="842" t="s">
        <v>75</v>
      </c>
      <c r="AS525" s="842" t="s">
        <v>75</v>
      </c>
      <c r="AT525" s="842" t="s">
        <v>75</v>
      </c>
      <c r="AU525" s="275" t="s">
        <v>576</v>
      </c>
    </row>
    <row r="526" spans="1:218" s="842" customFormat="1" ht="18.75" customHeight="1">
      <c r="A526" s="794">
        <v>524</v>
      </c>
      <c r="B526" s="789" t="s">
        <v>2373</v>
      </c>
      <c r="C526" s="789" t="s">
        <v>1299</v>
      </c>
      <c r="D526" s="840">
        <v>39326</v>
      </c>
      <c r="E526" s="840">
        <v>39692</v>
      </c>
      <c r="F526" s="857">
        <v>2007</v>
      </c>
      <c r="G526" s="789" t="s">
        <v>5</v>
      </c>
      <c r="H526" s="800" t="s">
        <v>1451</v>
      </c>
      <c r="I526" s="789" t="s">
        <v>831</v>
      </c>
      <c r="J526" s="812" t="s">
        <v>2438</v>
      </c>
      <c r="K526" s="817">
        <v>82000</v>
      </c>
      <c r="L526" s="817">
        <v>4408754</v>
      </c>
      <c r="M526" s="817">
        <v>4188895</v>
      </c>
      <c r="N526" s="817">
        <v>4188895</v>
      </c>
      <c r="O526" s="808">
        <f t="shared" si="33"/>
        <v>51.08408536585366</v>
      </c>
      <c r="P526" s="817">
        <v>95</v>
      </c>
      <c r="Q526" s="817">
        <f>(2538+5179)*5</f>
        <v>38585</v>
      </c>
      <c r="R526" s="817">
        <f>16*20</f>
        <v>320</v>
      </c>
      <c r="S526" s="817">
        <v>38585</v>
      </c>
      <c r="T526" s="817" t="s">
        <v>849</v>
      </c>
      <c r="U526" s="817">
        <v>115</v>
      </c>
      <c r="V526" s="817">
        <v>38585</v>
      </c>
      <c r="W526" s="817">
        <v>132142</v>
      </c>
      <c r="X526" s="817">
        <v>110206</v>
      </c>
      <c r="Y526" s="808">
        <f>X526/S526</f>
        <v>2.8561876376830373</v>
      </c>
      <c r="Z526" s="817" t="s">
        <v>75</v>
      </c>
      <c r="AA526" s="817">
        <v>36305</v>
      </c>
      <c r="AB526" s="817">
        <v>80</v>
      </c>
      <c r="AC526" s="817" t="s">
        <v>75</v>
      </c>
      <c r="AD526" s="817" t="s">
        <v>75</v>
      </c>
      <c r="AE526" s="817">
        <v>8522</v>
      </c>
      <c r="AF526" s="817" t="s">
        <v>75</v>
      </c>
      <c r="AG526" s="817" t="s">
        <v>75</v>
      </c>
      <c r="AH526" s="817" t="s">
        <v>75</v>
      </c>
      <c r="AI526" s="817" t="s">
        <v>75</v>
      </c>
      <c r="AJ526" s="808">
        <f t="shared" si="34"/>
        <v>36305</v>
      </c>
      <c r="AK526" s="817">
        <v>18998</v>
      </c>
      <c r="AL526" s="817">
        <v>4400</v>
      </c>
      <c r="AM526" s="817"/>
      <c r="AN526" s="817" t="s">
        <v>75</v>
      </c>
      <c r="AO526" s="817" t="s">
        <v>75</v>
      </c>
      <c r="AP526" s="817" t="s">
        <v>75</v>
      </c>
      <c r="AQ526" s="817" t="s">
        <v>75</v>
      </c>
      <c r="AR526" s="817" t="s">
        <v>75</v>
      </c>
      <c r="AS526" s="817" t="s">
        <v>2</v>
      </c>
      <c r="AT526" s="817" t="s">
        <v>75</v>
      </c>
      <c r="AU526" s="356" t="s">
        <v>830</v>
      </c>
      <c r="AV526" s="789"/>
      <c r="AW526" s="789"/>
      <c r="AX526" s="789"/>
      <c r="AY526" s="789"/>
      <c r="AZ526" s="789"/>
      <c r="BA526" s="789"/>
      <c r="BB526" s="789"/>
      <c r="BC526" s="789"/>
      <c r="BD526" s="789"/>
      <c r="BE526" s="789"/>
      <c r="BF526" s="789"/>
      <c r="BG526" s="789"/>
      <c r="BH526" s="789"/>
      <c r="BI526" s="789"/>
      <c r="BJ526" s="789"/>
      <c r="BK526" s="789"/>
      <c r="BL526" s="789"/>
      <c r="BM526" s="789"/>
    </row>
    <row r="527" spans="1:218" s="842" customFormat="1" ht="18" customHeight="1">
      <c r="A527" s="794">
        <v>525</v>
      </c>
      <c r="B527" s="790" t="s">
        <v>2374</v>
      </c>
      <c r="C527" s="790" t="s">
        <v>1299</v>
      </c>
      <c r="D527" s="824">
        <v>39142</v>
      </c>
      <c r="E527" s="824">
        <v>39387</v>
      </c>
      <c r="F527" s="857">
        <v>2007</v>
      </c>
      <c r="G527" s="790" t="s">
        <v>226</v>
      </c>
      <c r="H527" s="790" t="s">
        <v>1449</v>
      </c>
      <c r="I527" s="880" t="s">
        <v>1743</v>
      </c>
      <c r="J527" s="800" t="s">
        <v>2331</v>
      </c>
      <c r="K527" s="787">
        <v>1000000</v>
      </c>
      <c r="L527" s="787">
        <v>0</v>
      </c>
      <c r="M527" s="787">
        <v>179077</v>
      </c>
      <c r="N527" s="787">
        <v>179077</v>
      </c>
      <c r="O527" s="808">
        <f t="shared" si="33"/>
        <v>0.17907699999999999</v>
      </c>
      <c r="P527" s="879" t="s">
        <v>66</v>
      </c>
      <c r="Q527" s="787"/>
      <c r="R527" s="787"/>
      <c r="S527" s="808"/>
      <c r="T527" s="787"/>
      <c r="U527" s="787"/>
      <c r="V527" s="787"/>
      <c r="W527" s="787">
        <v>0</v>
      </c>
      <c r="X527" s="787">
        <v>3</v>
      </c>
      <c r="Y527" s="808"/>
      <c r="Z527" s="787"/>
      <c r="AA527" s="787">
        <v>1000000</v>
      </c>
      <c r="AB527" s="787">
        <v>2000</v>
      </c>
      <c r="AC527" s="787"/>
      <c r="AD527" s="787"/>
      <c r="AE527" s="787"/>
      <c r="AF527" s="787"/>
      <c r="AG527" s="787"/>
      <c r="AH527" s="808"/>
      <c r="AI527" s="787"/>
      <c r="AJ527" s="787">
        <f t="shared" si="34"/>
        <v>1000000</v>
      </c>
      <c r="AK527" s="787" t="s">
        <v>66</v>
      </c>
      <c r="AL527" s="787" t="s">
        <v>66</v>
      </c>
      <c r="AM527" s="787"/>
      <c r="AN527" s="787"/>
      <c r="AO527" s="787"/>
      <c r="AP527" s="787"/>
      <c r="AQ527" s="787"/>
      <c r="AR527" s="787"/>
      <c r="AS527" s="787"/>
      <c r="AT527" s="787"/>
      <c r="AU527" s="376" t="s">
        <v>1742</v>
      </c>
      <c r="AV527" s="790"/>
      <c r="AW527" s="790"/>
      <c r="AX527" s="790"/>
      <c r="AY527" s="790"/>
      <c r="AZ527" s="790"/>
      <c r="BA527" s="790"/>
      <c r="BB527" s="790"/>
      <c r="BC527" s="790"/>
      <c r="BD527" s="790"/>
      <c r="BE527" s="790"/>
      <c r="BF527" s="790"/>
      <c r="BG527" s="790"/>
      <c r="BH527" s="790"/>
      <c r="BI527" s="790"/>
      <c r="BJ527" s="790"/>
      <c r="BK527" s="790"/>
      <c r="BL527" s="790"/>
      <c r="BM527" s="800"/>
    </row>
    <row r="528" spans="1:218" s="842" customFormat="1" ht="14.25" customHeight="1">
      <c r="A528" s="794">
        <v>526</v>
      </c>
      <c r="B528" s="789" t="s">
        <v>764</v>
      </c>
      <c r="C528" s="789" t="s">
        <v>1299</v>
      </c>
      <c r="D528" s="840">
        <v>39083</v>
      </c>
      <c r="E528" s="840">
        <v>39326</v>
      </c>
      <c r="F528" s="857">
        <v>2007</v>
      </c>
      <c r="G528" s="789" t="s">
        <v>763</v>
      </c>
      <c r="H528" s="790" t="s">
        <v>1451</v>
      </c>
      <c r="I528" s="789" t="s">
        <v>762</v>
      </c>
      <c r="J528" s="812" t="s">
        <v>2438</v>
      </c>
      <c r="K528" s="817">
        <v>6250</v>
      </c>
      <c r="L528" s="817">
        <v>798072</v>
      </c>
      <c r="M528" s="817">
        <v>297531</v>
      </c>
      <c r="N528" s="817">
        <v>297531</v>
      </c>
      <c r="O528" s="808">
        <f t="shared" si="33"/>
        <v>47.604959999999998</v>
      </c>
      <c r="P528" s="817">
        <v>37</v>
      </c>
      <c r="Q528" s="817">
        <v>1000</v>
      </c>
      <c r="R528" s="817">
        <v>2030</v>
      </c>
      <c r="S528" s="817">
        <v>2030</v>
      </c>
      <c r="T528" s="817" t="s">
        <v>849</v>
      </c>
      <c r="U528" s="817">
        <v>40</v>
      </c>
      <c r="V528" s="817">
        <v>6225</v>
      </c>
      <c r="W528" s="817">
        <v>137250</v>
      </c>
      <c r="X528" s="817">
        <v>32319</v>
      </c>
      <c r="Y528" s="808">
        <f>X528/S528</f>
        <v>15.920689655172414</v>
      </c>
      <c r="Z528" s="817" t="s">
        <v>75</v>
      </c>
      <c r="AA528" s="817">
        <v>6225</v>
      </c>
      <c r="AB528" s="817" t="s">
        <v>75</v>
      </c>
      <c r="AC528" s="817" t="s">
        <v>75</v>
      </c>
      <c r="AD528" s="817" t="s">
        <v>75</v>
      </c>
      <c r="AE528" s="817" t="s">
        <v>75</v>
      </c>
      <c r="AF528" s="817" t="s">
        <v>75</v>
      </c>
      <c r="AG528" s="817" t="s">
        <v>75</v>
      </c>
      <c r="AH528" s="817" t="s">
        <v>75</v>
      </c>
      <c r="AI528" s="817" t="s">
        <v>75</v>
      </c>
      <c r="AJ528" s="787">
        <f t="shared" si="34"/>
        <v>6225</v>
      </c>
      <c r="AK528" s="817" t="s">
        <v>75</v>
      </c>
      <c r="AL528" s="817" t="s">
        <v>75</v>
      </c>
      <c r="AM528" s="817"/>
      <c r="AN528" s="817" t="s">
        <v>75</v>
      </c>
      <c r="AO528" s="817" t="s">
        <v>75</v>
      </c>
      <c r="AP528" s="817" t="s">
        <v>75</v>
      </c>
      <c r="AQ528" s="817" t="s">
        <v>75</v>
      </c>
      <c r="AR528" s="817" t="s">
        <v>75</v>
      </c>
      <c r="AS528" s="817" t="s">
        <v>75</v>
      </c>
      <c r="AT528" s="817" t="s">
        <v>75</v>
      </c>
      <c r="AU528" s="359" t="s">
        <v>761</v>
      </c>
      <c r="AV528" s="789"/>
      <c r="AW528" s="789"/>
      <c r="AX528" s="789"/>
      <c r="AY528" s="789"/>
      <c r="AZ528" s="789"/>
      <c r="BA528" s="789"/>
      <c r="BB528" s="789"/>
      <c r="BC528" s="789"/>
      <c r="BD528" s="789"/>
      <c r="BE528" s="789"/>
      <c r="BF528" s="789"/>
      <c r="BG528" s="789"/>
      <c r="BH528" s="789"/>
      <c r="BI528" s="789"/>
      <c r="BJ528" s="789"/>
      <c r="BK528" s="789"/>
      <c r="BL528" s="789"/>
      <c r="BM528" s="789"/>
    </row>
    <row r="529" spans="1:65" s="842" customFormat="1" ht="14.25" customHeight="1">
      <c r="A529" s="794">
        <v>527</v>
      </c>
      <c r="B529" s="790" t="s">
        <v>142</v>
      </c>
      <c r="C529" s="800" t="s">
        <v>1299</v>
      </c>
      <c r="D529" s="824">
        <v>39203</v>
      </c>
      <c r="E529" s="824">
        <v>39264</v>
      </c>
      <c r="F529" s="857">
        <v>2007</v>
      </c>
      <c r="G529" s="790" t="s">
        <v>1827</v>
      </c>
      <c r="H529" s="790" t="s">
        <v>1449</v>
      </c>
      <c r="I529" s="790" t="s">
        <v>1947</v>
      </c>
      <c r="J529" s="800" t="s">
        <v>2331</v>
      </c>
      <c r="K529" s="787">
        <v>100000</v>
      </c>
      <c r="L529" s="787">
        <v>258404</v>
      </c>
      <c r="M529" s="787">
        <v>258404</v>
      </c>
      <c r="N529" s="787">
        <v>258404</v>
      </c>
      <c r="O529" s="808">
        <f t="shared" si="33"/>
        <v>2.5840399999999999</v>
      </c>
      <c r="P529" s="787">
        <v>100</v>
      </c>
      <c r="Q529" s="787">
        <v>100000</v>
      </c>
      <c r="R529" s="787"/>
      <c r="S529" s="808"/>
      <c r="T529" s="787"/>
      <c r="U529" s="787"/>
      <c r="V529" s="787">
        <v>100000</v>
      </c>
      <c r="W529" s="787">
        <v>184540</v>
      </c>
      <c r="X529" s="787">
        <v>97150</v>
      </c>
      <c r="Y529" s="808"/>
      <c r="Z529" s="787"/>
      <c r="AA529" s="787"/>
      <c r="AB529" s="787">
        <v>100</v>
      </c>
      <c r="AC529" s="787"/>
      <c r="AD529" s="787"/>
      <c r="AE529" s="787"/>
      <c r="AF529" s="787"/>
      <c r="AG529" s="787"/>
      <c r="AH529" s="808"/>
      <c r="AI529" s="787"/>
      <c r="AJ529" s="787">
        <f t="shared" si="34"/>
        <v>0</v>
      </c>
      <c r="AK529" s="787" t="s">
        <v>66</v>
      </c>
      <c r="AL529" s="787">
        <v>29126</v>
      </c>
      <c r="AM529" s="787"/>
      <c r="AN529" s="787"/>
      <c r="AO529" s="787"/>
      <c r="AP529" s="787"/>
      <c r="AQ529" s="787"/>
      <c r="AR529" s="787"/>
      <c r="AS529" s="787"/>
      <c r="AT529" s="787"/>
      <c r="AU529" s="790" t="s">
        <v>1946</v>
      </c>
      <c r="AV529" s="790"/>
      <c r="AW529" s="790"/>
      <c r="AX529" s="790"/>
      <c r="AY529" s="790"/>
      <c r="AZ529" s="790"/>
      <c r="BA529" s="790"/>
      <c r="BB529" s="790"/>
      <c r="BC529" s="790"/>
      <c r="BD529" s="790"/>
      <c r="BE529" s="790"/>
      <c r="BF529" s="790"/>
      <c r="BG529" s="790"/>
      <c r="BH529" s="790"/>
      <c r="BI529" s="790"/>
      <c r="BJ529" s="790"/>
      <c r="BK529" s="790"/>
      <c r="BL529" s="790"/>
      <c r="BM529" s="800"/>
    </row>
    <row r="530" spans="1:65" s="842" customFormat="1" ht="14.25" customHeight="1">
      <c r="A530" s="794">
        <v>528</v>
      </c>
      <c r="B530" s="790" t="s">
        <v>2307</v>
      </c>
      <c r="C530" s="800" t="s">
        <v>1286</v>
      </c>
      <c r="D530" s="824">
        <v>39326</v>
      </c>
      <c r="E530" s="824">
        <v>39783</v>
      </c>
      <c r="F530" s="857">
        <v>2007</v>
      </c>
      <c r="G530" s="790" t="s">
        <v>665</v>
      </c>
      <c r="H530" s="790" t="s">
        <v>1450</v>
      </c>
      <c r="I530" s="790" t="s">
        <v>664</v>
      </c>
      <c r="J530" s="812" t="s">
        <v>2438</v>
      </c>
      <c r="K530" s="787">
        <v>31658</v>
      </c>
      <c r="L530" s="787">
        <v>1371000</v>
      </c>
      <c r="M530" s="787">
        <v>1310495</v>
      </c>
      <c r="N530" s="787">
        <v>1310495</v>
      </c>
      <c r="O530" s="808">
        <f t="shared" si="33"/>
        <v>41.395381893992038</v>
      </c>
      <c r="P530" s="787">
        <v>96</v>
      </c>
      <c r="Q530" s="787">
        <f>100*400</f>
        <v>40000</v>
      </c>
      <c r="R530" s="787">
        <f>35*20</f>
        <v>700</v>
      </c>
      <c r="S530" s="808">
        <f>100*400</f>
        <v>40000</v>
      </c>
      <c r="T530" s="787"/>
      <c r="V530" s="787">
        <v>31658</v>
      </c>
      <c r="W530" s="787">
        <v>127</v>
      </c>
      <c r="X530" s="787">
        <v>2029</v>
      </c>
      <c r="Y530" s="808">
        <f>X530/S530</f>
        <v>5.0724999999999999E-2</v>
      </c>
      <c r="Z530" s="787">
        <v>31658</v>
      </c>
      <c r="AA530" s="787">
        <v>166</v>
      </c>
      <c r="AB530" s="787">
        <v>40</v>
      </c>
      <c r="AC530" s="787"/>
      <c r="AD530" s="787"/>
      <c r="AE530" s="787"/>
      <c r="AF530" s="787"/>
      <c r="AG530" s="787"/>
      <c r="AH530" s="808"/>
      <c r="AI530" s="787"/>
      <c r="AJ530" s="787">
        <f t="shared" si="34"/>
        <v>31824</v>
      </c>
      <c r="AK530" s="787">
        <v>2051</v>
      </c>
      <c r="AL530" s="787">
        <v>2809</v>
      </c>
      <c r="AM530" s="787"/>
      <c r="AN530" s="787"/>
      <c r="AO530" s="787"/>
      <c r="AP530" s="787"/>
      <c r="AQ530" s="787"/>
      <c r="AR530" s="787"/>
      <c r="AS530" s="787"/>
      <c r="AT530" s="787"/>
      <c r="AU530" s="376" t="s">
        <v>663</v>
      </c>
      <c r="AV530" s="790"/>
      <c r="AW530" s="790"/>
      <c r="AX530" s="790"/>
      <c r="AY530" s="790"/>
      <c r="AZ530" s="790"/>
      <c r="BA530" s="790"/>
      <c r="BB530" s="790"/>
      <c r="BC530" s="790"/>
      <c r="BD530" s="790"/>
      <c r="BE530" s="790"/>
      <c r="BF530" s="790"/>
      <c r="BG530" s="790"/>
      <c r="BH530" s="790"/>
      <c r="BI530" s="790"/>
      <c r="BJ530" s="790"/>
      <c r="BK530" s="790"/>
      <c r="BL530" s="790"/>
      <c r="BM530" s="800"/>
    </row>
    <row r="531" spans="1:65" s="853" customFormat="1" ht="18.75" customHeight="1">
      <c r="A531" s="794">
        <v>529</v>
      </c>
      <c r="B531" s="836" t="s">
        <v>332</v>
      </c>
      <c r="C531" s="836" t="s">
        <v>1299</v>
      </c>
      <c r="D531" s="840">
        <v>38838</v>
      </c>
      <c r="E531" s="840">
        <v>39417</v>
      </c>
      <c r="F531" s="857">
        <v>2006</v>
      </c>
      <c r="G531" s="836" t="s">
        <v>168</v>
      </c>
      <c r="H531" s="837" t="s">
        <v>1449</v>
      </c>
      <c r="I531" s="836" t="s">
        <v>766</v>
      </c>
      <c r="J531" s="812" t="s">
        <v>2438</v>
      </c>
      <c r="K531" s="817">
        <v>247000</v>
      </c>
      <c r="L531" s="817">
        <v>2305164</v>
      </c>
      <c r="M531" s="817">
        <v>763557</v>
      </c>
      <c r="N531" s="817">
        <v>763557</v>
      </c>
      <c r="O531" s="808">
        <f t="shared" si="33"/>
        <v>3.0913238866396759</v>
      </c>
      <c r="P531" s="817">
        <v>33</v>
      </c>
      <c r="Q531" s="817">
        <v>102500</v>
      </c>
      <c r="R531" s="838" t="s">
        <v>206</v>
      </c>
      <c r="S531" s="817">
        <v>102500</v>
      </c>
      <c r="T531" s="817" t="s">
        <v>94</v>
      </c>
      <c r="U531" s="838" t="s">
        <v>339</v>
      </c>
      <c r="V531" s="817">
        <v>247000</v>
      </c>
      <c r="W531" s="817">
        <v>521095</v>
      </c>
      <c r="X531" s="817">
        <v>60462</v>
      </c>
      <c r="Y531" s="808">
        <f>X531/S531</f>
        <v>0.58987317073170731</v>
      </c>
      <c r="Z531" s="817" t="s">
        <v>75</v>
      </c>
      <c r="AA531" s="817">
        <v>247000</v>
      </c>
      <c r="AB531" s="817">
        <v>700</v>
      </c>
      <c r="AC531" s="817" t="s">
        <v>75</v>
      </c>
      <c r="AD531" s="817" t="s">
        <v>75</v>
      </c>
      <c r="AE531" s="817" t="s">
        <v>75</v>
      </c>
      <c r="AF531" s="817" t="s">
        <v>75</v>
      </c>
      <c r="AG531" s="817" t="s">
        <v>75</v>
      </c>
      <c r="AH531" s="817" t="s">
        <v>75</v>
      </c>
      <c r="AI531" s="817" t="s">
        <v>75</v>
      </c>
      <c r="AJ531" s="787">
        <f t="shared" si="34"/>
        <v>247000</v>
      </c>
      <c r="AK531" s="817">
        <v>131596</v>
      </c>
      <c r="AL531" s="817">
        <v>36653</v>
      </c>
      <c r="AM531" s="817"/>
      <c r="AN531" s="817" t="s">
        <v>75</v>
      </c>
      <c r="AO531" s="817" t="s">
        <v>75</v>
      </c>
      <c r="AP531" s="817" t="s">
        <v>75</v>
      </c>
      <c r="AQ531" s="817" t="s">
        <v>75</v>
      </c>
      <c r="AR531" s="817" t="s">
        <v>75</v>
      </c>
      <c r="AS531" s="817" t="s">
        <v>75</v>
      </c>
      <c r="AT531" s="817" t="s">
        <v>75</v>
      </c>
      <c r="AU531" s="356" t="s">
        <v>765</v>
      </c>
      <c r="AV531" s="845"/>
      <c r="AW531" s="845"/>
      <c r="AX531" s="845"/>
      <c r="AY531" s="845"/>
      <c r="AZ531" s="845"/>
      <c r="BA531" s="845"/>
      <c r="BB531" s="845"/>
      <c r="BC531" s="845"/>
      <c r="BD531" s="845"/>
      <c r="BE531" s="845"/>
      <c r="BF531" s="845"/>
      <c r="BG531" s="845"/>
      <c r="BH531" s="845"/>
      <c r="BI531" s="845"/>
      <c r="BJ531" s="845"/>
      <c r="BK531" s="845"/>
      <c r="BL531" s="845"/>
      <c r="BM531" s="845"/>
    </row>
    <row r="532" spans="1:65" s="853" customFormat="1" ht="13.5" customHeight="1">
      <c r="A532" s="794">
        <v>530</v>
      </c>
      <c r="B532" s="820" t="s">
        <v>1213</v>
      </c>
      <c r="C532" s="785" t="s">
        <v>1286</v>
      </c>
      <c r="D532" s="799">
        <v>38808</v>
      </c>
      <c r="E532" s="792">
        <v>38930</v>
      </c>
      <c r="F532" s="857">
        <v>2006</v>
      </c>
      <c r="G532" s="812" t="s">
        <v>5</v>
      </c>
      <c r="H532" s="837" t="s">
        <v>1451</v>
      </c>
      <c r="I532" s="812" t="s">
        <v>555</v>
      </c>
      <c r="J532" s="800" t="s">
        <v>2331</v>
      </c>
      <c r="K532" s="842">
        <v>13670</v>
      </c>
      <c r="L532" s="842">
        <v>100000</v>
      </c>
      <c r="M532" s="842">
        <v>100000</v>
      </c>
      <c r="N532" s="842">
        <v>98390</v>
      </c>
      <c r="O532" s="808">
        <f t="shared" si="33"/>
        <v>7.1975128017556695</v>
      </c>
      <c r="P532" s="842">
        <v>100</v>
      </c>
      <c r="Q532" s="842"/>
      <c r="R532" s="842" t="s">
        <v>75</v>
      </c>
      <c r="S532" s="842" t="s">
        <v>75</v>
      </c>
      <c r="T532" s="842" t="s">
        <v>233</v>
      </c>
      <c r="U532" s="842">
        <v>35</v>
      </c>
      <c r="V532" s="842">
        <v>4800</v>
      </c>
      <c r="W532" s="842" t="s">
        <v>66</v>
      </c>
      <c r="X532" s="842" t="s">
        <v>66</v>
      </c>
      <c r="Y532" s="842"/>
      <c r="Z532" s="842">
        <v>997</v>
      </c>
      <c r="AA532" s="842">
        <v>997</v>
      </c>
      <c r="AB532" s="842">
        <v>95</v>
      </c>
      <c r="AC532" s="842" t="s">
        <v>75</v>
      </c>
      <c r="AD532" s="842" t="s">
        <v>75</v>
      </c>
      <c r="AE532" s="842" t="s">
        <v>75</v>
      </c>
      <c r="AF532" s="842" t="s">
        <v>75</v>
      </c>
      <c r="AG532" s="842" t="s">
        <v>75</v>
      </c>
      <c r="AH532" s="842" t="s">
        <v>75</v>
      </c>
      <c r="AI532" s="842" t="s">
        <v>75</v>
      </c>
      <c r="AJ532" s="787">
        <f t="shared" si="34"/>
        <v>1994</v>
      </c>
      <c r="AK532" s="842" t="s">
        <v>66</v>
      </c>
      <c r="AL532" s="842" t="s">
        <v>66</v>
      </c>
      <c r="AM532" s="842"/>
      <c r="AN532" s="842"/>
      <c r="AO532" s="842"/>
      <c r="AP532" s="842"/>
      <c r="AQ532" s="842"/>
      <c r="AR532" s="842"/>
      <c r="AS532" s="842" t="s">
        <v>75</v>
      </c>
      <c r="AT532" s="842" t="s">
        <v>75</v>
      </c>
      <c r="AU532" s="785" t="s">
        <v>553</v>
      </c>
      <c r="AV532" s="785"/>
      <c r="AW532" s="785"/>
      <c r="AX532" s="785"/>
      <c r="AY532" s="785"/>
      <c r="AZ532" s="785"/>
      <c r="BA532" s="785"/>
      <c r="BB532" s="785"/>
      <c r="BC532" s="785"/>
      <c r="BD532" s="785"/>
      <c r="BE532" s="785"/>
      <c r="BF532" s="785"/>
      <c r="BG532" s="785"/>
      <c r="BH532" s="785"/>
      <c r="BI532" s="785"/>
      <c r="BJ532" s="785"/>
      <c r="BK532" s="785"/>
      <c r="BL532" s="785"/>
      <c r="BM532" s="785"/>
    </row>
    <row r="533" spans="1:65" s="853" customFormat="1" ht="17.25" customHeight="1">
      <c r="A533" s="794">
        <v>531</v>
      </c>
      <c r="B533" s="878" t="s">
        <v>356</v>
      </c>
      <c r="C533" s="796" t="s">
        <v>1260</v>
      </c>
      <c r="D533" s="799">
        <v>38749</v>
      </c>
      <c r="E533" s="799">
        <v>38777</v>
      </c>
      <c r="F533" s="857">
        <v>2006</v>
      </c>
      <c r="G533" s="870" t="s">
        <v>357</v>
      </c>
      <c r="H533" s="837" t="s">
        <v>1453</v>
      </c>
      <c r="I533" s="812" t="s">
        <v>384</v>
      </c>
      <c r="J533" s="800" t="s">
        <v>2331</v>
      </c>
      <c r="K533" s="842">
        <v>26827</v>
      </c>
      <c r="L533" s="843">
        <v>200000</v>
      </c>
      <c r="M533" s="843">
        <v>200000</v>
      </c>
      <c r="N533" s="843">
        <v>200140</v>
      </c>
      <c r="O533" s="808">
        <f t="shared" si="33"/>
        <v>7.4603943787974805</v>
      </c>
      <c r="P533" s="843">
        <v>100</v>
      </c>
      <c r="Q533" s="843" t="s">
        <v>75</v>
      </c>
      <c r="R533" s="843" t="s">
        <v>75</v>
      </c>
      <c r="S533" s="843" t="s">
        <v>75</v>
      </c>
      <c r="T533" s="843" t="s">
        <v>233</v>
      </c>
      <c r="U533" s="843" t="s">
        <v>75</v>
      </c>
      <c r="V533" s="843" t="s">
        <v>75</v>
      </c>
      <c r="W533" s="842" t="s">
        <v>66</v>
      </c>
      <c r="X533" s="843" t="s">
        <v>66</v>
      </c>
      <c r="Y533" s="842"/>
      <c r="Z533" s="843" t="s">
        <v>75</v>
      </c>
      <c r="AA533" s="843" t="s">
        <v>75</v>
      </c>
      <c r="AB533" s="843" t="s">
        <v>75</v>
      </c>
      <c r="AC533" s="843" t="s">
        <v>75</v>
      </c>
      <c r="AD533" s="843" t="s">
        <v>75</v>
      </c>
      <c r="AE533" s="843" t="s">
        <v>75</v>
      </c>
      <c r="AF533" s="843" t="s">
        <v>75</v>
      </c>
      <c r="AG533" s="843" t="s">
        <v>75</v>
      </c>
      <c r="AH533" s="842" t="s">
        <v>75</v>
      </c>
      <c r="AI533" s="843" t="s">
        <v>75</v>
      </c>
      <c r="AJ533" s="787">
        <f t="shared" si="34"/>
        <v>0</v>
      </c>
      <c r="AK533" s="842">
        <v>365</v>
      </c>
      <c r="AL533" s="843">
        <v>330</v>
      </c>
      <c r="AM533" s="843"/>
      <c r="AN533" s="843" t="s">
        <v>75</v>
      </c>
      <c r="AO533" s="843" t="s">
        <v>75</v>
      </c>
      <c r="AP533" s="843" t="s">
        <v>75</v>
      </c>
      <c r="AQ533" s="843" t="s">
        <v>75</v>
      </c>
      <c r="AR533" s="843" t="s">
        <v>75</v>
      </c>
      <c r="AS533" s="843" t="s">
        <v>75</v>
      </c>
      <c r="AT533" s="843" t="s">
        <v>75</v>
      </c>
      <c r="AU533" s="403" t="s">
        <v>383</v>
      </c>
      <c r="AV533" s="796"/>
      <c r="AW533" s="796"/>
      <c r="AX533" s="796"/>
      <c r="AY533" s="796"/>
      <c r="AZ533" s="796"/>
      <c r="BA533" s="796"/>
      <c r="BB533" s="796"/>
      <c r="BC533" s="796"/>
      <c r="BD533" s="796"/>
      <c r="BE533" s="796"/>
      <c r="BF533" s="796"/>
      <c r="BG533" s="796"/>
      <c r="BH533" s="796"/>
      <c r="BI533" s="796"/>
      <c r="BJ533" s="796"/>
      <c r="BK533" s="796"/>
      <c r="BL533" s="796"/>
      <c r="BM533" s="785"/>
    </row>
    <row r="534" spans="1:65" s="853" customFormat="1" ht="15" customHeight="1">
      <c r="A534" s="794">
        <v>532</v>
      </c>
      <c r="B534" s="812" t="s">
        <v>547</v>
      </c>
      <c r="C534" s="785" t="s">
        <v>1286</v>
      </c>
      <c r="D534" s="799">
        <v>38749</v>
      </c>
      <c r="E534" s="792">
        <v>38838</v>
      </c>
      <c r="F534" s="857">
        <v>2006</v>
      </c>
      <c r="G534" s="812" t="s">
        <v>5</v>
      </c>
      <c r="H534" s="837" t="s">
        <v>1451</v>
      </c>
      <c r="I534" s="812" t="s">
        <v>548</v>
      </c>
      <c r="J534" s="800" t="s">
        <v>2331</v>
      </c>
      <c r="K534" s="842">
        <v>9500</v>
      </c>
      <c r="L534" s="842">
        <v>106832</v>
      </c>
      <c r="M534" s="842">
        <v>106832</v>
      </c>
      <c r="N534" s="842">
        <v>106832</v>
      </c>
      <c r="O534" s="808">
        <f t="shared" si="33"/>
        <v>11.245473684210527</v>
      </c>
      <c r="P534" s="842">
        <v>100</v>
      </c>
      <c r="Q534" s="842" t="s">
        <v>75</v>
      </c>
      <c r="R534" s="842" t="s">
        <v>75</v>
      </c>
      <c r="S534" s="842" t="s">
        <v>75</v>
      </c>
      <c r="T534" s="842" t="s">
        <v>233</v>
      </c>
      <c r="U534" s="842" t="s">
        <v>75</v>
      </c>
      <c r="V534" s="842" t="s">
        <v>75</v>
      </c>
      <c r="W534" s="842">
        <v>741</v>
      </c>
      <c r="X534" s="842">
        <v>741</v>
      </c>
      <c r="Y534" s="842"/>
      <c r="Z534" s="842" t="s">
        <v>75</v>
      </c>
      <c r="AA534" s="842" t="s">
        <v>75</v>
      </c>
      <c r="AB534" s="842" t="s">
        <v>75</v>
      </c>
      <c r="AC534" s="842" t="s">
        <v>75</v>
      </c>
      <c r="AD534" s="842" t="s">
        <v>75</v>
      </c>
      <c r="AE534" s="842" t="s">
        <v>75</v>
      </c>
      <c r="AF534" s="842" t="s">
        <v>75</v>
      </c>
      <c r="AG534" s="842" t="s">
        <v>75</v>
      </c>
      <c r="AH534" s="842" t="s">
        <v>75</v>
      </c>
      <c r="AI534" s="842" t="s">
        <v>75</v>
      </c>
      <c r="AJ534" s="787">
        <f t="shared" si="34"/>
        <v>0</v>
      </c>
      <c r="AK534" s="842" t="s">
        <v>66</v>
      </c>
      <c r="AL534" s="842" t="s">
        <v>66</v>
      </c>
      <c r="AM534" s="842"/>
      <c r="AN534" s="842"/>
      <c r="AO534" s="842"/>
      <c r="AP534" s="842"/>
      <c r="AQ534" s="842"/>
      <c r="AR534" s="842"/>
      <c r="AS534" s="842" t="s">
        <v>2</v>
      </c>
      <c r="AT534" s="842" t="s">
        <v>2</v>
      </c>
      <c r="AU534" s="785" t="s">
        <v>549</v>
      </c>
      <c r="AV534" s="785"/>
      <c r="AW534" s="785"/>
      <c r="AX534" s="785"/>
      <c r="AY534" s="785"/>
      <c r="AZ534" s="785"/>
      <c r="BA534" s="785"/>
      <c r="BB534" s="785"/>
      <c r="BC534" s="785"/>
      <c r="BD534" s="785"/>
      <c r="BE534" s="785"/>
      <c r="BF534" s="785"/>
      <c r="BG534" s="785"/>
      <c r="BH534" s="785"/>
      <c r="BI534" s="785"/>
      <c r="BJ534" s="785"/>
      <c r="BK534" s="785"/>
      <c r="BL534" s="785"/>
      <c r="BM534" s="785"/>
    </row>
    <row r="535" spans="1:65" s="853" customFormat="1" ht="17.25" customHeight="1">
      <c r="A535" s="794">
        <v>533</v>
      </c>
      <c r="B535" s="812" t="s">
        <v>119</v>
      </c>
      <c r="C535" s="785" t="s">
        <v>1299</v>
      </c>
      <c r="D535" s="792">
        <v>38930</v>
      </c>
      <c r="E535" s="792">
        <v>39234</v>
      </c>
      <c r="F535" s="857">
        <v>2006</v>
      </c>
      <c r="G535" s="836" t="s">
        <v>5</v>
      </c>
      <c r="H535" s="841" t="s">
        <v>1451</v>
      </c>
      <c r="I535" s="812" t="s">
        <v>651</v>
      </c>
      <c r="J535" s="800" t="s">
        <v>2331</v>
      </c>
      <c r="K535" s="842">
        <v>6000</v>
      </c>
      <c r="L535" s="842">
        <v>59111</v>
      </c>
      <c r="M535" s="842">
        <v>56166</v>
      </c>
      <c r="N535" s="842">
        <v>56166</v>
      </c>
      <c r="O535" s="808">
        <f t="shared" si="33"/>
        <v>9.3610000000000007</v>
      </c>
      <c r="P535" s="842">
        <v>95</v>
      </c>
      <c r="Q535" s="842">
        <f>500*2</f>
        <v>1000</v>
      </c>
      <c r="R535" s="842"/>
      <c r="S535" s="842">
        <v>1000</v>
      </c>
      <c r="T535" s="842" t="s">
        <v>95</v>
      </c>
      <c r="U535" s="842">
        <v>100</v>
      </c>
      <c r="V535" s="842">
        <v>22100</v>
      </c>
      <c r="W535" s="842">
        <v>4950</v>
      </c>
      <c r="X535" s="842">
        <v>3600</v>
      </c>
      <c r="Y535" s="808">
        <f>X535/S535</f>
        <v>3.6</v>
      </c>
      <c r="Z535" s="842" t="s">
        <v>75</v>
      </c>
      <c r="AA535" s="842" t="s">
        <v>75</v>
      </c>
      <c r="AB535" s="842" t="s">
        <v>75</v>
      </c>
      <c r="AC535" s="842" t="s">
        <v>75</v>
      </c>
      <c r="AD535" s="842" t="s">
        <v>75</v>
      </c>
      <c r="AE535" s="842">
        <v>1300</v>
      </c>
      <c r="AF535" s="842" t="s">
        <v>75</v>
      </c>
      <c r="AG535" s="842" t="s">
        <v>75</v>
      </c>
      <c r="AH535" s="842" t="s">
        <v>75</v>
      </c>
      <c r="AI535" s="842" t="s">
        <v>75</v>
      </c>
      <c r="AJ535" s="808">
        <f t="shared" si="34"/>
        <v>0</v>
      </c>
      <c r="AK535" s="842">
        <v>11308</v>
      </c>
      <c r="AL535" s="842">
        <v>10742.6</v>
      </c>
      <c r="AM535" s="842"/>
      <c r="AN535" s="842" t="s">
        <v>75</v>
      </c>
      <c r="AO535" s="842" t="s">
        <v>75</v>
      </c>
      <c r="AP535" s="842" t="s">
        <v>75</v>
      </c>
      <c r="AQ535" s="842" t="s">
        <v>75</v>
      </c>
      <c r="AR535" s="842" t="s">
        <v>75</v>
      </c>
      <c r="AS535" s="842" t="s">
        <v>75</v>
      </c>
      <c r="AT535" s="842" t="s">
        <v>75</v>
      </c>
      <c r="AU535" s="293" t="s">
        <v>650</v>
      </c>
    </row>
    <row r="536" spans="1:65" s="853" customFormat="1" ht="21" customHeight="1">
      <c r="A536" s="794">
        <v>534</v>
      </c>
      <c r="B536" s="804" t="s">
        <v>119</v>
      </c>
      <c r="C536" s="804" t="s">
        <v>1299</v>
      </c>
      <c r="D536" s="805">
        <v>38777</v>
      </c>
      <c r="E536" s="840">
        <v>38838</v>
      </c>
      <c r="F536" s="857">
        <v>2006</v>
      </c>
      <c r="G536" s="836" t="s">
        <v>226</v>
      </c>
      <c r="H536" s="837" t="s">
        <v>1449</v>
      </c>
      <c r="I536" s="836" t="s">
        <v>306</v>
      </c>
      <c r="J536" s="800" t="s">
        <v>2331</v>
      </c>
      <c r="K536" s="817">
        <v>862923</v>
      </c>
      <c r="L536" s="839">
        <v>0</v>
      </c>
      <c r="M536" s="839">
        <v>30000</v>
      </c>
      <c r="N536" s="817">
        <v>30000</v>
      </c>
      <c r="O536" s="808">
        <f t="shared" si="33"/>
        <v>3.4765558456548266E-2</v>
      </c>
      <c r="P536" s="839" t="s">
        <v>66</v>
      </c>
      <c r="Q536" s="817" t="s">
        <v>75</v>
      </c>
      <c r="R536" s="817" t="s">
        <v>75</v>
      </c>
      <c r="S536" s="817" t="s">
        <v>75</v>
      </c>
      <c r="T536" s="817" t="s">
        <v>75</v>
      </c>
      <c r="U536" s="817" t="s">
        <v>75</v>
      </c>
      <c r="V536" s="817" t="s">
        <v>75</v>
      </c>
      <c r="W536" s="817" t="s">
        <v>66</v>
      </c>
      <c r="X536" s="817" t="s">
        <v>66</v>
      </c>
      <c r="Y536" s="817"/>
      <c r="Z536" s="817" t="s">
        <v>75</v>
      </c>
      <c r="AA536" s="817">
        <v>862923</v>
      </c>
      <c r="AB536" s="839">
        <v>2080</v>
      </c>
      <c r="AC536" s="817" t="s">
        <v>134</v>
      </c>
      <c r="AD536" s="817" t="s">
        <v>75</v>
      </c>
      <c r="AE536" s="817" t="s">
        <v>75</v>
      </c>
      <c r="AF536" s="817" t="s">
        <v>75</v>
      </c>
      <c r="AG536" s="817" t="s">
        <v>75</v>
      </c>
      <c r="AH536" s="817" t="s">
        <v>75</v>
      </c>
      <c r="AI536" s="817" t="s">
        <v>75</v>
      </c>
      <c r="AJ536" s="787">
        <f t="shared" si="34"/>
        <v>862923</v>
      </c>
      <c r="AK536" s="817" t="s">
        <v>66</v>
      </c>
      <c r="AL536" s="817" t="s">
        <v>66</v>
      </c>
      <c r="AM536" s="839"/>
      <c r="AN536" s="817" t="s">
        <v>75</v>
      </c>
      <c r="AO536" s="817" t="s">
        <v>75</v>
      </c>
      <c r="AP536" s="817" t="s">
        <v>75</v>
      </c>
      <c r="AQ536" s="817" t="s">
        <v>75</v>
      </c>
      <c r="AR536" s="817" t="s">
        <v>75</v>
      </c>
      <c r="AS536" s="817" t="s">
        <v>75</v>
      </c>
      <c r="AT536" s="817" t="s">
        <v>75</v>
      </c>
      <c r="AU536" s="404" t="s">
        <v>305</v>
      </c>
      <c r="AV536" s="802"/>
      <c r="AW536" s="802"/>
      <c r="AX536" s="802"/>
      <c r="AY536" s="802"/>
      <c r="AZ536" s="802"/>
      <c r="BA536" s="802"/>
      <c r="BB536" s="802"/>
      <c r="BC536" s="802"/>
      <c r="BD536" s="802"/>
      <c r="BE536" s="802"/>
      <c r="BF536" s="802"/>
      <c r="BG536" s="802"/>
      <c r="BH536" s="802"/>
      <c r="BI536" s="802"/>
      <c r="BJ536" s="802"/>
      <c r="BK536" s="802"/>
      <c r="BL536" s="802"/>
      <c r="BM536" s="789"/>
    </row>
    <row r="537" spans="1:65" s="853" customFormat="1" ht="17.25" customHeight="1">
      <c r="A537" s="794">
        <v>535</v>
      </c>
      <c r="B537" s="836" t="s">
        <v>515</v>
      </c>
      <c r="C537" s="836" t="s">
        <v>1299</v>
      </c>
      <c r="D537" s="792">
        <v>38718</v>
      </c>
      <c r="E537" s="792">
        <v>39995</v>
      </c>
      <c r="F537" s="857">
        <v>2006</v>
      </c>
      <c r="G537" s="836" t="s">
        <v>823</v>
      </c>
      <c r="H537" s="841" t="s">
        <v>1452</v>
      </c>
      <c r="I537" s="812" t="s">
        <v>822</v>
      </c>
      <c r="J537" s="812" t="s">
        <v>2438</v>
      </c>
      <c r="K537" s="842">
        <v>15000</v>
      </c>
      <c r="L537" s="842">
        <v>1580239</v>
      </c>
      <c r="M537" s="842">
        <v>753891</v>
      </c>
      <c r="N537" s="842">
        <v>753891</v>
      </c>
      <c r="O537" s="808">
        <f t="shared" si="33"/>
        <v>50.259399999999999</v>
      </c>
      <c r="P537" s="842">
        <v>48</v>
      </c>
      <c r="Q537" s="842">
        <v>9000</v>
      </c>
      <c r="R537" s="842"/>
      <c r="S537" s="842">
        <v>9000</v>
      </c>
      <c r="T537" s="842" t="s">
        <v>2</v>
      </c>
      <c r="U537" s="842">
        <v>30</v>
      </c>
      <c r="V537" s="842">
        <v>9000</v>
      </c>
      <c r="W537" s="842">
        <v>33851</v>
      </c>
      <c r="X537" s="842">
        <v>6005</v>
      </c>
      <c r="Y537" s="808">
        <f>X537/S537</f>
        <v>0.66722222222222227</v>
      </c>
      <c r="Z537" s="817" t="s">
        <v>75</v>
      </c>
      <c r="AA537" s="842">
        <v>2000</v>
      </c>
      <c r="AB537" s="842" t="s">
        <v>75</v>
      </c>
      <c r="AC537" s="842" t="s">
        <v>2</v>
      </c>
      <c r="AD537" s="817" t="s">
        <v>75</v>
      </c>
      <c r="AE537" s="842">
        <v>2000</v>
      </c>
      <c r="AF537" s="817" t="s">
        <v>75</v>
      </c>
      <c r="AG537" s="817" t="s">
        <v>75</v>
      </c>
      <c r="AH537" s="817" t="s">
        <v>75</v>
      </c>
      <c r="AI537" s="817" t="s">
        <v>75</v>
      </c>
      <c r="AJ537" s="808">
        <f t="shared" si="34"/>
        <v>2000</v>
      </c>
      <c r="AK537" s="842">
        <v>4913</v>
      </c>
      <c r="AL537" s="842">
        <v>2430</v>
      </c>
      <c r="AM537" s="842"/>
      <c r="AN537" s="817" t="s">
        <v>75</v>
      </c>
      <c r="AO537" s="817" t="s">
        <v>75</v>
      </c>
      <c r="AP537" s="817" t="s">
        <v>75</v>
      </c>
      <c r="AQ537" s="817" t="s">
        <v>75</v>
      </c>
      <c r="AR537" s="817" t="s">
        <v>75</v>
      </c>
      <c r="AS537" s="817" t="s">
        <v>75</v>
      </c>
      <c r="AT537" s="817" t="s">
        <v>75</v>
      </c>
      <c r="AU537" s="293" t="s">
        <v>821</v>
      </c>
      <c r="AV537" s="845"/>
      <c r="AW537" s="845"/>
      <c r="AX537" s="845"/>
      <c r="AY537" s="845"/>
      <c r="AZ537" s="845"/>
      <c r="BA537" s="845"/>
      <c r="BB537" s="845"/>
      <c r="BC537" s="845"/>
      <c r="BD537" s="845"/>
      <c r="BE537" s="845"/>
      <c r="BF537" s="845"/>
      <c r="BG537" s="845"/>
      <c r="BH537" s="845"/>
      <c r="BI537" s="845"/>
      <c r="BJ537" s="845"/>
      <c r="BK537" s="845"/>
      <c r="BL537" s="845"/>
      <c r="BM537" s="845"/>
    </row>
    <row r="538" spans="1:65" s="853" customFormat="1" ht="18" customHeight="1">
      <c r="A538" s="794">
        <v>536</v>
      </c>
      <c r="B538" s="859" t="s">
        <v>515</v>
      </c>
      <c r="C538" s="854" t="s">
        <v>1299</v>
      </c>
      <c r="D538" s="860">
        <v>38718</v>
      </c>
      <c r="E538" s="860">
        <v>39083</v>
      </c>
      <c r="F538" s="857">
        <v>2006</v>
      </c>
      <c r="G538" s="859" t="s">
        <v>2023</v>
      </c>
      <c r="H538" s="800" t="s">
        <v>1451</v>
      </c>
      <c r="I538" s="854" t="s">
        <v>2024</v>
      </c>
      <c r="J538" s="800" t="s">
        <v>2331</v>
      </c>
      <c r="K538" s="856">
        <v>2100</v>
      </c>
      <c r="L538" s="856">
        <v>122000</v>
      </c>
      <c r="M538" s="856">
        <v>115550</v>
      </c>
      <c r="N538" s="856">
        <v>115550</v>
      </c>
      <c r="O538" s="808">
        <f t="shared" si="33"/>
        <v>55.023809523809526</v>
      </c>
      <c r="P538" s="856">
        <v>95</v>
      </c>
      <c r="Q538" s="856">
        <f>844*5</f>
        <v>4220</v>
      </c>
      <c r="R538" s="842"/>
      <c r="S538" s="856">
        <v>4220</v>
      </c>
      <c r="T538" s="855"/>
      <c r="U538" s="855"/>
      <c r="V538" s="855"/>
      <c r="W538" s="856"/>
      <c r="X538" s="856">
        <v>7455</v>
      </c>
      <c r="Y538" s="808">
        <f>X538/S538</f>
        <v>1.7665876777251184</v>
      </c>
      <c r="Z538" s="856"/>
      <c r="AA538" s="856">
        <v>4500</v>
      </c>
      <c r="AB538" s="856"/>
      <c r="AC538" s="856"/>
      <c r="AD538" s="856"/>
      <c r="AE538" s="856">
        <v>2100</v>
      </c>
      <c r="AF538" s="856"/>
      <c r="AG538" s="856"/>
      <c r="AH538" s="856"/>
      <c r="AI538" s="856"/>
      <c r="AJ538" s="808">
        <f t="shared" si="34"/>
        <v>4500</v>
      </c>
      <c r="AK538" s="856"/>
      <c r="AL538" s="856">
        <v>1092</v>
      </c>
      <c r="AM538" s="855"/>
      <c r="AN538" s="855"/>
      <c r="AO538" s="855"/>
      <c r="AP538" s="855"/>
      <c r="AQ538" s="855"/>
      <c r="AR538" s="855"/>
      <c r="AS538" s="855"/>
      <c r="AT538" s="855"/>
      <c r="AU538" s="406" t="s">
        <v>2025</v>
      </c>
      <c r="AV538" s="854"/>
      <c r="AW538" s="854"/>
      <c r="AX538" s="854"/>
      <c r="AY538" s="854"/>
      <c r="AZ538" s="854"/>
      <c r="BA538" s="854"/>
      <c r="BB538" s="854"/>
      <c r="BC538" s="854"/>
      <c r="BD538" s="854"/>
      <c r="BE538" s="854"/>
      <c r="BF538" s="854"/>
      <c r="BG538" s="854"/>
      <c r="BH538" s="854"/>
      <c r="BI538" s="854"/>
      <c r="BJ538" s="854"/>
      <c r="BK538" s="854"/>
      <c r="BL538" s="854"/>
      <c r="BM538" s="854"/>
    </row>
    <row r="539" spans="1:65" s="853" customFormat="1" ht="15.75" customHeight="1">
      <c r="A539" s="794">
        <v>537</v>
      </c>
      <c r="B539" s="836" t="s">
        <v>244</v>
      </c>
      <c r="C539" s="804" t="s">
        <v>1299</v>
      </c>
      <c r="D539" s="805">
        <v>38838</v>
      </c>
      <c r="E539" s="805">
        <v>38899</v>
      </c>
      <c r="F539" s="857">
        <v>2006</v>
      </c>
      <c r="G539" s="836" t="s">
        <v>245</v>
      </c>
      <c r="H539" s="837" t="s">
        <v>1449</v>
      </c>
      <c r="I539" s="836" t="s">
        <v>293</v>
      </c>
      <c r="J539" s="800" t="s">
        <v>2331</v>
      </c>
      <c r="K539" s="817">
        <v>2750</v>
      </c>
      <c r="L539" s="817">
        <v>36878</v>
      </c>
      <c r="M539" s="817">
        <v>37999</v>
      </c>
      <c r="N539" s="817">
        <v>37999</v>
      </c>
      <c r="O539" s="808">
        <f t="shared" si="33"/>
        <v>13.817818181818183</v>
      </c>
      <c r="P539" s="817">
        <v>100</v>
      </c>
      <c r="Q539" s="817">
        <v>2750</v>
      </c>
      <c r="R539" s="838" t="s">
        <v>206</v>
      </c>
      <c r="S539" s="817">
        <v>2750</v>
      </c>
      <c r="T539" s="817" t="s">
        <v>233</v>
      </c>
      <c r="U539" s="838" t="s">
        <v>134</v>
      </c>
      <c r="V539" s="817" t="s">
        <v>134</v>
      </c>
      <c r="W539" s="817">
        <v>20387</v>
      </c>
      <c r="X539" s="817">
        <v>18730</v>
      </c>
      <c r="Y539" s="808">
        <f>X539/S539</f>
        <v>6.8109090909090906</v>
      </c>
      <c r="Z539" s="817" t="s">
        <v>75</v>
      </c>
      <c r="AA539" s="817" t="s">
        <v>134</v>
      </c>
      <c r="AB539" s="817" t="s">
        <v>206</v>
      </c>
      <c r="AC539" s="817" t="s">
        <v>206</v>
      </c>
      <c r="AD539" s="817" t="s">
        <v>206</v>
      </c>
      <c r="AE539" s="817" t="s">
        <v>75</v>
      </c>
      <c r="AF539" s="817" t="s">
        <v>75</v>
      </c>
      <c r="AG539" s="817" t="s">
        <v>75</v>
      </c>
      <c r="AH539" s="817" t="s">
        <v>134</v>
      </c>
      <c r="AI539" s="817" t="s">
        <v>75</v>
      </c>
      <c r="AJ539" s="787">
        <f t="shared" si="34"/>
        <v>0</v>
      </c>
      <c r="AK539" s="817">
        <v>331</v>
      </c>
      <c r="AL539" s="817">
        <v>331</v>
      </c>
      <c r="AM539" s="817"/>
      <c r="AN539" s="817" t="s">
        <v>75</v>
      </c>
      <c r="AO539" s="817" t="s">
        <v>75</v>
      </c>
      <c r="AP539" s="817" t="s">
        <v>75</v>
      </c>
      <c r="AQ539" s="817" t="s">
        <v>75</v>
      </c>
      <c r="AR539" s="817" t="s">
        <v>75</v>
      </c>
      <c r="AS539" s="817" t="s">
        <v>75</v>
      </c>
      <c r="AT539" s="817" t="s">
        <v>75</v>
      </c>
      <c r="AU539" s="407" t="s">
        <v>246</v>
      </c>
      <c r="AV539" s="789"/>
      <c r="AW539" s="789"/>
      <c r="AX539" s="789"/>
      <c r="AY539" s="789"/>
      <c r="AZ539" s="789"/>
      <c r="BA539" s="789"/>
      <c r="BB539" s="789"/>
      <c r="BC539" s="789"/>
      <c r="BD539" s="789"/>
      <c r="BE539" s="789"/>
      <c r="BF539" s="789"/>
      <c r="BG539" s="789"/>
      <c r="BH539" s="789"/>
      <c r="BI539" s="789"/>
      <c r="BJ539" s="789"/>
      <c r="BK539" s="789"/>
      <c r="BL539" s="789"/>
      <c r="BM539" s="789"/>
    </row>
    <row r="540" spans="1:65" s="853" customFormat="1" ht="15.75" customHeight="1">
      <c r="A540" s="794">
        <v>538</v>
      </c>
      <c r="B540" s="812" t="s">
        <v>326</v>
      </c>
      <c r="C540" s="796" t="s">
        <v>1299</v>
      </c>
      <c r="D540" s="799">
        <v>38808</v>
      </c>
      <c r="E540" s="792">
        <v>39264</v>
      </c>
      <c r="F540" s="857">
        <v>2006</v>
      </c>
      <c r="G540" s="812" t="s">
        <v>327</v>
      </c>
      <c r="H540" s="837" t="s">
        <v>1452</v>
      </c>
      <c r="I540" s="812" t="s">
        <v>325</v>
      </c>
      <c r="J540" s="800" t="s">
        <v>2331</v>
      </c>
      <c r="K540" s="842">
        <v>10000</v>
      </c>
      <c r="L540" s="842">
        <v>0</v>
      </c>
      <c r="M540" s="842">
        <v>35000</v>
      </c>
      <c r="N540" s="842">
        <v>35000</v>
      </c>
      <c r="O540" s="808">
        <f t="shared" si="33"/>
        <v>3.5</v>
      </c>
      <c r="P540" s="842" t="s">
        <v>66</v>
      </c>
      <c r="Q540" s="842" t="s">
        <v>75</v>
      </c>
      <c r="R540" s="842" t="s">
        <v>75</v>
      </c>
      <c r="S540" s="842" t="s">
        <v>75</v>
      </c>
      <c r="T540" s="842" t="s">
        <v>233</v>
      </c>
      <c r="U540" s="842" t="s">
        <v>75</v>
      </c>
      <c r="V540" s="842" t="s">
        <v>75</v>
      </c>
      <c r="W540" s="842" t="s">
        <v>66</v>
      </c>
      <c r="X540" s="842" t="s">
        <v>66</v>
      </c>
      <c r="Y540" s="842"/>
      <c r="Z540" s="842" t="s">
        <v>75</v>
      </c>
      <c r="AA540" s="842" t="s">
        <v>75</v>
      </c>
      <c r="AB540" s="842" t="s">
        <v>75</v>
      </c>
      <c r="AC540" s="842" t="s">
        <v>75</v>
      </c>
      <c r="AD540" s="842" t="s">
        <v>75</v>
      </c>
      <c r="AE540" s="842" t="s">
        <v>75</v>
      </c>
      <c r="AF540" s="842" t="s">
        <v>75</v>
      </c>
      <c r="AG540" s="842" t="s">
        <v>75</v>
      </c>
      <c r="AH540" s="842" t="s">
        <v>75</v>
      </c>
      <c r="AI540" s="842" t="s">
        <v>75</v>
      </c>
      <c r="AJ540" s="787">
        <f t="shared" si="34"/>
        <v>0</v>
      </c>
      <c r="AK540" s="842">
        <v>3317</v>
      </c>
      <c r="AL540" s="842">
        <v>3317</v>
      </c>
      <c r="AM540" s="842"/>
      <c r="AN540" s="842" t="s">
        <v>75</v>
      </c>
      <c r="AO540" s="842" t="s">
        <v>75</v>
      </c>
      <c r="AP540" s="842" t="s">
        <v>75</v>
      </c>
      <c r="AQ540" s="842" t="s">
        <v>75</v>
      </c>
      <c r="AR540" s="842" t="s">
        <v>75</v>
      </c>
      <c r="AS540" s="842" t="s">
        <v>75</v>
      </c>
      <c r="AT540" s="842" t="s">
        <v>75</v>
      </c>
      <c r="AU540" s="785" t="s">
        <v>328</v>
      </c>
      <c r="AV540" s="785"/>
      <c r="AW540" s="785"/>
      <c r="AX540" s="785"/>
      <c r="AY540" s="785"/>
      <c r="AZ540" s="785"/>
      <c r="BA540" s="785"/>
      <c r="BB540" s="785"/>
      <c r="BC540" s="785"/>
      <c r="BD540" s="785"/>
      <c r="BE540" s="785"/>
      <c r="BF540" s="785"/>
      <c r="BG540" s="785"/>
      <c r="BH540" s="785"/>
      <c r="BI540" s="785"/>
      <c r="BJ540" s="785"/>
      <c r="BK540" s="785"/>
      <c r="BL540" s="785"/>
      <c r="BM540" s="785"/>
    </row>
    <row r="541" spans="1:65" s="853" customFormat="1" ht="12" customHeight="1">
      <c r="A541" s="794">
        <v>539</v>
      </c>
      <c r="B541" s="789" t="s">
        <v>2309</v>
      </c>
      <c r="C541" s="789" t="s">
        <v>1299</v>
      </c>
      <c r="D541" s="840">
        <v>38749</v>
      </c>
      <c r="E541" s="840">
        <v>39295</v>
      </c>
      <c r="F541" s="857">
        <v>2006</v>
      </c>
      <c r="G541" s="789" t="s">
        <v>2014</v>
      </c>
      <c r="H541" s="859" t="s">
        <v>1452</v>
      </c>
      <c r="I541" s="789" t="s">
        <v>2015</v>
      </c>
      <c r="J541" s="800" t="s">
        <v>2331</v>
      </c>
      <c r="K541" s="817">
        <v>20000</v>
      </c>
      <c r="L541" s="817"/>
      <c r="M541" s="817"/>
      <c r="N541" s="817"/>
      <c r="O541" s="808">
        <f t="shared" si="33"/>
        <v>0</v>
      </c>
      <c r="P541" s="817"/>
      <c r="Q541" s="817"/>
      <c r="R541" s="817"/>
      <c r="S541" s="817"/>
      <c r="T541" s="817" t="s">
        <v>714</v>
      </c>
      <c r="U541" s="817">
        <v>120</v>
      </c>
      <c r="V541" s="817"/>
      <c r="W541" s="817"/>
      <c r="X541" s="817"/>
      <c r="Y541" s="817"/>
      <c r="Z541" s="817"/>
      <c r="AA541" s="817"/>
      <c r="AB541" s="817"/>
      <c r="AC541" s="817"/>
      <c r="AD541" s="817"/>
      <c r="AE541" s="817">
        <v>1000</v>
      </c>
      <c r="AF541" s="817"/>
      <c r="AG541" s="817"/>
      <c r="AH541" s="817"/>
      <c r="AI541" s="817"/>
      <c r="AJ541" s="787">
        <f t="shared" si="34"/>
        <v>0</v>
      </c>
      <c r="AK541" s="817"/>
      <c r="AL541" s="817"/>
      <c r="AM541" s="817"/>
      <c r="AN541" s="817"/>
      <c r="AO541" s="817"/>
      <c r="AP541" s="817"/>
      <c r="AQ541" s="817"/>
      <c r="AR541" s="817"/>
      <c r="AS541" s="817"/>
      <c r="AT541" s="817"/>
      <c r="AU541" s="356" t="s">
        <v>2016</v>
      </c>
      <c r="AV541" s="857"/>
      <c r="AW541" s="857"/>
      <c r="AX541" s="857"/>
      <c r="AY541" s="857"/>
      <c r="AZ541" s="857"/>
      <c r="BA541" s="857"/>
      <c r="BB541" s="857"/>
      <c r="BC541" s="857"/>
      <c r="BD541" s="857"/>
      <c r="BE541" s="857"/>
      <c r="BF541" s="857"/>
      <c r="BG541" s="857"/>
      <c r="BH541" s="857"/>
      <c r="BI541" s="857"/>
      <c r="BJ541" s="857"/>
      <c r="BK541" s="857"/>
      <c r="BL541" s="857"/>
      <c r="BM541" s="857"/>
    </row>
    <row r="542" spans="1:65" s="853" customFormat="1" ht="14.25" customHeight="1">
      <c r="A542" s="794">
        <v>540</v>
      </c>
      <c r="B542" s="789" t="s">
        <v>2310</v>
      </c>
      <c r="C542" s="854" t="s">
        <v>1299</v>
      </c>
      <c r="D542" s="860">
        <v>39052</v>
      </c>
      <c r="E542" s="860">
        <v>39295</v>
      </c>
      <c r="F542" s="857">
        <v>2006</v>
      </c>
      <c r="G542" s="859" t="s">
        <v>1362</v>
      </c>
      <c r="H542" s="859" t="s">
        <v>1451</v>
      </c>
      <c r="I542" s="854" t="s">
        <v>2017</v>
      </c>
      <c r="J542" s="800" t="s">
        <v>2331</v>
      </c>
      <c r="K542" s="856">
        <v>15000</v>
      </c>
      <c r="L542" s="856">
        <v>169209</v>
      </c>
      <c r="M542" s="856">
        <v>165746</v>
      </c>
      <c r="N542" s="856">
        <v>165746</v>
      </c>
      <c r="O542" s="808">
        <f t="shared" si="33"/>
        <v>11.049733333333334</v>
      </c>
      <c r="P542" s="856">
        <v>98</v>
      </c>
      <c r="Q542" s="856"/>
      <c r="R542" s="856"/>
      <c r="S542" s="856"/>
      <c r="T542" s="855" t="s">
        <v>233</v>
      </c>
      <c r="U542" s="855"/>
      <c r="V542" s="855"/>
      <c r="W542" s="856">
        <v>47992</v>
      </c>
      <c r="X542" s="856">
        <v>25576</v>
      </c>
      <c r="Y542" s="856"/>
      <c r="Z542" s="856"/>
      <c r="AA542" s="856">
        <v>5224</v>
      </c>
      <c r="AB542" s="856">
        <v>141</v>
      </c>
      <c r="AC542" s="856"/>
      <c r="AD542" s="856"/>
      <c r="AE542" s="856"/>
      <c r="AF542" s="856"/>
      <c r="AG542" s="856">
        <v>68</v>
      </c>
      <c r="AH542" s="856"/>
      <c r="AI542" s="856"/>
      <c r="AJ542" s="787">
        <f t="shared" si="34"/>
        <v>5224</v>
      </c>
      <c r="AK542" s="856">
        <v>14731</v>
      </c>
      <c r="AL542" s="856">
        <v>15785</v>
      </c>
      <c r="AM542" s="855"/>
      <c r="AN542" s="855"/>
      <c r="AO542" s="855"/>
      <c r="AP542" s="855"/>
      <c r="AQ542" s="855"/>
      <c r="AR542" s="855"/>
      <c r="AS542" s="855"/>
      <c r="AT542" s="855"/>
      <c r="AU542" s="406" t="s">
        <v>2018</v>
      </c>
      <c r="AV542" s="854"/>
      <c r="AW542" s="854"/>
      <c r="AX542" s="854"/>
      <c r="AY542" s="854"/>
      <c r="AZ542" s="854"/>
      <c r="BA542" s="854"/>
      <c r="BB542" s="854"/>
      <c r="BC542" s="854"/>
      <c r="BD542" s="854"/>
      <c r="BE542" s="854"/>
      <c r="BF542" s="854"/>
      <c r="BG542" s="854"/>
      <c r="BH542" s="854"/>
      <c r="BI542" s="854"/>
      <c r="BJ542" s="854"/>
      <c r="BK542" s="854"/>
      <c r="BL542" s="854"/>
      <c r="BM542" s="854"/>
    </row>
    <row r="543" spans="1:65" s="853" customFormat="1" ht="15" customHeight="1">
      <c r="A543" s="794">
        <v>541</v>
      </c>
      <c r="B543" s="836" t="s">
        <v>1</v>
      </c>
      <c r="C543" s="836" t="s">
        <v>1299</v>
      </c>
      <c r="D543" s="840">
        <v>38869</v>
      </c>
      <c r="E543" s="840">
        <v>39142</v>
      </c>
      <c r="F543" s="857">
        <v>2006</v>
      </c>
      <c r="G543" s="836" t="s">
        <v>5</v>
      </c>
      <c r="H543" s="837" t="s">
        <v>1451</v>
      </c>
      <c r="I543" s="836" t="s">
        <v>1999</v>
      </c>
      <c r="J543" s="800" t="s">
        <v>2331</v>
      </c>
      <c r="K543" s="817">
        <v>150000</v>
      </c>
      <c r="L543" s="817">
        <v>0</v>
      </c>
      <c r="M543" s="817">
        <v>90000</v>
      </c>
      <c r="N543" s="817">
        <v>90000</v>
      </c>
      <c r="O543" s="808">
        <f t="shared" si="33"/>
        <v>0.6</v>
      </c>
      <c r="P543" s="817">
        <v>0</v>
      </c>
      <c r="Q543" s="817" t="s">
        <v>339</v>
      </c>
      <c r="R543" s="838" t="s">
        <v>206</v>
      </c>
      <c r="S543" s="817" t="s">
        <v>339</v>
      </c>
      <c r="T543" s="817" t="s">
        <v>849</v>
      </c>
      <c r="U543" s="817" t="s">
        <v>75</v>
      </c>
      <c r="V543" s="877" t="s">
        <v>75</v>
      </c>
      <c r="W543" s="817"/>
      <c r="X543" s="817">
        <v>1709</v>
      </c>
      <c r="Y543" s="817"/>
      <c r="Z543" s="817" t="s">
        <v>75</v>
      </c>
      <c r="AA543" s="817" t="s">
        <v>75</v>
      </c>
      <c r="AB543" s="817">
        <v>330</v>
      </c>
      <c r="AC543" s="817" t="s">
        <v>2</v>
      </c>
      <c r="AD543" s="817" t="s">
        <v>75</v>
      </c>
      <c r="AE543" s="817">
        <v>1600</v>
      </c>
      <c r="AF543" s="817" t="s">
        <v>75</v>
      </c>
      <c r="AG543" s="817" t="s">
        <v>75</v>
      </c>
      <c r="AH543" s="817" t="s">
        <v>75</v>
      </c>
      <c r="AI543" s="817" t="s">
        <v>75</v>
      </c>
      <c r="AJ543" s="787">
        <f t="shared" si="34"/>
        <v>0</v>
      </c>
      <c r="AK543" s="817" t="s">
        <v>75</v>
      </c>
      <c r="AL543" s="817" t="s">
        <v>75</v>
      </c>
      <c r="AM543" s="817"/>
      <c r="AN543" s="817" t="s">
        <v>75</v>
      </c>
      <c r="AO543" s="817" t="s">
        <v>75</v>
      </c>
      <c r="AP543" s="817" t="s">
        <v>75</v>
      </c>
      <c r="AQ543" s="817" t="s">
        <v>75</v>
      </c>
      <c r="AR543" s="817" t="s">
        <v>75</v>
      </c>
      <c r="AS543" s="817" t="s">
        <v>75</v>
      </c>
      <c r="AT543" s="817" t="s">
        <v>75</v>
      </c>
      <c r="AU543" s="359" t="s">
        <v>757</v>
      </c>
      <c r="AV543" s="845"/>
      <c r="AW543" s="845"/>
      <c r="AX543" s="845"/>
      <c r="AY543" s="845"/>
      <c r="AZ543" s="845"/>
      <c r="BA543" s="845"/>
      <c r="BB543" s="845"/>
      <c r="BC543" s="845"/>
      <c r="BD543" s="845"/>
      <c r="BE543" s="845"/>
      <c r="BF543" s="845"/>
      <c r="BG543" s="845"/>
      <c r="BH543" s="845"/>
      <c r="BI543" s="845"/>
      <c r="BJ543" s="845"/>
      <c r="BK543" s="845"/>
      <c r="BL543" s="845"/>
      <c r="BM543" s="845"/>
    </row>
    <row r="544" spans="1:65" s="853" customFormat="1" ht="15" customHeight="1">
      <c r="A544" s="794">
        <v>542</v>
      </c>
      <c r="B544" s="870" t="s">
        <v>208</v>
      </c>
      <c r="C544" s="796" t="s">
        <v>1299</v>
      </c>
      <c r="D544" s="799">
        <v>38899</v>
      </c>
      <c r="E544" s="799">
        <v>38899</v>
      </c>
      <c r="F544" s="857">
        <v>2006</v>
      </c>
      <c r="G544" s="870" t="s">
        <v>168</v>
      </c>
      <c r="H544" s="837" t="s">
        <v>1449</v>
      </c>
      <c r="I544" s="812" t="s">
        <v>324</v>
      </c>
      <c r="J544" s="800" t="s">
        <v>2331</v>
      </c>
      <c r="K544" s="842" t="s">
        <v>134</v>
      </c>
      <c r="L544" s="842">
        <v>0</v>
      </c>
      <c r="M544" s="843">
        <v>13426</v>
      </c>
      <c r="N544" s="843">
        <v>13426</v>
      </c>
      <c r="O544" s="808"/>
      <c r="P544" s="843" t="s">
        <v>66</v>
      </c>
      <c r="Q544" s="843" t="s">
        <v>267</v>
      </c>
      <c r="R544" s="869" t="s">
        <v>206</v>
      </c>
      <c r="S544" s="843" t="s">
        <v>267</v>
      </c>
      <c r="T544" s="843" t="s">
        <v>134</v>
      </c>
      <c r="U544" s="843">
        <v>85</v>
      </c>
      <c r="V544" s="843" t="s">
        <v>134</v>
      </c>
      <c r="W544" s="842" t="s">
        <v>66</v>
      </c>
      <c r="X544" s="843" t="s">
        <v>66</v>
      </c>
      <c r="Y544" s="842"/>
      <c r="Z544" s="843" t="s">
        <v>75</v>
      </c>
      <c r="AA544" s="843" t="s">
        <v>134</v>
      </c>
      <c r="AB544" s="843">
        <v>85</v>
      </c>
      <c r="AC544" s="843" t="s">
        <v>75</v>
      </c>
      <c r="AD544" s="843" t="s">
        <v>75</v>
      </c>
      <c r="AE544" s="843" t="s">
        <v>75</v>
      </c>
      <c r="AF544" s="843" t="s">
        <v>75</v>
      </c>
      <c r="AG544" s="843" t="s">
        <v>75</v>
      </c>
      <c r="AH544" s="842" t="s">
        <v>267</v>
      </c>
      <c r="AI544" s="843" t="s">
        <v>75</v>
      </c>
      <c r="AJ544" s="787">
        <f t="shared" si="34"/>
        <v>0</v>
      </c>
      <c r="AK544" s="842">
        <v>0</v>
      </c>
      <c r="AL544" s="843">
        <v>287</v>
      </c>
      <c r="AM544" s="843"/>
      <c r="AN544" s="843" t="s">
        <v>75</v>
      </c>
      <c r="AO544" s="843" t="s">
        <v>75</v>
      </c>
      <c r="AP544" s="843" t="s">
        <v>75</v>
      </c>
      <c r="AQ544" s="843" t="s">
        <v>75</v>
      </c>
      <c r="AR544" s="843" t="s">
        <v>75</v>
      </c>
      <c r="AS544" s="843" t="s">
        <v>75</v>
      </c>
      <c r="AT544" s="843" t="s">
        <v>75</v>
      </c>
      <c r="AU544" s="403" t="s">
        <v>323</v>
      </c>
      <c r="AV544" s="796"/>
      <c r="AW544" s="796"/>
      <c r="AX544" s="796"/>
      <c r="AY544" s="796"/>
      <c r="AZ544" s="796"/>
      <c r="BA544" s="796"/>
      <c r="BB544" s="796"/>
      <c r="BC544" s="796"/>
      <c r="BD544" s="796"/>
      <c r="BE544" s="796"/>
      <c r="BF544" s="796"/>
      <c r="BG544" s="796"/>
      <c r="BH544" s="796"/>
      <c r="BI544" s="796"/>
      <c r="BJ544" s="796"/>
      <c r="BK544" s="796"/>
      <c r="BL544" s="796"/>
      <c r="BM544" s="785"/>
    </row>
    <row r="545" spans="1:218" s="853" customFormat="1" ht="15" customHeight="1">
      <c r="A545" s="794">
        <v>543</v>
      </c>
      <c r="B545" s="859" t="s">
        <v>1295</v>
      </c>
      <c r="C545" s="854" t="s">
        <v>1286</v>
      </c>
      <c r="D545" s="860">
        <v>38718</v>
      </c>
      <c r="E545" s="860">
        <v>39173</v>
      </c>
      <c r="F545" s="857">
        <v>2006</v>
      </c>
      <c r="G545" s="859" t="s">
        <v>5</v>
      </c>
      <c r="H545" s="800" t="s">
        <v>1451</v>
      </c>
      <c r="I545" s="854" t="s">
        <v>2026</v>
      </c>
      <c r="J545" s="800" t="s">
        <v>2331</v>
      </c>
      <c r="K545" s="856">
        <v>62416</v>
      </c>
      <c r="L545" s="856">
        <v>130000</v>
      </c>
      <c r="M545" s="856">
        <v>130000</v>
      </c>
      <c r="N545" s="856">
        <v>130000</v>
      </c>
      <c r="O545" s="808">
        <f t="shared" ref="O545:O579" si="35">N545/K545</f>
        <v>2.0827992822353241</v>
      </c>
      <c r="P545" s="856">
        <v>100</v>
      </c>
      <c r="Q545" s="856"/>
      <c r="R545" s="856"/>
      <c r="S545" s="856"/>
      <c r="T545" s="855"/>
      <c r="U545" s="855"/>
      <c r="V545" s="855"/>
      <c r="W545" s="856"/>
      <c r="X545" s="856"/>
      <c r="Y545" s="856"/>
      <c r="Z545" s="856"/>
      <c r="AA545" s="856"/>
      <c r="AB545" s="856"/>
      <c r="AC545" s="856"/>
      <c r="AD545" s="856"/>
      <c r="AE545" s="856"/>
      <c r="AF545" s="856"/>
      <c r="AG545" s="856"/>
      <c r="AH545" s="856"/>
      <c r="AI545" s="856"/>
      <c r="AJ545" s="787">
        <f t="shared" si="34"/>
        <v>0</v>
      </c>
      <c r="AK545" s="856"/>
      <c r="AL545" s="856"/>
      <c r="AM545" s="855"/>
      <c r="AN545" s="855"/>
      <c r="AO545" s="855"/>
      <c r="AP545" s="855"/>
      <c r="AQ545" s="855"/>
      <c r="AR545" s="855"/>
      <c r="AS545" s="855"/>
      <c r="AT545" s="855"/>
      <c r="AU545" s="406" t="s">
        <v>2027</v>
      </c>
      <c r="AV545" s="854"/>
      <c r="AW545" s="854"/>
      <c r="AX545" s="854"/>
      <c r="AY545" s="854"/>
      <c r="AZ545" s="854"/>
      <c r="BA545" s="854"/>
      <c r="BB545" s="854"/>
      <c r="BC545" s="854"/>
      <c r="BD545" s="854"/>
      <c r="BE545" s="854"/>
      <c r="BF545" s="854"/>
      <c r="BG545" s="854"/>
      <c r="BH545" s="854"/>
      <c r="BI545" s="854"/>
      <c r="BJ545" s="854"/>
      <c r="BK545" s="854"/>
      <c r="BL545" s="854"/>
      <c r="BM545" s="854"/>
    </row>
    <row r="546" spans="1:218" s="853" customFormat="1" ht="15.75" customHeight="1">
      <c r="A546" s="794">
        <v>544</v>
      </c>
      <c r="B546" s="804" t="s">
        <v>121</v>
      </c>
      <c r="C546" s="802" t="s">
        <v>1261</v>
      </c>
      <c r="D546" s="805">
        <v>38930</v>
      </c>
      <c r="E546" s="805">
        <v>39264</v>
      </c>
      <c r="F546" s="857">
        <v>2006</v>
      </c>
      <c r="G546" s="804" t="s">
        <v>122</v>
      </c>
      <c r="H546" s="837" t="s">
        <v>1451</v>
      </c>
      <c r="I546" s="836" t="s">
        <v>131</v>
      </c>
      <c r="J546" s="812" t="s">
        <v>2438</v>
      </c>
      <c r="K546" s="817">
        <v>240000</v>
      </c>
      <c r="L546" s="839">
        <v>5950200</v>
      </c>
      <c r="M546" s="839">
        <v>1345065</v>
      </c>
      <c r="N546" s="817">
        <v>1345065</v>
      </c>
      <c r="O546" s="808">
        <f t="shared" si="35"/>
        <v>5.6044375000000004</v>
      </c>
      <c r="P546" s="839">
        <v>26</v>
      </c>
      <c r="Q546" s="839">
        <v>34560</v>
      </c>
      <c r="R546" s="839"/>
      <c r="S546" s="817">
        <v>34560</v>
      </c>
      <c r="T546" s="817" t="s">
        <v>233</v>
      </c>
      <c r="U546" s="839"/>
      <c r="V546" s="817"/>
      <c r="W546" s="817" t="s">
        <v>66</v>
      </c>
      <c r="X546" s="817" t="s">
        <v>66</v>
      </c>
      <c r="Y546" s="808"/>
      <c r="Z546" s="817" t="s">
        <v>2</v>
      </c>
      <c r="AA546" s="817"/>
      <c r="AB546" s="839"/>
      <c r="AC546" s="817"/>
      <c r="AD546" s="817"/>
      <c r="AE546" s="839"/>
      <c r="AF546" s="839" t="s">
        <v>75</v>
      </c>
      <c r="AG546" s="839" t="s">
        <v>75</v>
      </c>
      <c r="AH546" s="817"/>
      <c r="AI546" s="839"/>
      <c r="AJ546" s="787">
        <f t="shared" si="34"/>
        <v>0</v>
      </c>
      <c r="AK546" s="817" t="s">
        <v>66</v>
      </c>
      <c r="AL546" s="817" t="s">
        <v>66</v>
      </c>
      <c r="AM546" s="839"/>
      <c r="AN546" s="839" t="s">
        <v>75</v>
      </c>
      <c r="AO546" s="839" t="s">
        <v>75</v>
      </c>
      <c r="AP546" s="839" t="s">
        <v>75</v>
      </c>
      <c r="AQ546" s="839" t="s">
        <v>75</v>
      </c>
      <c r="AR546" s="839" t="s">
        <v>75</v>
      </c>
      <c r="AS546" s="817" t="s">
        <v>75</v>
      </c>
      <c r="AT546" s="817" t="s">
        <v>75</v>
      </c>
      <c r="AU546" s="404" t="s">
        <v>123</v>
      </c>
      <c r="AV546" s="802"/>
      <c r="AW546" s="802"/>
      <c r="AX546" s="802"/>
      <c r="AY546" s="802"/>
      <c r="AZ546" s="802"/>
      <c r="BA546" s="802"/>
      <c r="BB546" s="802"/>
      <c r="BC546" s="802"/>
      <c r="BD546" s="802"/>
      <c r="BE546" s="802"/>
      <c r="BF546" s="802"/>
      <c r="BG546" s="802"/>
      <c r="BH546" s="802"/>
      <c r="BI546" s="802"/>
      <c r="BJ546" s="802"/>
      <c r="BK546" s="802"/>
      <c r="BL546" s="802"/>
      <c r="BM546" s="789"/>
    </row>
    <row r="547" spans="1:218" s="876" customFormat="1" ht="15" customHeight="1">
      <c r="A547" s="794">
        <v>545</v>
      </c>
      <c r="B547" s="859" t="s">
        <v>992</v>
      </c>
      <c r="C547" s="854" t="s">
        <v>1286</v>
      </c>
      <c r="D547" s="860">
        <v>38718</v>
      </c>
      <c r="E547" s="860">
        <v>39387</v>
      </c>
      <c r="F547" s="857">
        <v>2006</v>
      </c>
      <c r="G547" s="859" t="s">
        <v>5</v>
      </c>
      <c r="H547" s="800" t="s">
        <v>1451</v>
      </c>
      <c r="I547" s="854" t="s">
        <v>2028</v>
      </c>
      <c r="J547" s="800" t="s">
        <v>2331</v>
      </c>
      <c r="K547" s="856">
        <v>5810</v>
      </c>
      <c r="L547" s="856">
        <v>160000</v>
      </c>
      <c r="M547" s="856">
        <v>160000</v>
      </c>
      <c r="N547" s="856">
        <v>160000</v>
      </c>
      <c r="O547" s="808">
        <f t="shared" si="35"/>
        <v>27.538726333907057</v>
      </c>
      <c r="P547" s="856">
        <v>100</v>
      </c>
      <c r="Q547" s="856"/>
      <c r="R547" s="856"/>
      <c r="S547" s="856"/>
      <c r="T547" s="855" t="s">
        <v>233</v>
      </c>
      <c r="U547" s="855"/>
      <c r="V547" s="855"/>
      <c r="W547" s="856"/>
      <c r="X547" s="856"/>
      <c r="Y547" s="856"/>
      <c r="Z547" s="856"/>
      <c r="AA547" s="856"/>
      <c r="AB547" s="856"/>
      <c r="AC547" s="856"/>
      <c r="AD547" s="856"/>
      <c r="AE547" s="856"/>
      <c r="AF547" s="856"/>
      <c r="AG547" s="856"/>
      <c r="AH547" s="856"/>
      <c r="AI547" s="856"/>
      <c r="AJ547" s="787">
        <f t="shared" si="34"/>
        <v>0</v>
      </c>
      <c r="AK547" s="856"/>
      <c r="AL547" s="856"/>
      <c r="AM547" s="855"/>
      <c r="AN547" s="855"/>
      <c r="AO547" s="855"/>
      <c r="AP547" s="855"/>
      <c r="AQ547" s="855"/>
      <c r="AR547" s="855"/>
      <c r="AS547" s="855"/>
      <c r="AT547" s="855"/>
      <c r="AU547" s="406" t="s">
        <v>2029</v>
      </c>
      <c r="AV547" s="854"/>
      <c r="AW547" s="854"/>
      <c r="AX547" s="854"/>
      <c r="AY547" s="854"/>
      <c r="AZ547" s="854"/>
      <c r="BA547" s="854"/>
      <c r="BB547" s="854"/>
      <c r="BC547" s="854"/>
      <c r="BD547" s="854"/>
      <c r="BE547" s="854"/>
      <c r="BF547" s="854"/>
      <c r="BG547" s="854"/>
      <c r="BH547" s="854"/>
      <c r="BI547" s="854"/>
      <c r="BJ547" s="854"/>
      <c r="BK547" s="854"/>
      <c r="BL547" s="854"/>
      <c r="BM547" s="854"/>
      <c r="BN547" s="853"/>
      <c r="BO547" s="853"/>
      <c r="BP547" s="853"/>
      <c r="BQ547" s="853"/>
      <c r="BR547" s="853"/>
      <c r="BS547" s="853"/>
      <c r="BT547" s="853"/>
      <c r="BU547" s="853"/>
      <c r="BV547" s="853"/>
      <c r="BW547" s="853"/>
      <c r="BX547" s="853"/>
      <c r="BY547" s="853"/>
      <c r="BZ547" s="853"/>
      <c r="CA547" s="853"/>
      <c r="CB547" s="853"/>
      <c r="CC547" s="853"/>
      <c r="CD547" s="853"/>
      <c r="CE547" s="853"/>
      <c r="CF547" s="853"/>
      <c r="CG547" s="853"/>
      <c r="CH547" s="853"/>
      <c r="CI547" s="853"/>
      <c r="CJ547" s="853"/>
      <c r="CK547" s="853"/>
      <c r="CL547" s="853"/>
      <c r="CM547" s="853"/>
      <c r="CN547" s="853"/>
      <c r="CO547" s="853"/>
      <c r="CP547" s="853"/>
      <c r="CQ547" s="853"/>
      <c r="CR547" s="853"/>
      <c r="CS547" s="853"/>
      <c r="CT547" s="853"/>
      <c r="CU547" s="853"/>
      <c r="CV547" s="853"/>
      <c r="CW547" s="853"/>
      <c r="CX547" s="853"/>
      <c r="CY547" s="853"/>
      <c r="CZ547" s="853"/>
      <c r="DA547" s="853"/>
      <c r="DB547" s="853"/>
      <c r="DC547" s="853"/>
      <c r="DD547" s="853"/>
      <c r="DE547" s="853"/>
      <c r="DF547" s="853"/>
      <c r="DG547" s="853"/>
      <c r="DH547" s="853"/>
      <c r="DI547" s="853"/>
      <c r="DJ547" s="853"/>
      <c r="DK547" s="853"/>
      <c r="DL547" s="853"/>
      <c r="DM547" s="853"/>
      <c r="DN547" s="853"/>
      <c r="DO547" s="853"/>
      <c r="DP547" s="853"/>
      <c r="DQ547" s="853"/>
      <c r="DR547" s="853"/>
      <c r="DS547" s="853"/>
      <c r="DT547" s="853"/>
      <c r="DU547" s="853"/>
      <c r="DV547" s="853"/>
      <c r="DW547" s="853"/>
      <c r="DX547" s="853"/>
      <c r="DY547" s="853"/>
      <c r="DZ547" s="853"/>
      <c r="EA547" s="853"/>
      <c r="EB547" s="853"/>
      <c r="EC547" s="853"/>
      <c r="ED547" s="853"/>
      <c r="EE547" s="853"/>
      <c r="EF547" s="853"/>
      <c r="EG547" s="853"/>
      <c r="EH547" s="853"/>
      <c r="EI547" s="853"/>
      <c r="EJ547" s="853"/>
      <c r="EK547" s="853"/>
      <c r="EL547" s="853"/>
      <c r="EM547" s="853"/>
      <c r="EN547" s="853"/>
      <c r="EO547" s="853"/>
      <c r="EP547" s="853"/>
      <c r="EQ547" s="853"/>
      <c r="ER547" s="853"/>
      <c r="ES547" s="853"/>
      <c r="ET547" s="853"/>
      <c r="EU547" s="853"/>
      <c r="EV547" s="853"/>
      <c r="EW547" s="853"/>
      <c r="EX547" s="853"/>
      <c r="EY547" s="853"/>
      <c r="EZ547" s="853"/>
      <c r="FA547" s="853"/>
      <c r="FB547" s="853"/>
      <c r="FC547" s="853"/>
      <c r="FD547" s="853"/>
      <c r="FE547" s="853"/>
      <c r="FF547" s="853"/>
      <c r="FG547" s="853"/>
      <c r="FH547" s="853"/>
      <c r="FI547" s="853"/>
      <c r="FJ547" s="853"/>
      <c r="FK547" s="853"/>
      <c r="FL547" s="853"/>
      <c r="FM547" s="853"/>
      <c r="FN547" s="853"/>
      <c r="FO547" s="853"/>
      <c r="FP547" s="853"/>
      <c r="FQ547" s="853"/>
      <c r="FR547" s="853"/>
      <c r="FS547" s="853"/>
      <c r="FT547" s="853"/>
      <c r="FU547" s="853"/>
      <c r="FV547" s="853"/>
      <c r="FW547" s="853"/>
      <c r="FX547" s="853"/>
      <c r="FY547" s="853"/>
      <c r="FZ547" s="853"/>
      <c r="GA547" s="853"/>
      <c r="GB547" s="853"/>
      <c r="GC547" s="853"/>
      <c r="GD547" s="853"/>
      <c r="GE547" s="853"/>
      <c r="GF547" s="853"/>
      <c r="GG547" s="853"/>
      <c r="GH547" s="853"/>
      <c r="GI547" s="853"/>
      <c r="GJ547" s="853"/>
      <c r="GK547" s="853"/>
      <c r="GL547" s="853"/>
      <c r="GM547" s="853"/>
      <c r="GN547" s="853"/>
      <c r="GO547" s="853"/>
      <c r="GP547" s="853"/>
      <c r="GQ547" s="853"/>
      <c r="GR547" s="853"/>
      <c r="GS547" s="853"/>
      <c r="GT547" s="853"/>
      <c r="GU547" s="853"/>
      <c r="GV547" s="853"/>
      <c r="GW547" s="853"/>
      <c r="GX547" s="853"/>
      <c r="GY547" s="853"/>
      <c r="GZ547" s="853"/>
      <c r="HA547" s="853"/>
      <c r="HB547" s="853"/>
      <c r="HC547" s="853"/>
      <c r="HD547" s="853"/>
      <c r="HE547" s="853"/>
      <c r="HF547" s="853"/>
      <c r="HG547" s="853"/>
      <c r="HH547" s="853"/>
      <c r="HI547" s="853"/>
      <c r="HJ547" s="853"/>
    </row>
    <row r="548" spans="1:218" s="853" customFormat="1" ht="18" customHeight="1">
      <c r="A548" s="794">
        <v>546</v>
      </c>
      <c r="B548" s="785" t="s">
        <v>493</v>
      </c>
      <c r="C548" s="804" t="s">
        <v>1299</v>
      </c>
      <c r="D548" s="805">
        <v>38961</v>
      </c>
      <c r="E548" s="805">
        <v>39022</v>
      </c>
      <c r="F548" s="857">
        <v>2006</v>
      </c>
      <c r="G548" s="804" t="s">
        <v>194</v>
      </c>
      <c r="H548" s="837" t="s">
        <v>1461</v>
      </c>
      <c r="I548" s="836" t="s">
        <v>193</v>
      </c>
      <c r="J548" s="800" t="s">
        <v>2331</v>
      </c>
      <c r="K548" s="817">
        <v>150000</v>
      </c>
      <c r="L548" s="839">
        <v>120000</v>
      </c>
      <c r="M548" s="839">
        <v>119016</v>
      </c>
      <c r="N548" s="817">
        <v>119016</v>
      </c>
      <c r="O548" s="808">
        <f t="shared" si="35"/>
        <v>0.79344000000000003</v>
      </c>
      <c r="P548" s="817">
        <v>99.18</v>
      </c>
      <c r="Q548" s="839" t="s">
        <v>134</v>
      </c>
      <c r="R548" s="852" t="s">
        <v>134</v>
      </c>
      <c r="S548" s="817" t="s">
        <v>134</v>
      </c>
      <c r="T548" s="817" t="s">
        <v>233</v>
      </c>
      <c r="U548" s="839"/>
      <c r="V548" s="817" t="s">
        <v>2</v>
      </c>
      <c r="W548" s="817" t="s">
        <v>66</v>
      </c>
      <c r="X548" s="817" t="s">
        <v>66</v>
      </c>
      <c r="Y548" s="817"/>
      <c r="Z548" s="817"/>
      <c r="AA548" s="817"/>
      <c r="AB548" s="839">
        <v>160</v>
      </c>
      <c r="AC548" s="817"/>
      <c r="AD548" s="817"/>
      <c r="AE548" s="839"/>
      <c r="AF548" s="839" t="s">
        <v>75</v>
      </c>
      <c r="AG548" s="839" t="s">
        <v>75</v>
      </c>
      <c r="AH548" s="817">
        <v>7786</v>
      </c>
      <c r="AI548" s="839"/>
      <c r="AJ548" s="787">
        <f t="shared" si="34"/>
        <v>7786</v>
      </c>
      <c r="AK548" s="817">
        <v>53520</v>
      </c>
      <c r="AL548" s="817">
        <v>4800</v>
      </c>
      <c r="AM548" s="839"/>
      <c r="AN548" s="817" t="s">
        <v>75</v>
      </c>
      <c r="AO548" s="817" t="s">
        <v>75</v>
      </c>
      <c r="AP548" s="817" t="s">
        <v>75</v>
      </c>
      <c r="AQ548" s="817" t="s">
        <v>75</v>
      </c>
      <c r="AR548" s="817" t="s">
        <v>75</v>
      </c>
      <c r="AS548" s="817" t="s">
        <v>75</v>
      </c>
      <c r="AT548" s="817" t="s">
        <v>75</v>
      </c>
      <c r="AU548" s="964" t="s">
        <v>199</v>
      </c>
      <c r="AV548" s="802"/>
      <c r="AW548" s="802"/>
      <c r="AX548" s="802"/>
      <c r="AY548" s="802"/>
      <c r="AZ548" s="802"/>
      <c r="BA548" s="802"/>
      <c r="BB548" s="802"/>
      <c r="BC548" s="802"/>
      <c r="BD548" s="802"/>
      <c r="BE548" s="802"/>
      <c r="BF548" s="802"/>
      <c r="BG548" s="802"/>
      <c r="BH548" s="802"/>
      <c r="BI548" s="802"/>
      <c r="BJ548" s="802"/>
      <c r="BK548" s="802"/>
      <c r="BL548" s="802"/>
      <c r="BM548" s="789"/>
    </row>
    <row r="549" spans="1:218" s="853" customFormat="1" ht="16.5" customHeight="1">
      <c r="A549" s="794">
        <v>547</v>
      </c>
      <c r="B549" s="804" t="s">
        <v>270</v>
      </c>
      <c r="C549" s="804" t="s">
        <v>1299</v>
      </c>
      <c r="D549" s="805">
        <v>38777</v>
      </c>
      <c r="E549" s="840">
        <v>38838</v>
      </c>
      <c r="F549" s="857">
        <v>2006</v>
      </c>
      <c r="G549" s="804" t="s">
        <v>310</v>
      </c>
      <c r="H549" s="837" t="s">
        <v>1449</v>
      </c>
      <c r="I549" s="836" t="s">
        <v>311</v>
      </c>
      <c r="J549" s="800" t="s">
        <v>2331</v>
      </c>
      <c r="K549" s="817">
        <v>948</v>
      </c>
      <c r="L549" s="839">
        <v>49000</v>
      </c>
      <c r="M549" s="839">
        <v>48991</v>
      </c>
      <c r="N549" s="839">
        <v>48991</v>
      </c>
      <c r="O549" s="808">
        <f t="shared" si="35"/>
        <v>51.678270042194093</v>
      </c>
      <c r="P549" s="817">
        <v>100</v>
      </c>
      <c r="Q549" s="817">
        <v>24500</v>
      </c>
      <c r="R549" s="838" t="s">
        <v>134</v>
      </c>
      <c r="S549" s="817">
        <v>24500</v>
      </c>
      <c r="T549" s="817" t="s">
        <v>233</v>
      </c>
      <c r="U549" s="839">
        <v>300</v>
      </c>
      <c r="V549" s="817" t="s">
        <v>134</v>
      </c>
      <c r="W549" s="817">
        <v>22376</v>
      </c>
      <c r="X549" s="817">
        <v>21395</v>
      </c>
      <c r="Y549" s="808">
        <f>X549/S549</f>
        <v>0.87326530612244901</v>
      </c>
      <c r="Z549" s="817" t="s">
        <v>75</v>
      </c>
      <c r="AA549" s="817"/>
      <c r="AB549" s="817">
        <v>300</v>
      </c>
      <c r="AC549" s="817" t="s">
        <v>75</v>
      </c>
      <c r="AD549" s="817" t="s">
        <v>75</v>
      </c>
      <c r="AE549" s="817" t="s">
        <v>75</v>
      </c>
      <c r="AF549" s="817" t="s">
        <v>75</v>
      </c>
      <c r="AG549" s="817" t="s">
        <v>75</v>
      </c>
      <c r="AH549" s="817" t="s">
        <v>134</v>
      </c>
      <c r="AI549" s="817" t="s">
        <v>75</v>
      </c>
      <c r="AJ549" s="787">
        <f t="shared" si="34"/>
        <v>0</v>
      </c>
      <c r="AK549" s="817" t="s">
        <v>66</v>
      </c>
      <c r="AL549" s="817" t="s">
        <v>66</v>
      </c>
      <c r="AM549" s="839"/>
      <c r="AN549" s="817" t="s">
        <v>75</v>
      </c>
      <c r="AO549" s="817" t="s">
        <v>75</v>
      </c>
      <c r="AP549" s="817" t="s">
        <v>75</v>
      </c>
      <c r="AQ549" s="817" t="s">
        <v>75</v>
      </c>
      <c r="AR549" s="817" t="s">
        <v>75</v>
      </c>
      <c r="AS549" s="817" t="s">
        <v>75</v>
      </c>
      <c r="AT549" s="817" t="s">
        <v>75</v>
      </c>
      <c r="AU549" s="404" t="s">
        <v>312</v>
      </c>
      <c r="AV549" s="802"/>
      <c r="AW549" s="802"/>
      <c r="AX549" s="802"/>
      <c r="AY549" s="802"/>
      <c r="AZ549" s="802"/>
      <c r="BA549" s="802"/>
      <c r="BB549" s="802"/>
      <c r="BC549" s="802"/>
      <c r="BD549" s="802"/>
      <c r="BE549" s="802"/>
      <c r="BF549" s="802"/>
      <c r="BG549" s="802"/>
      <c r="BH549" s="802"/>
      <c r="BI549" s="802"/>
      <c r="BJ549" s="802"/>
      <c r="BK549" s="802"/>
      <c r="BL549" s="802"/>
      <c r="BM549" s="789"/>
    </row>
    <row r="550" spans="1:218" s="853" customFormat="1" ht="13.5" customHeight="1">
      <c r="A550" s="794">
        <v>548</v>
      </c>
      <c r="B550" s="870" t="s">
        <v>270</v>
      </c>
      <c r="C550" s="796" t="s">
        <v>1299</v>
      </c>
      <c r="D550" s="799">
        <v>38777</v>
      </c>
      <c r="E550" s="799">
        <v>38838</v>
      </c>
      <c r="F550" s="857">
        <v>2006</v>
      </c>
      <c r="G550" s="870" t="s">
        <v>349</v>
      </c>
      <c r="H550" s="837" t="s">
        <v>1451</v>
      </c>
      <c r="I550" s="812" t="s">
        <v>348</v>
      </c>
      <c r="J550" s="800" t="s">
        <v>2331</v>
      </c>
      <c r="K550" s="842">
        <v>34000</v>
      </c>
      <c r="L550" s="843">
        <v>0</v>
      </c>
      <c r="M550" s="843">
        <v>28700</v>
      </c>
      <c r="N550" s="843">
        <v>28700</v>
      </c>
      <c r="O550" s="808">
        <f t="shared" si="35"/>
        <v>0.84411764705882353</v>
      </c>
      <c r="P550" s="843" t="s">
        <v>66</v>
      </c>
      <c r="Q550" s="843">
        <v>32000</v>
      </c>
      <c r="R550" s="843"/>
      <c r="S550" s="843">
        <v>32000</v>
      </c>
      <c r="T550" s="843" t="s">
        <v>233</v>
      </c>
      <c r="U550" s="843">
        <v>29</v>
      </c>
      <c r="V550" s="843" t="s">
        <v>134</v>
      </c>
      <c r="W550" s="842">
        <v>0</v>
      </c>
      <c r="X550" s="843">
        <v>1294</v>
      </c>
      <c r="Y550" s="808">
        <f>X550/S550</f>
        <v>4.0437500000000001E-2</v>
      </c>
      <c r="Z550" s="843" t="s">
        <v>2</v>
      </c>
      <c r="AA550" s="843" t="s">
        <v>134</v>
      </c>
      <c r="AB550" s="843">
        <v>29</v>
      </c>
      <c r="AC550" s="843" t="s">
        <v>75</v>
      </c>
      <c r="AD550" s="843" t="s">
        <v>75</v>
      </c>
      <c r="AE550" s="843">
        <v>1065</v>
      </c>
      <c r="AF550" s="843" t="s">
        <v>75</v>
      </c>
      <c r="AG550" s="843" t="s">
        <v>75</v>
      </c>
      <c r="AH550" s="842" t="s">
        <v>75</v>
      </c>
      <c r="AI550" s="843" t="s">
        <v>75</v>
      </c>
      <c r="AJ550" s="787">
        <f t="shared" si="34"/>
        <v>0</v>
      </c>
      <c r="AK550" s="842" t="s">
        <v>66</v>
      </c>
      <c r="AL550" s="843" t="s">
        <v>66</v>
      </c>
      <c r="AM550" s="843"/>
      <c r="AN550" s="843" t="s">
        <v>75</v>
      </c>
      <c r="AO550" s="843" t="s">
        <v>75</v>
      </c>
      <c r="AP550" s="843" t="s">
        <v>75</v>
      </c>
      <c r="AQ550" s="843" t="s">
        <v>75</v>
      </c>
      <c r="AR550" s="843" t="s">
        <v>75</v>
      </c>
      <c r="AS550" s="843" t="s">
        <v>75</v>
      </c>
      <c r="AT550" s="843" t="s">
        <v>75</v>
      </c>
      <c r="AU550" s="796" t="s">
        <v>347</v>
      </c>
      <c r="AV550" s="796"/>
      <c r="AW550" s="796"/>
      <c r="AX550" s="796"/>
      <c r="AY550" s="796"/>
      <c r="AZ550" s="796"/>
      <c r="BA550" s="796"/>
      <c r="BB550" s="796"/>
      <c r="BC550" s="796"/>
      <c r="BD550" s="796"/>
      <c r="BE550" s="796"/>
      <c r="BF550" s="796"/>
      <c r="BG550" s="796"/>
      <c r="BH550" s="796"/>
      <c r="BI550" s="796"/>
      <c r="BJ550" s="796"/>
      <c r="BK550" s="796"/>
      <c r="BL550" s="796"/>
      <c r="BM550" s="785"/>
    </row>
    <row r="551" spans="1:218" s="802" customFormat="1" ht="18.75" customHeight="1">
      <c r="A551" s="794">
        <v>549</v>
      </c>
      <c r="B551" s="875" t="s">
        <v>2363</v>
      </c>
      <c r="C551" s="854" t="s">
        <v>1299</v>
      </c>
      <c r="D551" s="860">
        <v>38718</v>
      </c>
      <c r="E551" s="860">
        <v>39569</v>
      </c>
      <c r="F551" s="857">
        <v>2006</v>
      </c>
      <c r="G551" s="859" t="s">
        <v>2020</v>
      </c>
      <c r="H551" s="800" t="s">
        <v>1451</v>
      </c>
      <c r="I551" s="854" t="s">
        <v>2021</v>
      </c>
      <c r="J551" s="800" t="s">
        <v>2331</v>
      </c>
      <c r="K551" s="856">
        <v>350000</v>
      </c>
      <c r="L551" s="856">
        <v>250000</v>
      </c>
      <c r="M551" s="856">
        <v>250000</v>
      </c>
      <c r="N551" s="856">
        <v>250000</v>
      </c>
      <c r="O551" s="808">
        <f t="shared" si="35"/>
        <v>0.7142857142857143</v>
      </c>
      <c r="P551" s="856">
        <v>100</v>
      </c>
      <c r="Q551" s="856">
        <v>28000</v>
      </c>
      <c r="R551" s="856"/>
      <c r="S551" s="856">
        <v>28000</v>
      </c>
      <c r="T551" s="855" t="s">
        <v>94</v>
      </c>
      <c r="U551" s="855">
        <v>167</v>
      </c>
      <c r="V551" s="855">
        <v>72000</v>
      </c>
      <c r="W551" s="856"/>
      <c r="X551" s="856"/>
      <c r="Y551" s="808">
        <f>X551/S551</f>
        <v>0</v>
      </c>
      <c r="Z551" s="856"/>
      <c r="AA551" s="856"/>
      <c r="AB551" s="856"/>
      <c r="AC551" s="856"/>
      <c r="AD551" s="856"/>
      <c r="AE551" s="856"/>
      <c r="AF551" s="856"/>
      <c r="AG551" s="856"/>
      <c r="AH551" s="856"/>
      <c r="AI551" s="856"/>
      <c r="AJ551" s="787">
        <f t="shared" si="34"/>
        <v>0</v>
      </c>
      <c r="AK551" s="856"/>
      <c r="AL551" s="856"/>
      <c r="AM551" s="855"/>
      <c r="AN551" s="855"/>
      <c r="AO551" s="855"/>
      <c r="AP551" s="855"/>
      <c r="AQ551" s="855"/>
      <c r="AR551" s="855"/>
      <c r="AS551" s="855"/>
      <c r="AT551" s="855"/>
      <c r="AU551" s="406" t="s">
        <v>2022</v>
      </c>
      <c r="AV551" s="854"/>
      <c r="AW551" s="854"/>
      <c r="AX551" s="854"/>
      <c r="AY551" s="854"/>
      <c r="AZ551" s="854"/>
      <c r="BA551" s="854"/>
      <c r="BB551" s="854"/>
      <c r="BC551" s="854"/>
      <c r="BD551" s="854"/>
      <c r="BE551" s="854"/>
      <c r="BF551" s="854"/>
      <c r="BG551" s="854"/>
      <c r="BH551" s="854"/>
      <c r="BI551" s="854"/>
      <c r="BJ551" s="854"/>
      <c r="BK551" s="854"/>
      <c r="BL551" s="854"/>
      <c r="BM551" s="854"/>
      <c r="BN551" s="789"/>
      <c r="BO551" s="789"/>
      <c r="BP551" s="789"/>
      <c r="BQ551" s="789"/>
      <c r="BR551" s="789"/>
      <c r="BS551" s="789"/>
      <c r="BT551" s="789"/>
      <c r="BU551" s="789"/>
      <c r="BV551" s="789"/>
      <c r="BW551" s="789"/>
      <c r="BX551" s="789"/>
      <c r="BY551" s="789"/>
      <c r="BZ551" s="789"/>
      <c r="CA551" s="789"/>
      <c r="CB551" s="789"/>
      <c r="CC551" s="789"/>
      <c r="CD551" s="789"/>
      <c r="CE551" s="789"/>
      <c r="CF551" s="789"/>
      <c r="CG551" s="789"/>
      <c r="CH551" s="789"/>
      <c r="CI551" s="789"/>
      <c r="CJ551" s="789"/>
      <c r="CK551" s="789"/>
      <c r="CL551" s="789"/>
      <c r="CM551" s="789"/>
      <c r="CN551" s="789"/>
      <c r="CO551" s="789"/>
      <c r="CP551" s="789"/>
      <c r="CQ551" s="789"/>
      <c r="CR551" s="789"/>
      <c r="CS551" s="789"/>
      <c r="CT551" s="789"/>
      <c r="CU551" s="789"/>
      <c r="CV551" s="789"/>
      <c r="CW551" s="789"/>
      <c r="CX551" s="789"/>
      <c r="CY551" s="789"/>
      <c r="CZ551" s="789"/>
      <c r="DA551" s="789"/>
      <c r="DB551" s="789"/>
      <c r="DC551" s="789"/>
      <c r="DD551" s="789"/>
      <c r="DE551" s="789"/>
      <c r="DF551" s="789"/>
      <c r="DG551" s="789"/>
      <c r="DH551" s="789"/>
      <c r="DI551" s="789"/>
      <c r="DJ551" s="789"/>
      <c r="DK551" s="789"/>
      <c r="DL551" s="789"/>
      <c r="DM551" s="789"/>
      <c r="DN551" s="789"/>
      <c r="DO551" s="789"/>
      <c r="DP551" s="789"/>
      <c r="DQ551" s="789"/>
      <c r="DR551" s="789"/>
      <c r="DS551" s="789"/>
      <c r="DT551" s="789"/>
      <c r="DU551" s="789"/>
      <c r="DV551" s="789"/>
      <c r="DW551" s="789"/>
      <c r="DX551" s="789"/>
      <c r="DY551" s="789"/>
      <c r="DZ551" s="789"/>
      <c r="EA551" s="789"/>
      <c r="EB551" s="789"/>
      <c r="EC551" s="789"/>
      <c r="ED551" s="789"/>
      <c r="EE551" s="789"/>
      <c r="EF551" s="789"/>
      <c r="EG551" s="789"/>
      <c r="EH551" s="789"/>
      <c r="EI551" s="789"/>
      <c r="EJ551" s="789"/>
      <c r="EK551" s="789"/>
      <c r="EL551" s="789"/>
      <c r="EM551" s="789"/>
      <c r="EN551" s="789"/>
      <c r="EO551" s="789"/>
      <c r="EP551" s="789"/>
      <c r="EQ551" s="789"/>
      <c r="ER551" s="789"/>
      <c r="ES551" s="789"/>
      <c r="ET551" s="789"/>
      <c r="EU551" s="789"/>
      <c r="EV551" s="789"/>
      <c r="EW551" s="789"/>
      <c r="EX551" s="789"/>
      <c r="EY551" s="789"/>
      <c r="EZ551" s="789"/>
      <c r="FA551" s="789"/>
      <c r="FB551" s="789"/>
      <c r="FC551" s="789"/>
      <c r="FD551" s="789"/>
      <c r="FE551" s="789"/>
      <c r="FF551" s="789"/>
      <c r="FG551" s="789"/>
      <c r="FH551" s="789"/>
      <c r="FI551" s="789"/>
      <c r="FJ551" s="789"/>
      <c r="FK551" s="789"/>
      <c r="FL551" s="789"/>
      <c r="FM551" s="789"/>
      <c r="FN551" s="789"/>
      <c r="FO551" s="789"/>
      <c r="FP551" s="789"/>
      <c r="FQ551" s="789"/>
      <c r="FR551" s="789"/>
      <c r="FS551" s="789"/>
      <c r="FT551" s="789"/>
      <c r="FU551" s="789"/>
      <c r="FV551" s="789"/>
      <c r="FW551" s="789"/>
      <c r="FX551" s="789"/>
      <c r="FY551" s="789"/>
      <c r="FZ551" s="789"/>
      <c r="GA551" s="789"/>
      <c r="GB551" s="789"/>
      <c r="GC551" s="789"/>
      <c r="GD551" s="789"/>
      <c r="GE551" s="789"/>
      <c r="GF551" s="789"/>
      <c r="GG551" s="789"/>
      <c r="GH551" s="789"/>
      <c r="GI551" s="789"/>
      <c r="GJ551" s="789"/>
      <c r="GK551" s="789"/>
      <c r="GL551" s="789"/>
      <c r="GM551" s="789"/>
      <c r="GN551" s="789"/>
      <c r="GO551" s="789"/>
      <c r="GP551" s="789"/>
      <c r="GQ551" s="789"/>
      <c r="GR551" s="789"/>
      <c r="GS551" s="789"/>
      <c r="GT551" s="789"/>
      <c r="GU551" s="789"/>
      <c r="GV551" s="789"/>
      <c r="GW551" s="789"/>
      <c r="GX551" s="789"/>
      <c r="GY551" s="789"/>
      <c r="GZ551" s="789"/>
      <c r="HA551" s="789"/>
      <c r="HB551" s="789"/>
      <c r="HC551" s="789"/>
      <c r="HD551" s="789"/>
      <c r="HE551" s="789"/>
      <c r="HF551" s="789"/>
      <c r="HG551" s="789"/>
      <c r="HH551" s="789"/>
      <c r="HI551" s="789"/>
      <c r="HJ551" s="789"/>
    </row>
    <row r="552" spans="1:218" s="789" customFormat="1" ht="18.75" customHeight="1">
      <c r="A552" s="794">
        <v>550</v>
      </c>
      <c r="B552" s="836" t="s">
        <v>209</v>
      </c>
      <c r="C552" s="789" t="s">
        <v>1286</v>
      </c>
      <c r="D552" s="840">
        <v>38930</v>
      </c>
      <c r="E552" s="840">
        <v>39083</v>
      </c>
      <c r="F552" s="857">
        <v>2006</v>
      </c>
      <c r="G552" s="836" t="s">
        <v>238</v>
      </c>
      <c r="H552" s="841" t="s">
        <v>1454</v>
      </c>
      <c r="I552" s="836" t="s">
        <v>215</v>
      </c>
      <c r="J552" s="812" t="s">
        <v>2438</v>
      </c>
      <c r="K552" s="817">
        <v>5475</v>
      </c>
      <c r="L552" s="817">
        <v>632064</v>
      </c>
      <c r="M552" s="817">
        <v>410460</v>
      </c>
      <c r="N552" s="817">
        <v>410272</v>
      </c>
      <c r="O552" s="808">
        <f t="shared" si="35"/>
        <v>74.935525114155254</v>
      </c>
      <c r="P552" s="817">
        <v>100</v>
      </c>
      <c r="Q552" s="817">
        <v>5475</v>
      </c>
      <c r="R552" s="817"/>
      <c r="S552" s="817">
        <v>5475</v>
      </c>
      <c r="T552" s="817" t="s">
        <v>233</v>
      </c>
      <c r="U552" s="817"/>
      <c r="V552" s="817"/>
      <c r="W552" s="817">
        <v>49320</v>
      </c>
      <c r="X552" s="817">
        <v>5924</v>
      </c>
      <c r="Y552" s="808">
        <f>X552/S552</f>
        <v>1.0820091324200913</v>
      </c>
      <c r="Z552" s="817">
        <v>2500</v>
      </c>
      <c r="AA552" s="817"/>
      <c r="AB552" s="817"/>
      <c r="AC552" s="817"/>
      <c r="AD552" s="817"/>
      <c r="AE552" s="817"/>
      <c r="AF552" s="817" t="s">
        <v>75</v>
      </c>
      <c r="AG552" s="817" t="s">
        <v>75</v>
      </c>
      <c r="AH552" s="817">
        <v>2995</v>
      </c>
      <c r="AI552" s="817" t="s">
        <v>75</v>
      </c>
      <c r="AJ552" s="787">
        <f t="shared" si="34"/>
        <v>5495</v>
      </c>
      <c r="AK552" s="817">
        <v>49419</v>
      </c>
      <c r="AL552" s="817">
        <v>8860</v>
      </c>
      <c r="AM552" s="817"/>
      <c r="AN552" s="817" t="s">
        <v>75</v>
      </c>
      <c r="AO552" s="817" t="s">
        <v>75</v>
      </c>
      <c r="AP552" s="817" t="s">
        <v>75</v>
      </c>
      <c r="AQ552" s="817" t="s">
        <v>75</v>
      </c>
      <c r="AR552" s="817" t="s">
        <v>75</v>
      </c>
      <c r="AS552" s="817" t="s">
        <v>75</v>
      </c>
      <c r="AT552" s="817" t="s">
        <v>75</v>
      </c>
      <c r="AU552" s="363" t="s">
        <v>216</v>
      </c>
    </row>
    <row r="553" spans="1:218" s="802" customFormat="1" ht="18.75" customHeight="1">
      <c r="A553" s="794">
        <v>551</v>
      </c>
      <c r="B553" s="859" t="s">
        <v>209</v>
      </c>
      <c r="C553" s="854" t="s">
        <v>1286</v>
      </c>
      <c r="D553" s="860">
        <v>38718</v>
      </c>
      <c r="E553" s="860">
        <v>39173</v>
      </c>
      <c r="F553" s="857">
        <v>2006</v>
      </c>
      <c r="G553" s="859" t="s">
        <v>5</v>
      </c>
      <c r="H553" s="800" t="s">
        <v>1451</v>
      </c>
      <c r="I553" s="854" t="s">
        <v>2030</v>
      </c>
      <c r="J553" s="800" t="s">
        <v>2331</v>
      </c>
      <c r="K553" s="856">
        <v>26000</v>
      </c>
      <c r="L553" s="856">
        <v>80000</v>
      </c>
      <c r="M553" s="856">
        <v>80000</v>
      </c>
      <c r="N553" s="856">
        <v>80000</v>
      </c>
      <c r="O553" s="808">
        <f t="shared" si="35"/>
        <v>3.0769230769230771</v>
      </c>
      <c r="P553" s="856">
        <v>100</v>
      </c>
      <c r="Q553" s="856"/>
      <c r="R553" s="856"/>
      <c r="S553" s="856"/>
      <c r="T553" s="817" t="s">
        <v>233</v>
      </c>
      <c r="U553" s="855"/>
      <c r="V553" s="855"/>
      <c r="W553" s="856"/>
      <c r="X553" s="856"/>
      <c r="Y553" s="856"/>
      <c r="Z553" s="856"/>
      <c r="AA553" s="856"/>
      <c r="AB553" s="856"/>
      <c r="AC553" s="856"/>
      <c r="AD553" s="856"/>
      <c r="AE553" s="856"/>
      <c r="AF553" s="856"/>
      <c r="AG553" s="856"/>
      <c r="AH553" s="856"/>
      <c r="AI553" s="856"/>
      <c r="AJ553" s="787">
        <f t="shared" si="34"/>
        <v>0</v>
      </c>
      <c r="AK553" s="856">
        <v>911</v>
      </c>
      <c r="AL553" s="856">
        <v>911</v>
      </c>
      <c r="AM553" s="855"/>
      <c r="AN553" s="855"/>
      <c r="AO553" s="855"/>
      <c r="AP553" s="855"/>
      <c r="AQ553" s="855"/>
      <c r="AR553" s="855"/>
      <c r="AS553" s="855"/>
      <c r="AT553" s="855" t="s">
        <v>94</v>
      </c>
      <c r="AU553" s="406" t="s">
        <v>2031</v>
      </c>
      <c r="AV553" s="854"/>
      <c r="AW553" s="854"/>
      <c r="AX553" s="854"/>
      <c r="AY553" s="854"/>
      <c r="AZ553" s="854"/>
      <c r="BA553" s="854"/>
      <c r="BB553" s="854"/>
      <c r="BC553" s="854"/>
      <c r="BD553" s="854"/>
      <c r="BE553" s="854"/>
      <c r="BF553" s="854"/>
      <c r="BG553" s="854"/>
      <c r="BH553" s="854"/>
      <c r="BI553" s="854"/>
      <c r="BJ553" s="854"/>
      <c r="BK553" s="854"/>
      <c r="BL553" s="854"/>
      <c r="BM553" s="854"/>
      <c r="BN553" s="789"/>
      <c r="BO553" s="789"/>
      <c r="BP553" s="789"/>
      <c r="BQ553" s="789"/>
      <c r="BR553" s="789"/>
      <c r="BS553" s="789"/>
      <c r="BT553" s="789"/>
      <c r="BU553" s="789"/>
      <c r="BV553" s="789"/>
      <c r="BW553" s="789"/>
      <c r="BX553" s="789"/>
      <c r="BY553" s="789"/>
      <c r="BZ553" s="789"/>
      <c r="CA553" s="789"/>
      <c r="CB553" s="789"/>
      <c r="CC553" s="789"/>
      <c r="CD553" s="789"/>
      <c r="CE553" s="789"/>
      <c r="CF553" s="789"/>
      <c r="CG553" s="789"/>
      <c r="CH553" s="789"/>
      <c r="CI553" s="789"/>
      <c r="CJ553" s="789"/>
      <c r="CK553" s="789"/>
      <c r="CL553" s="789"/>
      <c r="CM553" s="789"/>
      <c r="CN553" s="789"/>
      <c r="CO553" s="789"/>
      <c r="CP553" s="789"/>
      <c r="CQ553" s="789"/>
      <c r="CR553" s="789"/>
      <c r="CS553" s="789"/>
      <c r="CT553" s="789"/>
      <c r="CU553" s="789"/>
      <c r="CV553" s="789"/>
      <c r="CW553" s="789"/>
      <c r="CX553" s="789"/>
      <c r="CY553" s="789"/>
      <c r="CZ553" s="789"/>
      <c r="DA553" s="789"/>
      <c r="DB553" s="789"/>
      <c r="DC553" s="789"/>
      <c r="DD553" s="789"/>
      <c r="DE553" s="789"/>
      <c r="DF553" s="789"/>
      <c r="DG553" s="789"/>
      <c r="DH553" s="789"/>
      <c r="DI553" s="789"/>
      <c r="DJ553" s="789"/>
      <c r="DK553" s="789"/>
      <c r="DL553" s="789"/>
      <c r="DM553" s="789"/>
      <c r="DN553" s="789"/>
      <c r="DO553" s="789"/>
      <c r="DP553" s="789"/>
      <c r="DQ553" s="789"/>
      <c r="DR553" s="789"/>
      <c r="DS553" s="789"/>
      <c r="DT553" s="789"/>
      <c r="DU553" s="789"/>
      <c r="DV553" s="789"/>
      <c r="DW553" s="789"/>
      <c r="DX553" s="789"/>
      <c r="DY553" s="789"/>
      <c r="DZ553" s="789"/>
      <c r="EA553" s="789"/>
      <c r="EB553" s="789"/>
      <c r="EC553" s="789"/>
      <c r="ED553" s="789"/>
      <c r="EE553" s="789"/>
      <c r="EF553" s="789"/>
      <c r="EG553" s="789"/>
      <c r="EH553" s="789"/>
      <c r="EI553" s="789"/>
      <c r="EJ553" s="789"/>
      <c r="EK553" s="789"/>
      <c r="EL553" s="789"/>
      <c r="EM553" s="789"/>
      <c r="EN553" s="789"/>
      <c r="EO553" s="789"/>
      <c r="EP553" s="789"/>
      <c r="EQ553" s="789"/>
      <c r="ER553" s="789"/>
      <c r="ES553" s="789"/>
      <c r="ET553" s="789"/>
      <c r="EU553" s="789"/>
      <c r="EV553" s="789"/>
      <c r="EW553" s="789"/>
      <c r="EX553" s="789"/>
      <c r="EY553" s="789"/>
      <c r="EZ553" s="789"/>
      <c r="FA553" s="789"/>
      <c r="FB553" s="789"/>
      <c r="FC553" s="789"/>
      <c r="FD553" s="789"/>
      <c r="FE553" s="789"/>
      <c r="FF553" s="789"/>
      <c r="FG553" s="789"/>
      <c r="FH553" s="789"/>
      <c r="FI553" s="789"/>
      <c r="FJ553" s="789"/>
      <c r="FK553" s="789"/>
      <c r="FL553" s="789"/>
      <c r="FM553" s="789"/>
      <c r="FN553" s="789"/>
      <c r="FO553" s="789"/>
      <c r="FP553" s="789"/>
      <c r="FQ553" s="789"/>
      <c r="FR553" s="789"/>
      <c r="FS553" s="789"/>
      <c r="FT553" s="789"/>
      <c r="FU553" s="789"/>
      <c r="FV553" s="789"/>
      <c r="FW553" s="789"/>
      <c r="FX553" s="789"/>
      <c r="FY553" s="789"/>
      <c r="FZ553" s="789"/>
      <c r="GA553" s="789"/>
      <c r="GB553" s="789"/>
      <c r="GC553" s="789"/>
      <c r="GD553" s="789"/>
      <c r="GE553" s="789"/>
      <c r="GF553" s="789"/>
      <c r="GG553" s="789"/>
      <c r="GH553" s="789"/>
      <c r="GI553" s="789"/>
      <c r="GJ553" s="789"/>
      <c r="GK553" s="789"/>
      <c r="GL553" s="789"/>
      <c r="GM553" s="789"/>
      <c r="GN553" s="789"/>
      <c r="GO553" s="789"/>
      <c r="GP553" s="789"/>
      <c r="GQ553" s="789"/>
      <c r="GR553" s="789"/>
      <c r="GS553" s="789"/>
      <c r="GT553" s="789"/>
      <c r="GU553" s="789"/>
      <c r="GV553" s="789"/>
      <c r="GW553" s="789"/>
      <c r="GX553" s="789"/>
      <c r="GY553" s="789"/>
      <c r="GZ553" s="789"/>
      <c r="HA553" s="789"/>
      <c r="HB553" s="789"/>
      <c r="HC553" s="789"/>
      <c r="HD553" s="789"/>
      <c r="HE553" s="789"/>
      <c r="HF553" s="789"/>
      <c r="HG553" s="789"/>
      <c r="HH553" s="789"/>
      <c r="HI553" s="789"/>
      <c r="HJ553" s="789"/>
    </row>
    <row r="554" spans="1:218" s="802" customFormat="1" ht="18.75" customHeight="1">
      <c r="A554" s="794">
        <v>552</v>
      </c>
      <c r="B554" s="859" t="s">
        <v>452</v>
      </c>
      <c r="C554" s="854" t="s">
        <v>1278</v>
      </c>
      <c r="D554" s="860">
        <v>38749</v>
      </c>
      <c r="E554" s="860">
        <v>38930</v>
      </c>
      <c r="F554" s="857">
        <v>2006</v>
      </c>
      <c r="G554" s="859" t="s">
        <v>2032</v>
      </c>
      <c r="H554" s="800" t="s">
        <v>1452</v>
      </c>
      <c r="I554" s="854" t="s">
        <v>2033</v>
      </c>
      <c r="J554" s="800" t="s">
        <v>2331</v>
      </c>
      <c r="K554" s="856">
        <v>2518</v>
      </c>
      <c r="L554" s="856">
        <v>50000</v>
      </c>
      <c r="M554" s="856">
        <v>50000</v>
      </c>
      <c r="N554" s="856">
        <v>50000</v>
      </c>
      <c r="O554" s="808">
        <f t="shared" si="35"/>
        <v>19.857029388403493</v>
      </c>
      <c r="P554" s="856">
        <v>100</v>
      </c>
      <c r="Q554" s="856"/>
      <c r="R554" s="856"/>
      <c r="S554" s="856"/>
      <c r="T554" s="817" t="s">
        <v>233</v>
      </c>
      <c r="U554" s="855"/>
      <c r="V554" s="855"/>
      <c r="W554" s="856"/>
      <c r="X554" s="856"/>
      <c r="Y554" s="856"/>
      <c r="Z554" s="856">
        <v>2518</v>
      </c>
      <c r="AA554" s="856"/>
      <c r="AB554" s="856">
        <v>40</v>
      </c>
      <c r="AC554" s="856"/>
      <c r="AD554" s="856"/>
      <c r="AE554" s="856"/>
      <c r="AF554" s="856"/>
      <c r="AG554" s="856"/>
      <c r="AH554" s="856"/>
      <c r="AI554" s="856"/>
      <c r="AJ554" s="787">
        <f t="shared" si="34"/>
        <v>2518</v>
      </c>
      <c r="AK554" s="856"/>
      <c r="AL554" s="856"/>
      <c r="AM554" s="855"/>
      <c r="AN554" s="855"/>
      <c r="AO554" s="855"/>
      <c r="AP554" s="855"/>
      <c r="AQ554" s="855"/>
      <c r="AR554" s="855"/>
      <c r="AS554" s="855"/>
      <c r="AT554" s="855"/>
      <c r="AU554" s="854" t="s">
        <v>2034</v>
      </c>
      <c r="AV554" s="854"/>
      <c r="AW554" s="854"/>
      <c r="AX554" s="854"/>
      <c r="AY554" s="854"/>
      <c r="AZ554" s="854"/>
      <c r="BA554" s="854"/>
      <c r="BB554" s="854"/>
      <c r="BC554" s="854"/>
      <c r="BD554" s="854"/>
      <c r="BE554" s="854"/>
      <c r="BF554" s="854"/>
      <c r="BG554" s="854"/>
      <c r="BH554" s="854"/>
      <c r="BI554" s="854"/>
      <c r="BJ554" s="854"/>
      <c r="BK554" s="854"/>
      <c r="BL554" s="854"/>
      <c r="BM554" s="854"/>
      <c r="BN554" s="789"/>
      <c r="BO554" s="789"/>
      <c r="BP554" s="789"/>
      <c r="BQ554" s="789"/>
      <c r="BR554" s="789"/>
      <c r="BS554" s="789"/>
      <c r="BT554" s="789"/>
      <c r="BU554" s="789"/>
      <c r="BV554" s="789"/>
      <c r="BW554" s="789"/>
      <c r="BX554" s="789"/>
      <c r="BY554" s="789"/>
      <c r="BZ554" s="789"/>
      <c r="CA554" s="789"/>
      <c r="CB554" s="789"/>
      <c r="CC554" s="789"/>
      <c r="CD554" s="789"/>
      <c r="CE554" s="789"/>
      <c r="CF554" s="789"/>
      <c r="CG554" s="789"/>
      <c r="CH554" s="789"/>
      <c r="CI554" s="789"/>
      <c r="CJ554" s="789"/>
      <c r="CK554" s="789"/>
      <c r="CL554" s="789"/>
      <c r="CM554" s="789"/>
      <c r="CN554" s="789"/>
      <c r="CO554" s="789"/>
      <c r="CP554" s="789"/>
      <c r="CQ554" s="789"/>
      <c r="CR554" s="789"/>
      <c r="CS554" s="789"/>
      <c r="CT554" s="789"/>
      <c r="CU554" s="789"/>
      <c r="CV554" s="789"/>
      <c r="CW554" s="789"/>
      <c r="CX554" s="789"/>
      <c r="CY554" s="789"/>
      <c r="CZ554" s="789"/>
      <c r="DA554" s="789"/>
      <c r="DB554" s="789"/>
      <c r="DC554" s="789"/>
      <c r="DD554" s="789"/>
      <c r="DE554" s="789"/>
      <c r="DF554" s="789"/>
      <c r="DG554" s="789"/>
      <c r="DH554" s="789"/>
      <c r="DI554" s="789"/>
      <c r="DJ554" s="789"/>
      <c r="DK554" s="789"/>
      <c r="DL554" s="789"/>
      <c r="DM554" s="789"/>
      <c r="DN554" s="789"/>
      <c r="DO554" s="789"/>
      <c r="DP554" s="789"/>
      <c r="DQ554" s="789"/>
      <c r="DR554" s="789"/>
      <c r="DS554" s="789"/>
      <c r="DT554" s="789"/>
      <c r="DU554" s="789"/>
      <c r="DV554" s="789"/>
      <c r="DW554" s="789"/>
      <c r="DX554" s="789"/>
      <c r="DY554" s="789"/>
      <c r="DZ554" s="789"/>
      <c r="EA554" s="789"/>
      <c r="EB554" s="789"/>
      <c r="EC554" s="789"/>
      <c r="ED554" s="789"/>
      <c r="EE554" s="789"/>
      <c r="EF554" s="789"/>
      <c r="EG554" s="789"/>
      <c r="EH554" s="789"/>
      <c r="EI554" s="789"/>
      <c r="EJ554" s="789"/>
      <c r="EK554" s="789"/>
      <c r="EL554" s="789"/>
      <c r="EM554" s="789"/>
      <c r="EN554" s="789"/>
      <c r="EO554" s="789"/>
      <c r="EP554" s="789"/>
      <c r="EQ554" s="789"/>
      <c r="ER554" s="789"/>
      <c r="ES554" s="789"/>
      <c r="ET554" s="789"/>
      <c r="EU554" s="789"/>
      <c r="EV554" s="789"/>
      <c r="EW554" s="789"/>
      <c r="EX554" s="789"/>
      <c r="EY554" s="789"/>
      <c r="EZ554" s="789"/>
      <c r="FA554" s="789"/>
      <c r="FB554" s="789"/>
      <c r="FC554" s="789"/>
      <c r="FD554" s="789"/>
      <c r="FE554" s="789"/>
      <c r="FF554" s="789"/>
      <c r="FG554" s="789"/>
      <c r="FH554" s="789"/>
      <c r="FI554" s="789"/>
      <c r="FJ554" s="789"/>
      <c r="FK554" s="789"/>
      <c r="FL554" s="789"/>
      <c r="FM554" s="789"/>
      <c r="FN554" s="789"/>
      <c r="FO554" s="789"/>
      <c r="FP554" s="789"/>
      <c r="FQ554" s="789"/>
      <c r="FR554" s="789"/>
      <c r="FS554" s="789"/>
      <c r="FT554" s="789"/>
      <c r="FU554" s="789"/>
      <c r="FV554" s="789"/>
      <c r="FW554" s="789"/>
      <c r="FX554" s="789"/>
      <c r="FY554" s="789"/>
      <c r="FZ554" s="789"/>
      <c r="GA554" s="789"/>
      <c r="GB554" s="789"/>
      <c r="GC554" s="789"/>
      <c r="GD554" s="789"/>
      <c r="GE554" s="789"/>
      <c r="GF554" s="789"/>
      <c r="GG554" s="789"/>
      <c r="GH554" s="789"/>
      <c r="GI554" s="789"/>
      <c r="GJ554" s="789"/>
      <c r="GK554" s="789"/>
      <c r="GL554" s="789"/>
      <c r="GM554" s="789"/>
      <c r="GN554" s="789"/>
      <c r="GO554" s="789"/>
      <c r="GP554" s="789"/>
      <c r="GQ554" s="789"/>
      <c r="GR554" s="789"/>
      <c r="GS554" s="789"/>
      <c r="GT554" s="789"/>
      <c r="GU554" s="789"/>
      <c r="GV554" s="789"/>
      <c r="GW554" s="789"/>
      <c r="GX554" s="789"/>
      <c r="GY554" s="789"/>
      <c r="GZ554" s="789"/>
      <c r="HA554" s="789"/>
      <c r="HB554" s="789"/>
      <c r="HC554" s="789"/>
      <c r="HD554" s="789"/>
      <c r="HE554" s="789"/>
      <c r="HF554" s="789"/>
      <c r="HG554" s="789"/>
      <c r="HH554" s="789"/>
      <c r="HI554" s="789"/>
      <c r="HJ554" s="789"/>
    </row>
    <row r="555" spans="1:218" s="802" customFormat="1" ht="18.75" customHeight="1">
      <c r="A555" s="794">
        <v>553</v>
      </c>
      <c r="B555" s="859" t="s">
        <v>452</v>
      </c>
      <c r="C555" s="854" t="s">
        <v>1278</v>
      </c>
      <c r="D555" s="860">
        <v>38749</v>
      </c>
      <c r="E555" s="860">
        <v>38961</v>
      </c>
      <c r="F555" s="857">
        <v>2006</v>
      </c>
      <c r="G555" s="859" t="s">
        <v>1721</v>
      </c>
      <c r="H555" s="854" t="s">
        <v>1449</v>
      </c>
      <c r="I555" s="854" t="s">
        <v>2035</v>
      </c>
      <c r="J555" s="800" t="s">
        <v>2331</v>
      </c>
      <c r="K555" s="856">
        <v>1267</v>
      </c>
      <c r="L555" s="856">
        <v>39936</v>
      </c>
      <c r="M555" s="856">
        <v>39936</v>
      </c>
      <c r="N555" s="856">
        <v>39936</v>
      </c>
      <c r="O555" s="808">
        <f t="shared" si="35"/>
        <v>31.520126282557221</v>
      </c>
      <c r="P555" s="856">
        <v>100</v>
      </c>
      <c r="Q555" s="856"/>
      <c r="R555" s="856"/>
      <c r="S555" s="856"/>
      <c r="T555" s="817" t="s">
        <v>233</v>
      </c>
      <c r="U555" s="855"/>
      <c r="V555" s="855"/>
      <c r="W555" s="856"/>
      <c r="X555" s="856"/>
      <c r="Y555" s="856"/>
      <c r="Z555" s="856"/>
      <c r="AA555" s="856">
        <v>1267</v>
      </c>
      <c r="AB555" s="856">
        <v>50</v>
      </c>
      <c r="AC555" s="856"/>
      <c r="AD555" s="856"/>
      <c r="AE555" s="856"/>
      <c r="AF555" s="856"/>
      <c r="AG555" s="856"/>
      <c r="AH555" s="856"/>
      <c r="AI555" s="856"/>
      <c r="AJ555" s="787">
        <f t="shared" si="34"/>
        <v>1267</v>
      </c>
      <c r="AK555" s="856">
        <v>831</v>
      </c>
      <c r="AL555" s="856">
        <v>6336</v>
      </c>
      <c r="AM555" s="855"/>
      <c r="AN555" s="855"/>
      <c r="AO555" s="855"/>
      <c r="AP555" s="855"/>
      <c r="AQ555" s="855"/>
      <c r="AR555" s="855"/>
      <c r="AS555" s="855"/>
      <c r="AT555" s="855"/>
      <c r="AU555" s="406" t="s">
        <v>2036</v>
      </c>
      <c r="AV555" s="854"/>
      <c r="AW555" s="854"/>
      <c r="AX555" s="854"/>
      <c r="AY555" s="854"/>
      <c r="AZ555" s="854"/>
      <c r="BA555" s="854"/>
      <c r="BB555" s="854"/>
      <c r="BC555" s="854"/>
      <c r="BD555" s="854"/>
      <c r="BE555" s="854"/>
      <c r="BF555" s="854"/>
      <c r="BG555" s="854"/>
      <c r="BH555" s="854"/>
      <c r="BI555" s="854"/>
      <c r="BJ555" s="854"/>
      <c r="BK555" s="854"/>
      <c r="BL555" s="854"/>
      <c r="BM555" s="854"/>
      <c r="BN555" s="789"/>
      <c r="BO555" s="789"/>
      <c r="BP555" s="789"/>
      <c r="BQ555" s="789"/>
      <c r="BR555" s="789"/>
      <c r="BS555" s="789"/>
      <c r="BT555" s="789"/>
      <c r="BU555" s="789"/>
      <c r="BV555" s="789"/>
      <c r="BW555" s="789"/>
      <c r="BX555" s="789"/>
      <c r="BY555" s="789"/>
      <c r="BZ555" s="789"/>
      <c r="CA555" s="789"/>
      <c r="CB555" s="789"/>
      <c r="CC555" s="789"/>
      <c r="CD555" s="789"/>
      <c r="CE555" s="789"/>
      <c r="CF555" s="789"/>
      <c r="CG555" s="789"/>
      <c r="CH555" s="789"/>
      <c r="CI555" s="789"/>
      <c r="CJ555" s="789"/>
      <c r="CK555" s="789"/>
      <c r="CL555" s="789"/>
      <c r="CM555" s="789"/>
      <c r="CN555" s="789"/>
      <c r="CO555" s="789"/>
      <c r="CP555" s="789"/>
      <c r="CQ555" s="789"/>
      <c r="CR555" s="789"/>
      <c r="CS555" s="789"/>
      <c r="CT555" s="789"/>
      <c r="CU555" s="789"/>
      <c r="CV555" s="789"/>
      <c r="CW555" s="789"/>
      <c r="CX555" s="789"/>
      <c r="CY555" s="789"/>
      <c r="CZ555" s="789"/>
      <c r="DA555" s="789"/>
      <c r="DB555" s="789"/>
      <c r="DC555" s="789"/>
      <c r="DD555" s="789"/>
      <c r="DE555" s="789"/>
      <c r="DF555" s="789"/>
      <c r="DG555" s="789"/>
      <c r="DH555" s="789"/>
      <c r="DI555" s="789"/>
      <c r="DJ555" s="789"/>
      <c r="DK555" s="789"/>
      <c r="DL555" s="789"/>
      <c r="DM555" s="789"/>
      <c r="DN555" s="789"/>
      <c r="DO555" s="789"/>
      <c r="DP555" s="789"/>
      <c r="DQ555" s="789"/>
      <c r="DR555" s="789"/>
      <c r="DS555" s="789"/>
      <c r="DT555" s="789"/>
      <c r="DU555" s="789"/>
      <c r="DV555" s="789"/>
      <c r="DW555" s="789"/>
      <c r="DX555" s="789"/>
      <c r="DY555" s="789"/>
      <c r="DZ555" s="789"/>
      <c r="EA555" s="789"/>
      <c r="EB555" s="789"/>
      <c r="EC555" s="789"/>
      <c r="ED555" s="789"/>
      <c r="EE555" s="789"/>
      <c r="EF555" s="789"/>
      <c r="EG555" s="789"/>
      <c r="EH555" s="789"/>
      <c r="EI555" s="789"/>
      <c r="EJ555" s="789"/>
      <c r="EK555" s="789"/>
      <c r="EL555" s="789"/>
      <c r="EM555" s="789"/>
      <c r="EN555" s="789"/>
      <c r="EO555" s="789"/>
      <c r="EP555" s="789"/>
      <c r="EQ555" s="789"/>
      <c r="ER555" s="789"/>
      <c r="ES555" s="789"/>
      <c r="ET555" s="789"/>
      <c r="EU555" s="789"/>
      <c r="EV555" s="789"/>
      <c r="EW555" s="789"/>
      <c r="EX555" s="789"/>
      <c r="EY555" s="789"/>
      <c r="EZ555" s="789"/>
      <c r="FA555" s="789"/>
      <c r="FB555" s="789"/>
      <c r="FC555" s="789"/>
      <c r="FD555" s="789"/>
      <c r="FE555" s="789"/>
      <c r="FF555" s="789"/>
      <c r="FG555" s="789"/>
      <c r="FH555" s="789"/>
      <c r="FI555" s="789"/>
      <c r="FJ555" s="789"/>
      <c r="FK555" s="789"/>
      <c r="FL555" s="789"/>
      <c r="FM555" s="789"/>
      <c r="FN555" s="789"/>
      <c r="FO555" s="789"/>
      <c r="FP555" s="789"/>
      <c r="FQ555" s="789"/>
      <c r="FR555" s="789"/>
      <c r="FS555" s="789"/>
      <c r="FT555" s="789"/>
      <c r="FU555" s="789"/>
      <c r="FV555" s="789"/>
      <c r="FW555" s="789"/>
      <c r="FX555" s="789"/>
      <c r="FY555" s="789"/>
      <c r="FZ555" s="789"/>
      <c r="GA555" s="789"/>
      <c r="GB555" s="789"/>
      <c r="GC555" s="789"/>
      <c r="GD555" s="789"/>
      <c r="GE555" s="789"/>
      <c r="GF555" s="789"/>
      <c r="GG555" s="789"/>
      <c r="GH555" s="789"/>
      <c r="GI555" s="789"/>
      <c r="GJ555" s="789"/>
      <c r="GK555" s="789"/>
      <c r="GL555" s="789"/>
      <c r="GM555" s="789"/>
      <c r="GN555" s="789"/>
      <c r="GO555" s="789"/>
      <c r="GP555" s="789"/>
      <c r="GQ555" s="789"/>
      <c r="GR555" s="789"/>
      <c r="GS555" s="789"/>
      <c r="GT555" s="789"/>
      <c r="GU555" s="789"/>
      <c r="GV555" s="789"/>
      <c r="GW555" s="789"/>
      <c r="GX555" s="789"/>
      <c r="GY555" s="789"/>
      <c r="GZ555" s="789"/>
      <c r="HA555" s="789"/>
      <c r="HB555" s="789"/>
      <c r="HC555" s="789"/>
      <c r="HD555" s="789"/>
      <c r="HE555" s="789"/>
      <c r="HF555" s="789"/>
      <c r="HG555" s="789"/>
      <c r="HH555" s="789"/>
      <c r="HI555" s="789"/>
      <c r="HJ555" s="789"/>
    </row>
    <row r="556" spans="1:218" s="802" customFormat="1" ht="23.1" customHeight="1">
      <c r="A556" s="794">
        <v>554</v>
      </c>
      <c r="B556" s="859" t="s">
        <v>452</v>
      </c>
      <c r="C556" s="854" t="s">
        <v>1278</v>
      </c>
      <c r="D556" s="860">
        <v>38838</v>
      </c>
      <c r="E556" s="860">
        <v>38961</v>
      </c>
      <c r="F556" s="857">
        <v>2006</v>
      </c>
      <c r="G556" s="859" t="s">
        <v>2037</v>
      </c>
      <c r="H556" s="854" t="s">
        <v>1452</v>
      </c>
      <c r="I556" s="854" t="s">
        <v>2038</v>
      </c>
      <c r="J556" s="800" t="s">
        <v>2331</v>
      </c>
      <c r="K556" s="856">
        <v>150</v>
      </c>
      <c r="L556" s="856">
        <v>30000</v>
      </c>
      <c r="M556" s="856">
        <v>30000</v>
      </c>
      <c r="N556" s="856">
        <v>30000</v>
      </c>
      <c r="O556" s="808">
        <f t="shared" si="35"/>
        <v>200</v>
      </c>
      <c r="P556" s="856">
        <v>100</v>
      </c>
      <c r="Q556" s="856"/>
      <c r="R556" s="856"/>
      <c r="S556" s="856"/>
      <c r="T556" s="817" t="s">
        <v>233</v>
      </c>
      <c r="U556" s="855"/>
      <c r="V556" s="855"/>
      <c r="W556" s="856"/>
      <c r="X556" s="856"/>
      <c r="Y556" s="856"/>
      <c r="Z556" s="856">
        <v>150</v>
      </c>
      <c r="AA556" s="856"/>
      <c r="AB556" s="856">
        <v>38</v>
      </c>
      <c r="AC556" s="856"/>
      <c r="AD556" s="856"/>
      <c r="AE556" s="856"/>
      <c r="AF556" s="856"/>
      <c r="AG556" s="856"/>
      <c r="AH556" s="856"/>
      <c r="AI556" s="856"/>
      <c r="AJ556" s="787">
        <f t="shared" si="34"/>
        <v>150</v>
      </c>
      <c r="AK556" s="856"/>
      <c r="AL556" s="856"/>
      <c r="AM556" s="855"/>
      <c r="AN556" s="855"/>
      <c r="AO556" s="855"/>
      <c r="AP556" s="855"/>
      <c r="AQ556" s="855"/>
      <c r="AR556" s="855"/>
      <c r="AS556" s="855"/>
      <c r="AT556" s="855"/>
      <c r="AU556" s="854" t="s">
        <v>2039</v>
      </c>
      <c r="AV556" s="854"/>
      <c r="AW556" s="854"/>
      <c r="AX556" s="854"/>
      <c r="AY556" s="854"/>
      <c r="AZ556" s="854"/>
      <c r="BA556" s="854"/>
      <c r="BB556" s="854"/>
      <c r="BC556" s="854"/>
      <c r="BD556" s="854"/>
      <c r="BE556" s="854"/>
      <c r="BF556" s="854"/>
      <c r="BG556" s="854"/>
      <c r="BH556" s="854"/>
      <c r="BI556" s="854"/>
      <c r="BJ556" s="854"/>
      <c r="BK556" s="854"/>
      <c r="BL556" s="854"/>
      <c r="BM556" s="854"/>
      <c r="BN556" s="789"/>
      <c r="BO556" s="789"/>
      <c r="BP556" s="789"/>
      <c r="BQ556" s="789"/>
      <c r="BR556" s="789"/>
      <c r="BS556" s="789"/>
      <c r="BT556" s="789"/>
      <c r="BU556" s="789"/>
      <c r="BV556" s="789"/>
      <c r="BW556" s="789"/>
      <c r="BX556" s="789"/>
      <c r="BY556" s="789"/>
      <c r="BZ556" s="789"/>
      <c r="CA556" s="789"/>
      <c r="CB556" s="789"/>
      <c r="CC556" s="789"/>
      <c r="CD556" s="789"/>
      <c r="CE556" s="789"/>
      <c r="CF556" s="789"/>
      <c r="CG556" s="789"/>
      <c r="CH556" s="789"/>
      <c r="CI556" s="789"/>
      <c r="CJ556" s="789"/>
      <c r="CK556" s="789"/>
      <c r="CL556" s="789"/>
      <c r="CM556" s="789"/>
      <c r="CN556" s="789"/>
      <c r="CO556" s="789"/>
      <c r="CP556" s="789"/>
      <c r="CQ556" s="789"/>
      <c r="CR556" s="789"/>
      <c r="CS556" s="789"/>
      <c r="CT556" s="789"/>
      <c r="CU556" s="789"/>
      <c r="CV556" s="789"/>
      <c r="CW556" s="789"/>
      <c r="CX556" s="789"/>
      <c r="CY556" s="789"/>
      <c r="CZ556" s="789"/>
      <c r="DA556" s="789"/>
      <c r="DB556" s="789"/>
      <c r="DC556" s="789"/>
      <c r="DD556" s="789"/>
      <c r="DE556" s="789"/>
      <c r="DF556" s="789"/>
      <c r="DG556" s="789"/>
      <c r="DH556" s="789"/>
      <c r="DI556" s="789"/>
      <c r="DJ556" s="789"/>
      <c r="DK556" s="789"/>
      <c r="DL556" s="789"/>
      <c r="DM556" s="789"/>
      <c r="DN556" s="789"/>
      <c r="DO556" s="789"/>
      <c r="DP556" s="789"/>
      <c r="DQ556" s="789"/>
      <c r="DR556" s="789"/>
      <c r="DS556" s="789"/>
      <c r="DT556" s="789"/>
      <c r="DU556" s="789"/>
      <c r="DV556" s="789"/>
      <c r="DW556" s="789"/>
      <c r="DX556" s="789"/>
      <c r="DY556" s="789"/>
      <c r="DZ556" s="789"/>
      <c r="EA556" s="789"/>
      <c r="EB556" s="789"/>
      <c r="EC556" s="789"/>
      <c r="ED556" s="789"/>
      <c r="EE556" s="789"/>
      <c r="EF556" s="789"/>
      <c r="EG556" s="789"/>
      <c r="EH556" s="789"/>
      <c r="EI556" s="789"/>
      <c r="EJ556" s="789"/>
      <c r="EK556" s="789"/>
      <c r="EL556" s="789"/>
      <c r="EM556" s="789"/>
      <c r="EN556" s="789"/>
      <c r="EO556" s="789"/>
      <c r="EP556" s="789"/>
      <c r="EQ556" s="789"/>
      <c r="ER556" s="789"/>
      <c r="ES556" s="789"/>
      <c r="ET556" s="789"/>
      <c r="EU556" s="789"/>
      <c r="EV556" s="789"/>
      <c r="EW556" s="789"/>
      <c r="EX556" s="789"/>
      <c r="EY556" s="789"/>
      <c r="EZ556" s="789"/>
      <c r="FA556" s="789"/>
      <c r="FB556" s="789"/>
      <c r="FC556" s="789"/>
      <c r="FD556" s="789"/>
      <c r="FE556" s="789"/>
      <c r="FF556" s="789"/>
      <c r="FG556" s="789"/>
      <c r="FH556" s="789"/>
      <c r="FI556" s="789"/>
      <c r="FJ556" s="789"/>
      <c r="FK556" s="789"/>
      <c r="FL556" s="789"/>
      <c r="FM556" s="789"/>
      <c r="FN556" s="789"/>
      <c r="FO556" s="789"/>
      <c r="FP556" s="789"/>
      <c r="FQ556" s="789"/>
      <c r="FR556" s="789"/>
      <c r="FS556" s="789"/>
      <c r="FT556" s="789"/>
      <c r="FU556" s="789"/>
      <c r="FV556" s="789"/>
      <c r="FW556" s="789"/>
      <c r="FX556" s="789"/>
      <c r="FY556" s="789"/>
      <c r="FZ556" s="789"/>
      <c r="GA556" s="789"/>
      <c r="GB556" s="789"/>
      <c r="GC556" s="789"/>
      <c r="GD556" s="789"/>
      <c r="GE556" s="789"/>
      <c r="GF556" s="789"/>
      <c r="GG556" s="789"/>
      <c r="GH556" s="789"/>
      <c r="GI556" s="789"/>
      <c r="GJ556" s="789"/>
      <c r="GK556" s="789"/>
      <c r="GL556" s="789"/>
      <c r="GM556" s="789"/>
      <c r="GN556" s="789"/>
      <c r="GO556" s="789"/>
      <c r="GP556" s="789"/>
      <c r="GQ556" s="789"/>
      <c r="GR556" s="789"/>
      <c r="GS556" s="789"/>
      <c r="GT556" s="789"/>
      <c r="GU556" s="789"/>
      <c r="GV556" s="789"/>
      <c r="GW556" s="789"/>
      <c r="GX556" s="789"/>
      <c r="GY556" s="789"/>
      <c r="GZ556" s="789"/>
      <c r="HA556" s="789"/>
      <c r="HB556" s="789"/>
      <c r="HC556" s="789"/>
      <c r="HD556" s="789"/>
      <c r="HE556" s="789"/>
      <c r="HF556" s="789"/>
      <c r="HG556" s="789"/>
      <c r="HH556" s="789"/>
      <c r="HI556" s="789"/>
      <c r="HJ556" s="789"/>
    </row>
    <row r="557" spans="1:218" s="789" customFormat="1" ht="18.75" customHeight="1">
      <c r="A557" s="794">
        <v>555</v>
      </c>
      <c r="B557" s="836" t="s">
        <v>607</v>
      </c>
      <c r="C557" s="836" t="s">
        <v>1299</v>
      </c>
      <c r="D557" s="840">
        <v>38930</v>
      </c>
      <c r="E557" s="840">
        <v>39326</v>
      </c>
      <c r="F557" s="857">
        <v>2006</v>
      </c>
      <c r="G557" s="836" t="s">
        <v>5</v>
      </c>
      <c r="H557" s="841" t="s">
        <v>1451</v>
      </c>
      <c r="I557" s="836" t="s">
        <v>816</v>
      </c>
      <c r="J557" s="812" t="s">
        <v>2438</v>
      </c>
      <c r="K557" s="817">
        <v>45000</v>
      </c>
      <c r="L557" s="817">
        <v>3578292</v>
      </c>
      <c r="M557" s="817">
        <v>2457549</v>
      </c>
      <c r="N557" s="817">
        <v>2457549</v>
      </c>
      <c r="O557" s="808">
        <f t="shared" si="35"/>
        <v>54.612200000000001</v>
      </c>
      <c r="P557" s="817">
        <v>72</v>
      </c>
      <c r="Q557" s="817">
        <f>56*400</f>
        <v>22400</v>
      </c>
      <c r="R557" s="817">
        <f>1500*5</f>
        <v>7500</v>
      </c>
      <c r="S557" s="817">
        <v>22400</v>
      </c>
      <c r="T557" s="817" t="s">
        <v>2</v>
      </c>
      <c r="U557" s="817">
        <v>119</v>
      </c>
      <c r="V557" s="817">
        <v>42250</v>
      </c>
      <c r="W557" s="817">
        <v>899258</v>
      </c>
      <c r="X557" s="817">
        <v>57929</v>
      </c>
      <c r="Y557" s="808">
        <f>X557/S557</f>
        <v>2.5861160714285716</v>
      </c>
      <c r="Z557" s="817" t="s">
        <v>75</v>
      </c>
      <c r="AA557" s="817">
        <v>42500</v>
      </c>
      <c r="AB557" s="817" t="s">
        <v>75</v>
      </c>
      <c r="AC557" s="817" t="s">
        <v>75</v>
      </c>
      <c r="AD557" s="817" t="s">
        <v>75</v>
      </c>
      <c r="AE557" s="817">
        <v>16900</v>
      </c>
      <c r="AF557" s="817" t="s">
        <v>75</v>
      </c>
      <c r="AG557" s="817" t="s">
        <v>75</v>
      </c>
      <c r="AH557" s="817" t="s">
        <v>75</v>
      </c>
      <c r="AI557" s="817" t="s">
        <v>75</v>
      </c>
      <c r="AJ557" s="808">
        <f t="shared" si="34"/>
        <v>42500</v>
      </c>
      <c r="AK557" s="817">
        <v>135823</v>
      </c>
      <c r="AL557" s="817">
        <v>135823</v>
      </c>
      <c r="AM557" s="817"/>
      <c r="AN557" s="817" t="s">
        <v>75</v>
      </c>
      <c r="AO557" s="817" t="s">
        <v>75</v>
      </c>
      <c r="AP557" s="817" t="s">
        <v>75</v>
      </c>
      <c r="AQ557" s="817" t="s">
        <v>75</v>
      </c>
      <c r="AR557" s="817" t="s">
        <v>75</v>
      </c>
      <c r="AS557" s="817" t="s">
        <v>2</v>
      </c>
      <c r="AT557" s="817" t="s">
        <v>75</v>
      </c>
      <c r="AU557" s="363" t="s">
        <v>815</v>
      </c>
      <c r="AV557" s="845"/>
      <c r="AW557" s="845"/>
      <c r="AX557" s="845"/>
      <c r="AY557" s="845"/>
      <c r="AZ557" s="845"/>
      <c r="BA557" s="845"/>
      <c r="BB557" s="845"/>
      <c r="BC557" s="845"/>
      <c r="BD557" s="845"/>
      <c r="BE557" s="845"/>
      <c r="BF557" s="845"/>
      <c r="BG557" s="845"/>
      <c r="BH557" s="845"/>
      <c r="BI557" s="845"/>
      <c r="BJ557" s="845"/>
      <c r="BK557" s="845"/>
      <c r="BL557" s="845"/>
      <c r="BM557" s="845"/>
    </row>
    <row r="558" spans="1:218" s="789" customFormat="1" ht="18.75" customHeight="1">
      <c r="A558" s="794">
        <v>556</v>
      </c>
      <c r="B558" s="836" t="s">
        <v>607</v>
      </c>
      <c r="C558" s="836" t="s">
        <v>1299</v>
      </c>
      <c r="D558" s="840">
        <v>38930</v>
      </c>
      <c r="E558" s="840">
        <v>39083</v>
      </c>
      <c r="F558" s="857">
        <v>2006</v>
      </c>
      <c r="G558" s="836" t="s">
        <v>806</v>
      </c>
      <c r="H558" s="841" t="s">
        <v>1449</v>
      </c>
      <c r="I558" s="836" t="s">
        <v>805</v>
      </c>
      <c r="J558" s="800" t="s">
        <v>2331</v>
      </c>
      <c r="K558" s="817">
        <v>18520</v>
      </c>
      <c r="L558" s="817">
        <v>56000</v>
      </c>
      <c r="M558" s="817">
        <v>56000</v>
      </c>
      <c r="N558" s="817">
        <v>56000</v>
      </c>
      <c r="O558" s="808">
        <f t="shared" si="35"/>
        <v>3.0237580993520519</v>
      </c>
      <c r="P558" s="817">
        <v>100</v>
      </c>
      <c r="Q558" s="817">
        <v>18520</v>
      </c>
      <c r="R558" s="817"/>
      <c r="S558" s="817">
        <v>18520</v>
      </c>
      <c r="T558" s="817" t="s">
        <v>849</v>
      </c>
      <c r="U558" s="817" t="s">
        <v>75</v>
      </c>
      <c r="V558" s="817">
        <v>18520</v>
      </c>
      <c r="W558" s="817" t="s">
        <v>75</v>
      </c>
      <c r="X558" s="817" t="s">
        <v>75</v>
      </c>
      <c r="Y558" s="808"/>
      <c r="Z558" s="817" t="s">
        <v>75</v>
      </c>
      <c r="AA558" s="817" t="s">
        <v>75</v>
      </c>
      <c r="AB558" s="817" t="s">
        <v>75</v>
      </c>
      <c r="AC558" s="817" t="s">
        <v>75</v>
      </c>
      <c r="AD558" s="817" t="s">
        <v>75</v>
      </c>
      <c r="AE558" s="817" t="s">
        <v>75</v>
      </c>
      <c r="AF558" s="817" t="s">
        <v>75</v>
      </c>
      <c r="AG558" s="817" t="s">
        <v>75</v>
      </c>
      <c r="AH558" s="817" t="s">
        <v>75</v>
      </c>
      <c r="AI558" s="817" t="s">
        <v>75</v>
      </c>
      <c r="AJ558" s="808">
        <f t="shared" si="34"/>
        <v>0</v>
      </c>
      <c r="AK558" s="817">
        <v>11533</v>
      </c>
      <c r="AL558" s="817">
        <v>11533</v>
      </c>
      <c r="AM558" s="817"/>
      <c r="AN558" s="817" t="s">
        <v>75</v>
      </c>
      <c r="AO558" s="817" t="s">
        <v>75</v>
      </c>
      <c r="AP558" s="817" t="s">
        <v>75</v>
      </c>
      <c r="AQ558" s="817" t="s">
        <v>75</v>
      </c>
      <c r="AR558" s="817" t="s">
        <v>75</v>
      </c>
      <c r="AS558" s="817" t="s">
        <v>75</v>
      </c>
      <c r="AT558" s="817" t="s">
        <v>75</v>
      </c>
      <c r="AU558" s="356" t="s">
        <v>804</v>
      </c>
      <c r="AV558" s="845"/>
      <c r="AW558" s="845"/>
      <c r="AX558" s="845"/>
      <c r="AY558" s="845"/>
      <c r="AZ558" s="845"/>
      <c r="BA558" s="845"/>
      <c r="BB558" s="845"/>
      <c r="BC558" s="845"/>
      <c r="BD558" s="845"/>
      <c r="BE558" s="845"/>
      <c r="BF558" s="845"/>
      <c r="BG558" s="845"/>
      <c r="BH558" s="845"/>
      <c r="BI558" s="845"/>
      <c r="BJ558" s="845"/>
      <c r="BK558" s="845"/>
      <c r="BL558" s="845"/>
      <c r="BM558" s="845"/>
    </row>
    <row r="559" spans="1:218" s="789" customFormat="1" ht="18.75" customHeight="1">
      <c r="A559" s="794">
        <v>557</v>
      </c>
      <c r="B559" s="859" t="s">
        <v>607</v>
      </c>
      <c r="C559" s="854" t="s">
        <v>1299</v>
      </c>
      <c r="D559" s="860">
        <v>38718</v>
      </c>
      <c r="E559" s="860">
        <v>39417</v>
      </c>
      <c r="F559" s="857">
        <v>2006</v>
      </c>
      <c r="G559" s="859" t="s">
        <v>79</v>
      </c>
      <c r="H559" s="800" t="s">
        <v>1451</v>
      </c>
      <c r="I559" s="854" t="s">
        <v>2040</v>
      </c>
      <c r="J559" s="812" t="s">
        <v>2438</v>
      </c>
      <c r="K559" s="856">
        <v>36341</v>
      </c>
      <c r="L559" s="856">
        <v>1877033</v>
      </c>
      <c r="M559" s="856">
        <v>1216102</v>
      </c>
      <c r="N559" s="856">
        <v>1216102</v>
      </c>
      <c r="O559" s="808">
        <f t="shared" si="35"/>
        <v>33.463636113480639</v>
      </c>
      <c r="P559" s="856">
        <v>65</v>
      </c>
      <c r="Q559" s="856">
        <v>25000</v>
      </c>
      <c r="R559" s="856">
        <f>470*20</f>
        <v>9400</v>
      </c>
      <c r="S559" s="856">
        <v>25000</v>
      </c>
      <c r="T559" s="855" t="s">
        <v>94</v>
      </c>
      <c r="U559" s="855">
        <v>465</v>
      </c>
      <c r="V559" s="855">
        <v>72000</v>
      </c>
      <c r="W559" s="856">
        <v>680222</v>
      </c>
      <c r="X559" s="856">
        <v>25291</v>
      </c>
      <c r="Y559" s="808">
        <f>X559/S559</f>
        <v>1.0116400000000001</v>
      </c>
      <c r="Z559" s="856"/>
      <c r="AA559" s="856">
        <v>72000</v>
      </c>
      <c r="AB559" s="856"/>
      <c r="AC559" s="856" t="s">
        <v>94</v>
      </c>
      <c r="AD559" s="856"/>
      <c r="AE559" s="856">
        <v>18300</v>
      </c>
      <c r="AF559" s="856"/>
      <c r="AG559" s="856"/>
      <c r="AH559" s="856"/>
      <c r="AI559" s="856"/>
      <c r="AJ559" s="808">
        <f t="shared" si="34"/>
        <v>72000</v>
      </c>
      <c r="AK559" s="856">
        <v>164977</v>
      </c>
      <c r="AL559" s="856">
        <f>AK559*0.65</f>
        <v>107235.05</v>
      </c>
      <c r="AM559" s="855"/>
      <c r="AN559" s="855"/>
      <c r="AO559" s="855"/>
      <c r="AP559" s="855"/>
      <c r="AQ559" s="855"/>
      <c r="AR559" s="855"/>
      <c r="AS559" s="855"/>
      <c r="AT559" s="855"/>
      <c r="AU559" s="406" t="s">
        <v>2041</v>
      </c>
      <c r="AV559" s="854"/>
      <c r="AW559" s="854"/>
      <c r="AX559" s="854"/>
      <c r="AY559" s="854"/>
      <c r="AZ559" s="854"/>
      <c r="BA559" s="854"/>
      <c r="BB559" s="854"/>
      <c r="BC559" s="854"/>
      <c r="BD559" s="854"/>
      <c r="BE559" s="854"/>
      <c r="BF559" s="854"/>
      <c r="BG559" s="854"/>
      <c r="BH559" s="854"/>
      <c r="BI559" s="854"/>
      <c r="BJ559" s="854"/>
      <c r="BK559" s="854"/>
      <c r="BL559" s="854"/>
      <c r="BM559" s="854"/>
    </row>
    <row r="560" spans="1:218" s="802" customFormat="1" ht="18.75" customHeight="1">
      <c r="A560" s="794">
        <v>558</v>
      </c>
      <c r="B560" s="812" t="s">
        <v>27</v>
      </c>
      <c r="C560" s="785" t="s">
        <v>1299</v>
      </c>
      <c r="D560" s="792">
        <v>38961</v>
      </c>
      <c r="E560" s="792">
        <v>39356</v>
      </c>
      <c r="F560" s="857">
        <v>2006</v>
      </c>
      <c r="G560" s="874" t="s">
        <v>512</v>
      </c>
      <c r="H560" s="837" t="s">
        <v>1452</v>
      </c>
      <c r="I560" s="812" t="s">
        <v>592</v>
      </c>
      <c r="J560" s="800" t="s">
        <v>2331</v>
      </c>
      <c r="K560" s="842">
        <v>5600</v>
      </c>
      <c r="L560" s="842">
        <v>45001</v>
      </c>
      <c r="M560" s="842">
        <v>44751</v>
      </c>
      <c r="N560" s="842">
        <v>44751</v>
      </c>
      <c r="O560" s="808">
        <f t="shared" si="35"/>
        <v>7.99125</v>
      </c>
      <c r="P560" s="842">
        <v>99</v>
      </c>
      <c r="Q560" s="842" t="s">
        <v>75</v>
      </c>
      <c r="R560" s="842" t="s">
        <v>75</v>
      </c>
      <c r="S560" s="842">
        <v>5600</v>
      </c>
      <c r="T560" s="842" t="s">
        <v>95</v>
      </c>
      <c r="U560" s="842">
        <v>120</v>
      </c>
      <c r="V560" s="842">
        <v>5600</v>
      </c>
      <c r="W560" s="842" t="s">
        <v>75</v>
      </c>
      <c r="X560" s="842" t="s">
        <v>75</v>
      </c>
      <c r="Y560" s="808"/>
      <c r="Z560" s="842" t="s">
        <v>75</v>
      </c>
      <c r="AA560" s="842" t="s">
        <v>75</v>
      </c>
      <c r="AB560" s="842" t="s">
        <v>75</v>
      </c>
      <c r="AC560" s="842" t="s">
        <v>75</v>
      </c>
      <c r="AD560" s="842" t="s">
        <v>75</v>
      </c>
      <c r="AE560" s="842">
        <v>552</v>
      </c>
      <c r="AF560" s="842" t="s">
        <v>75</v>
      </c>
      <c r="AG560" s="842" t="s">
        <v>75</v>
      </c>
      <c r="AH560" s="842" t="s">
        <v>75</v>
      </c>
      <c r="AI560" s="842" t="s">
        <v>75</v>
      </c>
      <c r="AJ560" s="787">
        <f t="shared" si="34"/>
        <v>0</v>
      </c>
      <c r="AK560" s="842" t="s">
        <v>75</v>
      </c>
      <c r="AL560" s="842" t="s">
        <v>75</v>
      </c>
      <c r="AM560" s="842"/>
      <c r="AN560" s="842" t="s">
        <v>75</v>
      </c>
      <c r="AO560" s="842" t="s">
        <v>75</v>
      </c>
      <c r="AP560" s="842" t="s">
        <v>75</v>
      </c>
      <c r="AQ560" s="842" t="s">
        <v>75</v>
      </c>
      <c r="AR560" s="842" t="s">
        <v>75</v>
      </c>
      <c r="AS560" s="842" t="s">
        <v>75</v>
      </c>
      <c r="AT560" s="842" t="s">
        <v>75</v>
      </c>
      <c r="AU560" s="276" t="s">
        <v>591</v>
      </c>
      <c r="AV560" s="853"/>
      <c r="AW560" s="853"/>
      <c r="AX560" s="853"/>
      <c r="AY560" s="853"/>
      <c r="AZ560" s="853"/>
      <c r="BA560" s="853"/>
      <c r="BB560" s="853"/>
      <c r="BC560" s="853"/>
      <c r="BD560" s="853"/>
      <c r="BE560" s="853"/>
      <c r="BF560" s="853"/>
      <c r="BG560" s="853"/>
      <c r="BH560" s="853"/>
      <c r="BI560" s="853"/>
      <c r="BJ560" s="853"/>
      <c r="BK560" s="853"/>
      <c r="BL560" s="853"/>
      <c r="BM560" s="853"/>
      <c r="BN560" s="789"/>
      <c r="BO560" s="789"/>
      <c r="BP560" s="789"/>
      <c r="BQ560" s="789"/>
      <c r="BR560" s="789"/>
      <c r="BS560" s="789"/>
      <c r="BT560" s="789"/>
      <c r="BU560" s="789"/>
      <c r="BV560" s="789"/>
      <c r="BW560" s="789"/>
      <c r="BX560" s="789"/>
      <c r="BY560" s="789"/>
      <c r="BZ560" s="789"/>
      <c r="CA560" s="789"/>
      <c r="CB560" s="789"/>
      <c r="CC560" s="789"/>
      <c r="CD560" s="789"/>
      <c r="CE560" s="789"/>
      <c r="CF560" s="789"/>
      <c r="CG560" s="789"/>
      <c r="CH560" s="789"/>
      <c r="CI560" s="789"/>
      <c r="CJ560" s="789"/>
      <c r="CK560" s="789"/>
      <c r="CL560" s="789"/>
      <c r="CM560" s="789"/>
      <c r="CN560" s="789"/>
      <c r="CO560" s="789"/>
      <c r="CP560" s="789"/>
      <c r="CQ560" s="789"/>
      <c r="CR560" s="789"/>
      <c r="CS560" s="789"/>
      <c r="CT560" s="789"/>
      <c r="CU560" s="789"/>
      <c r="CV560" s="789"/>
      <c r="CW560" s="789"/>
      <c r="CX560" s="789"/>
      <c r="CY560" s="789"/>
      <c r="CZ560" s="789"/>
      <c r="DA560" s="789"/>
      <c r="DB560" s="789"/>
      <c r="DC560" s="789"/>
      <c r="DD560" s="789"/>
      <c r="DE560" s="789"/>
      <c r="DF560" s="789"/>
      <c r="DG560" s="789"/>
      <c r="DH560" s="789"/>
      <c r="DI560" s="789"/>
      <c r="DJ560" s="789"/>
      <c r="DK560" s="789"/>
      <c r="DL560" s="789"/>
      <c r="DM560" s="789"/>
      <c r="DN560" s="789"/>
      <c r="DO560" s="789"/>
      <c r="DP560" s="789"/>
      <c r="DQ560" s="789"/>
      <c r="DR560" s="789"/>
      <c r="DS560" s="789"/>
      <c r="DT560" s="789"/>
      <c r="DU560" s="789"/>
      <c r="DV560" s="789"/>
      <c r="DW560" s="789"/>
      <c r="DX560" s="789"/>
      <c r="DY560" s="789"/>
      <c r="DZ560" s="789"/>
      <c r="EA560" s="789"/>
      <c r="EB560" s="789"/>
      <c r="EC560" s="789"/>
      <c r="ED560" s="789"/>
      <c r="EE560" s="789"/>
      <c r="EF560" s="789"/>
      <c r="EG560" s="789"/>
      <c r="EH560" s="789"/>
      <c r="EI560" s="789"/>
      <c r="EJ560" s="789"/>
      <c r="EK560" s="789"/>
      <c r="EL560" s="789"/>
      <c r="EM560" s="789"/>
      <c r="EN560" s="789"/>
      <c r="EO560" s="789"/>
      <c r="EP560" s="789"/>
      <c r="EQ560" s="789"/>
      <c r="ER560" s="789"/>
      <c r="ES560" s="789"/>
      <c r="ET560" s="789"/>
      <c r="EU560" s="789"/>
      <c r="EV560" s="789"/>
      <c r="EW560" s="789"/>
      <c r="EX560" s="789"/>
      <c r="EY560" s="789"/>
      <c r="EZ560" s="789"/>
      <c r="FA560" s="789"/>
      <c r="FB560" s="789"/>
      <c r="FC560" s="789"/>
      <c r="FD560" s="789"/>
      <c r="FE560" s="789"/>
      <c r="FF560" s="789"/>
      <c r="FG560" s="789"/>
      <c r="FH560" s="789"/>
      <c r="FI560" s="789"/>
      <c r="FJ560" s="789"/>
      <c r="FK560" s="789"/>
      <c r="FL560" s="789"/>
      <c r="FM560" s="789"/>
      <c r="FN560" s="789"/>
      <c r="FO560" s="789"/>
      <c r="FP560" s="789"/>
      <c r="FQ560" s="789"/>
      <c r="FR560" s="789"/>
      <c r="FS560" s="789"/>
      <c r="FT560" s="789"/>
      <c r="FU560" s="789"/>
      <c r="FV560" s="789"/>
      <c r="FW560" s="789"/>
      <c r="FX560" s="789"/>
      <c r="FY560" s="789"/>
      <c r="FZ560" s="789"/>
      <c r="GA560" s="789"/>
      <c r="GB560" s="789"/>
      <c r="GC560" s="789"/>
      <c r="GD560" s="789"/>
      <c r="GE560" s="789"/>
      <c r="GF560" s="789"/>
      <c r="GG560" s="789"/>
      <c r="GH560" s="789"/>
      <c r="GI560" s="789"/>
      <c r="GJ560" s="789"/>
      <c r="GK560" s="789"/>
      <c r="GL560" s="789"/>
      <c r="GM560" s="789"/>
      <c r="GN560" s="789"/>
      <c r="GO560" s="789"/>
      <c r="GP560" s="789"/>
      <c r="GQ560" s="789"/>
      <c r="GR560" s="789"/>
      <c r="GS560" s="789"/>
      <c r="GT560" s="789"/>
      <c r="GU560" s="789"/>
      <c r="GV560" s="789"/>
      <c r="GW560" s="789"/>
      <c r="GX560" s="789"/>
      <c r="GY560" s="789"/>
      <c r="GZ560" s="789"/>
      <c r="HA560" s="789"/>
      <c r="HB560" s="789"/>
      <c r="HC560" s="789"/>
      <c r="HD560" s="789"/>
      <c r="HE560" s="789"/>
      <c r="HF560" s="789"/>
      <c r="HG560" s="789"/>
      <c r="HH560" s="789"/>
      <c r="HI560" s="789"/>
      <c r="HJ560" s="789"/>
    </row>
    <row r="561" spans="1:218" s="802" customFormat="1" ht="18.75" customHeight="1">
      <c r="A561" s="794">
        <v>559</v>
      </c>
      <c r="B561" s="836" t="s">
        <v>27</v>
      </c>
      <c r="C561" s="836" t="s">
        <v>1299</v>
      </c>
      <c r="D561" s="840">
        <v>39022</v>
      </c>
      <c r="E561" s="840">
        <v>39356</v>
      </c>
      <c r="F561" s="857">
        <v>2006</v>
      </c>
      <c r="G561" s="836" t="s">
        <v>781</v>
      </c>
      <c r="H561" s="837" t="s">
        <v>1464</v>
      </c>
      <c r="I561" s="836" t="s">
        <v>780</v>
      </c>
      <c r="J561" s="800" t="s">
        <v>2331</v>
      </c>
      <c r="K561" s="817">
        <v>2000</v>
      </c>
      <c r="L561" s="817">
        <v>20325</v>
      </c>
      <c r="M561" s="817">
        <v>20189</v>
      </c>
      <c r="N561" s="817">
        <v>20189</v>
      </c>
      <c r="O561" s="808">
        <f t="shared" si="35"/>
        <v>10.0945</v>
      </c>
      <c r="P561" s="817">
        <v>99</v>
      </c>
      <c r="Q561" s="817" t="s">
        <v>75</v>
      </c>
      <c r="R561" s="817" t="s">
        <v>75</v>
      </c>
      <c r="S561" s="817" t="s">
        <v>75</v>
      </c>
      <c r="T561" s="817" t="s">
        <v>849</v>
      </c>
      <c r="U561" s="817" t="s">
        <v>75</v>
      </c>
      <c r="V561" s="817" t="s">
        <v>75</v>
      </c>
      <c r="W561" s="817" t="s">
        <v>75</v>
      </c>
      <c r="X561" s="817" t="s">
        <v>75</v>
      </c>
      <c r="Y561" s="817"/>
      <c r="Z561" s="817" t="s">
        <v>75</v>
      </c>
      <c r="AA561" s="817" t="s">
        <v>75</v>
      </c>
      <c r="AB561" s="817">
        <v>45</v>
      </c>
      <c r="AC561" s="817" t="s">
        <v>75</v>
      </c>
      <c r="AD561" s="817" t="s">
        <v>75</v>
      </c>
      <c r="AE561" s="817" t="s">
        <v>75</v>
      </c>
      <c r="AF561" s="817" t="s">
        <v>75</v>
      </c>
      <c r="AG561" s="817" t="s">
        <v>75</v>
      </c>
      <c r="AH561" s="817" t="s">
        <v>75</v>
      </c>
      <c r="AI561" s="817" t="s">
        <v>75</v>
      </c>
      <c r="AJ561" s="787">
        <f t="shared" si="34"/>
        <v>0</v>
      </c>
      <c r="AK561" s="817">
        <v>10488</v>
      </c>
      <c r="AL561" s="817">
        <v>10383.120000000001</v>
      </c>
      <c r="AM561" s="817"/>
      <c r="AN561" s="817" t="s">
        <v>75</v>
      </c>
      <c r="AO561" s="817" t="s">
        <v>75</v>
      </c>
      <c r="AP561" s="817" t="s">
        <v>75</v>
      </c>
      <c r="AQ561" s="817" t="s">
        <v>75</v>
      </c>
      <c r="AR561" s="817" t="s">
        <v>75</v>
      </c>
      <c r="AS561" s="817" t="s">
        <v>75</v>
      </c>
      <c r="AT561" s="817" t="s">
        <v>75</v>
      </c>
      <c r="AU561" s="356" t="s">
        <v>779</v>
      </c>
      <c r="AV561" s="845"/>
      <c r="AW561" s="845"/>
      <c r="AX561" s="845"/>
      <c r="AY561" s="845"/>
      <c r="AZ561" s="845"/>
      <c r="BA561" s="845"/>
      <c r="BB561" s="845"/>
      <c r="BC561" s="845"/>
      <c r="BD561" s="845"/>
      <c r="BE561" s="845"/>
      <c r="BF561" s="845"/>
      <c r="BG561" s="845"/>
      <c r="BH561" s="845"/>
      <c r="BI561" s="845"/>
      <c r="BJ561" s="845"/>
      <c r="BK561" s="845"/>
      <c r="BL561" s="845"/>
      <c r="BM561" s="845"/>
      <c r="BN561" s="789"/>
      <c r="BO561" s="789"/>
      <c r="BP561" s="789"/>
      <c r="BQ561" s="789"/>
      <c r="BR561" s="789"/>
      <c r="BS561" s="789"/>
      <c r="BT561" s="789"/>
      <c r="BU561" s="789"/>
      <c r="BV561" s="789"/>
      <c r="BW561" s="789"/>
      <c r="BX561" s="789"/>
      <c r="BY561" s="789"/>
      <c r="BZ561" s="789"/>
      <c r="CA561" s="789"/>
      <c r="CB561" s="789"/>
      <c r="CC561" s="789"/>
      <c r="CD561" s="789"/>
      <c r="CE561" s="789"/>
      <c r="CF561" s="789"/>
      <c r="CG561" s="789"/>
      <c r="CH561" s="789"/>
      <c r="CI561" s="789"/>
      <c r="CJ561" s="789"/>
      <c r="CK561" s="789"/>
      <c r="CL561" s="789"/>
      <c r="CM561" s="789"/>
      <c r="CN561" s="789"/>
      <c r="CO561" s="789"/>
      <c r="CP561" s="789"/>
      <c r="CQ561" s="789"/>
      <c r="CR561" s="789"/>
      <c r="CS561" s="789"/>
      <c r="CT561" s="789"/>
      <c r="CU561" s="789"/>
      <c r="CV561" s="789"/>
      <c r="CW561" s="789"/>
      <c r="CX561" s="789"/>
      <c r="CY561" s="789"/>
      <c r="CZ561" s="789"/>
      <c r="DA561" s="789"/>
      <c r="DB561" s="789"/>
      <c r="DC561" s="789"/>
      <c r="DD561" s="789"/>
      <c r="DE561" s="789"/>
      <c r="DF561" s="789"/>
      <c r="DG561" s="789"/>
      <c r="DH561" s="789"/>
      <c r="DI561" s="789"/>
      <c r="DJ561" s="789"/>
      <c r="DK561" s="789"/>
      <c r="DL561" s="789"/>
      <c r="DM561" s="789"/>
      <c r="DN561" s="789"/>
      <c r="DO561" s="789"/>
      <c r="DP561" s="789"/>
      <c r="DQ561" s="789"/>
      <c r="DR561" s="789"/>
      <c r="DS561" s="789"/>
      <c r="DT561" s="789"/>
      <c r="DU561" s="789"/>
      <c r="DV561" s="789"/>
      <c r="DW561" s="789"/>
      <c r="DX561" s="789"/>
      <c r="DY561" s="789"/>
      <c r="DZ561" s="789"/>
      <c r="EA561" s="789"/>
      <c r="EB561" s="789"/>
      <c r="EC561" s="789"/>
      <c r="ED561" s="789"/>
      <c r="EE561" s="789"/>
      <c r="EF561" s="789"/>
      <c r="EG561" s="789"/>
      <c r="EH561" s="789"/>
      <c r="EI561" s="789"/>
      <c r="EJ561" s="789"/>
      <c r="EK561" s="789"/>
      <c r="EL561" s="789"/>
      <c r="EM561" s="789"/>
      <c r="EN561" s="789"/>
      <c r="EO561" s="789"/>
      <c r="EP561" s="789"/>
      <c r="EQ561" s="789"/>
      <c r="ER561" s="789"/>
      <c r="ES561" s="789"/>
      <c r="ET561" s="789"/>
      <c r="EU561" s="789"/>
      <c r="EV561" s="789"/>
      <c r="EW561" s="789"/>
      <c r="EX561" s="789"/>
      <c r="EY561" s="789"/>
      <c r="EZ561" s="789"/>
      <c r="FA561" s="789"/>
      <c r="FB561" s="789"/>
      <c r="FC561" s="789"/>
      <c r="FD561" s="789"/>
      <c r="FE561" s="789"/>
      <c r="FF561" s="789"/>
      <c r="FG561" s="789"/>
      <c r="FH561" s="789"/>
      <c r="FI561" s="789"/>
      <c r="FJ561" s="789"/>
      <c r="FK561" s="789"/>
      <c r="FL561" s="789"/>
      <c r="FM561" s="789"/>
      <c r="FN561" s="789"/>
      <c r="FO561" s="789"/>
      <c r="FP561" s="789"/>
      <c r="FQ561" s="789"/>
      <c r="FR561" s="789"/>
      <c r="FS561" s="789"/>
      <c r="FT561" s="789"/>
      <c r="FU561" s="789"/>
      <c r="FV561" s="789"/>
      <c r="FW561" s="789"/>
      <c r="FX561" s="789"/>
      <c r="FY561" s="789"/>
      <c r="FZ561" s="789"/>
      <c r="GA561" s="789"/>
      <c r="GB561" s="789"/>
      <c r="GC561" s="789"/>
      <c r="GD561" s="789"/>
      <c r="GE561" s="789"/>
      <c r="GF561" s="789"/>
      <c r="GG561" s="789"/>
      <c r="GH561" s="789"/>
      <c r="GI561" s="789"/>
      <c r="GJ561" s="789"/>
      <c r="GK561" s="789"/>
      <c r="GL561" s="789"/>
      <c r="GM561" s="789"/>
      <c r="GN561" s="789"/>
      <c r="GO561" s="789"/>
      <c r="GP561" s="789"/>
      <c r="GQ561" s="789"/>
      <c r="GR561" s="789"/>
      <c r="GS561" s="789"/>
      <c r="GT561" s="789"/>
      <c r="GU561" s="789"/>
      <c r="GV561" s="789"/>
      <c r="GW561" s="789"/>
      <c r="GX561" s="789"/>
      <c r="GY561" s="789"/>
      <c r="GZ561" s="789"/>
      <c r="HA561" s="789"/>
      <c r="HB561" s="789"/>
      <c r="HC561" s="789"/>
      <c r="HD561" s="789"/>
      <c r="HE561" s="789"/>
      <c r="HF561" s="789"/>
      <c r="HG561" s="789"/>
      <c r="HH561" s="789"/>
      <c r="HI561" s="789"/>
      <c r="HJ561" s="789"/>
    </row>
    <row r="562" spans="1:218" s="802" customFormat="1" ht="18.75" customHeight="1">
      <c r="A562" s="794">
        <v>560</v>
      </c>
      <c r="B562" s="804" t="s">
        <v>167</v>
      </c>
      <c r="C562" s="804" t="s">
        <v>1299</v>
      </c>
      <c r="D562" s="805">
        <v>38869</v>
      </c>
      <c r="E562" s="805">
        <v>38899</v>
      </c>
      <c r="F562" s="857">
        <v>2006</v>
      </c>
      <c r="G562" s="804" t="s">
        <v>168</v>
      </c>
      <c r="H562" s="837" t="s">
        <v>1449</v>
      </c>
      <c r="I562" s="836" t="s">
        <v>166</v>
      </c>
      <c r="J562" s="800" t="s">
        <v>2331</v>
      </c>
      <c r="K562" s="817">
        <v>110085</v>
      </c>
      <c r="L562" s="839">
        <v>20000</v>
      </c>
      <c r="M562" s="839">
        <v>18562</v>
      </c>
      <c r="N562" s="817">
        <v>18562</v>
      </c>
      <c r="O562" s="808">
        <f t="shared" si="35"/>
        <v>0.16861516101194532</v>
      </c>
      <c r="P562" s="817">
        <v>92.81</v>
      </c>
      <c r="Q562" s="839"/>
      <c r="R562" s="839"/>
      <c r="S562" s="817"/>
      <c r="T562" s="817" t="s">
        <v>233</v>
      </c>
      <c r="U562" s="839" t="s">
        <v>75</v>
      </c>
      <c r="V562" s="817">
        <v>110085</v>
      </c>
      <c r="W562" s="817">
        <v>0</v>
      </c>
      <c r="X562" s="817">
        <v>332</v>
      </c>
      <c r="Y562" s="817"/>
      <c r="Z562" s="817"/>
      <c r="AA562" s="817">
        <v>110085</v>
      </c>
      <c r="AB562" s="839">
        <v>135</v>
      </c>
      <c r="AC562" s="817"/>
      <c r="AD562" s="848"/>
      <c r="AE562" s="839"/>
      <c r="AF562" s="839" t="s">
        <v>75</v>
      </c>
      <c r="AG562" s="839" t="s">
        <v>75</v>
      </c>
      <c r="AH562" s="817"/>
      <c r="AI562" s="839"/>
      <c r="AJ562" s="787">
        <f t="shared" si="34"/>
        <v>110085</v>
      </c>
      <c r="AK562" s="817">
        <v>420</v>
      </c>
      <c r="AL562" s="817">
        <v>130</v>
      </c>
      <c r="AM562" s="839"/>
      <c r="AN562" s="817" t="s">
        <v>75</v>
      </c>
      <c r="AO562" s="817" t="s">
        <v>75</v>
      </c>
      <c r="AP562" s="817" t="s">
        <v>75</v>
      </c>
      <c r="AQ562" s="817" t="s">
        <v>75</v>
      </c>
      <c r="AR562" s="817" t="s">
        <v>75</v>
      </c>
      <c r="AS562" s="817" t="s">
        <v>75</v>
      </c>
      <c r="AT562" s="817" t="s">
        <v>75</v>
      </c>
      <c r="AU562" s="404" t="s">
        <v>169</v>
      </c>
      <c r="BM562" s="789"/>
      <c r="BN562" s="789"/>
      <c r="BO562" s="789"/>
      <c r="BP562" s="789"/>
      <c r="BQ562" s="789"/>
      <c r="BR562" s="789"/>
      <c r="BS562" s="789"/>
      <c r="BT562" s="789"/>
      <c r="BU562" s="789"/>
      <c r="BV562" s="789"/>
      <c r="BW562" s="789"/>
      <c r="BX562" s="789"/>
      <c r="BY562" s="789"/>
      <c r="BZ562" s="789"/>
      <c r="CA562" s="789"/>
      <c r="CB562" s="789"/>
      <c r="CC562" s="789"/>
      <c r="CD562" s="789"/>
      <c r="CE562" s="789"/>
      <c r="CF562" s="789"/>
      <c r="CG562" s="789"/>
      <c r="CH562" s="789"/>
      <c r="CI562" s="789"/>
      <c r="CJ562" s="789"/>
      <c r="CK562" s="789"/>
      <c r="CL562" s="789"/>
      <c r="CM562" s="789"/>
      <c r="CN562" s="789"/>
      <c r="CO562" s="789"/>
      <c r="CP562" s="789"/>
      <c r="CQ562" s="789"/>
      <c r="CR562" s="789"/>
      <c r="CS562" s="789"/>
      <c r="CT562" s="789"/>
      <c r="CU562" s="789"/>
      <c r="CV562" s="789"/>
      <c r="CW562" s="789"/>
      <c r="CX562" s="789"/>
      <c r="CY562" s="789"/>
      <c r="CZ562" s="789"/>
      <c r="DA562" s="789"/>
      <c r="DB562" s="789"/>
      <c r="DC562" s="789"/>
      <c r="DD562" s="789"/>
      <c r="DE562" s="789"/>
      <c r="DF562" s="789"/>
      <c r="DG562" s="789"/>
      <c r="DH562" s="789"/>
      <c r="DI562" s="789"/>
      <c r="DJ562" s="789"/>
      <c r="DK562" s="789"/>
      <c r="DL562" s="789"/>
      <c r="DM562" s="789"/>
      <c r="DN562" s="789"/>
      <c r="DO562" s="789"/>
      <c r="DP562" s="789"/>
      <c r="DQ562" s="789"/>
      <c r="DR562" s="789"/>
      <c r="DS562" s="789"/>
      <c r="DT562" s="789"/>
      <c r="DU562" s="789"/>
      <c r="DV562" s="789"/>
      <c r="DW562" s="789"/>
      <c r="DX562" s="789"/>
      <c r="DY562" s="789"/>
      <c r="DZ562" s="789"/>
      <c r="EA562" s="789"/>
      <c r="EB562" s="789"/>
      <c r="EC562" s="789"/>
      <c r="ED562" s="789"/>
      <c r="EE562" s="789"/>
      <c r="EF562" s="789"/>
      <c r="EG562" s="789"/>
      <c r="EH562" s="789"/>
      <c r="EI562" s="789"/>
      <c r="EJ562" s="789"/>
      <c r="EK562" s="789"/>
      <c r="EL562" s="789"/>
      <c r="EM562" s="789"/>
      <c r="EN562" s="789"/>
      <c r="EO562" s="789"/>
      <c r="EP562" s="789"/>
      <c r="EQ562" s="789"/>
      <c r="ER562" s="789"/>
      <c r="ES562" s="789"/>
      <c r="ET562" s="789"/>
      <c r="EU562" s="789"/>
      <c r="EV562" s="789"/>
      <c r="EW562" s="789"/>
      <c r="EX562" s="789"/>
      <c r="EY562" s="789"/>
      <c r="EZ562" s="789"/>
      <c r="FA562" s="789"/>
      <c r="FB562" s="789"/>
      <c r="FC562" s="789"/>
      <c r="FD562" s="789"/>
      <c r="FE562" s="789"/>
      <c r="FF562" s="789"/>
      <c r="FG562" s="789"/>
      <c r="FH562" s="789"/>
      <c r="FI562" s="789"/>
      <c r="FJ562" s="789"/>
      <c r="FK562" s="789"/>
      <c r="FL562" s="789"/>
      <c r="FM562" s="789"/>
      <c r="FN562" s="789"/>
      <c r="FO562" s="789"/>
      <c r="FP562" s="789"/>
      <c r="FQ562" s="789"/>
      <c r="FR562" s="789"/>
      <c r="FS562" s="789"/>
      <c r="FT562" s="789"/>
      <c r="FU562" s="789"/>
      <c r="FV562" s="789"/>
      <c r="FW562" s="789"/>
      <c r="FX562" s="789"/>
      <c r="FY562" s="789"/>
      <c r="FZ562" s="789"/>
      <c r="GA562" s="789"/>
      <c r="GB562" s="789"/>
      <c r="GC562" s="789"/>
      <c r="GD562" s="789"/>
      <c r="GE562" s="789"/>
      <c r="GF562" s="789"/>
      <c r="GG562" s="789"/>
      <c r="GH562" s="789"/>
      <c r="GI562" s="789"/>
      <c r="GJ562" s="789"/>
      <c r="GK562" s="789"/>
      <c r="GL562" s="789"/>
      <c r="GM562" s="789"/>
      <c r="GN562" s="789"/>
      <c r="GO562" s="789"/>
      <c r="GP562" s="789"/>
      <c r="GQ562" s="789"/>
      <c r="GR562" s="789"/>
      <c r="GS562" s="789"/>
      <c r="GT562" s="789"/>
      <c r="GU562" s="789"/>
      <c r="GV562" s="789"/>
      <c r="GW562" s="789"/>
      <c r="GX562" s="789"/>
      <c r="GY562" s="789"/>
      <c r="GZ562" s="789"/>
      <c r="HA562" s="789"/>
      <c r="HB562" s="789"/>
      <c r="HC562" s="789"/>
      <c r="HD562" s="789"/>
      <c r="HE562" s="789"/>
      <c r="HF562" s="789"/>
      <c r="HG562" s="789"/>
      <c r="HH562" s="789"/>
      <c r="HI562" s="789"/>
      <c r="HJ562" s="789"/>
    </row>
    <row r="563" spans="1:218" s="802" customFormat="1" ht="18.75" customHeight="1">
      <c r="A563" s="794">
        <v>561</v>
      </c>
      <c r="B563" s="804" t="s">
        <v>18</v>
      </c>
      <c r="C563" s="802" t="s">
        <v>1286</v>
      </c>
      <c r="D563" s="805">
        <v>39052</v>
      </c>
      <c r="E563" s="805">
        <v>39173</v>
      </c>
      <c r="F563" s="857">
        <v>2006</v>
      </c>
      <c r="G563" s="804" t="s">
        <v>5</v>
      </c>
      <c r="H563" s="837" t="s">
        <v>1451</v>
      </c>
      <c r="I563" s="836" t="s">
        <v>155</v>
      </c>
      <c r="J563" s="812" t="s">
        <v>2438</v>
      </c>
      <c r="K563" s="817">
        <v>11845</v>
      </c>
      <c r="L563" s="839">
        <v>418501</v>
      </c>
      <c r="M563" s="839">
        <v>397680</v>
      </c>
      <c r="N563" s="817">
        <v>395230</v>
      </c>
      <c r="O563" s="808">
        <f t="shared" si="35"/>
        <v>33.366821443647112</v>
      </c>
      <c r="P563" s="839">
        <v>95</v>
      </c>
      <c r="Q563" s="839"/>
      <c r="R563" s="839"/>
      <c r="S563" s="817" t="s">
        <v>2</v>
      </c>
      <c r="T563" s="817" t="s">
        <v>233</v>
      </c>
      <c r="U563" s="839">
        <v>100</v>
      </c>
      <c r="V563" s="817"/>
      <c r="W563" s="817">
        <v>56000</v>
      </c>
      <c r="X563" s="817">
        <v>22542</v>
      </c>
      <c r="Y563" s="817"/>
      <c r="Z563" s="817"/>
      <c r="AA563" s="817"/>
      <c r="AB563" s="839"/>
      <c r="AC563" s="817"/>
      <c r="AD563" s="817"/>
      <c r="AE563" s="839">
        <v>4738</v>
      </c>
      <c r="AF563" s="839" t="s">
        <v>75</v>
      </c>
      <c r="AG563" s="839" t="s">
        <v>75</v>
      </c>
      <c r="AH563" s="817"/>
      <c r="AI563" s="839"/>
      <c r="AJ563" s="787">
        <f t="shared" si="34"/>
        <v>0</v>
      </c>
      <c r="AK563" s="817" t="s">
        <v>66</v>
      </c>
      <c r="AL563" s="817" t="s">
        <v>66</v>
      </c>
      <c r="AM563" s="839"/>
      <c r="AN563" s="817" t="s">
        <v>75</v>
      </c>
      <c r="AO563" s="817" t="s">
        <v>75</v>
      </c>
      <c r="AP563" s="817" t="s">
        <v>75</v>
      </c>
      <c r="AQ563" s="817" t="s">
        <v>75</v>
      </c>
      <c r="AR563" s="817" t="s">
        <v>75</v>
      </c>
      <c r="AS563" s="817" t="s">
        <v>136</v>
      </c>
      <c r="AT563" s="817"/>
      <c r="AU563" s="404" t="s">
        <v>156</v>
      </c>
      <c r="BM563" s="789"/>
      <c r="BN563" s="789"/>
      <c r="BO563" s="789"/>
      <c r="BP563" s="789"/>
      <c r="BQ563" s="789"/>
      <c r="BR563" s="789"/>
      <c r="BS563" s="789"/>
      <c r="BT563" s="789"/>
      <c r="BU563" s="789"/>
      <c r="BV563" s="789"/>
      <c r="BW563" s="789"/>
      <c r="BX563" s="789"/>
      <c r="BY563" s="789"/>
      <c r="BZ563" s="789"/>
      <c r="CA563" s="789"/>
      <c r="CB563" s="789"/>
      <c r="CC563" s="789"/>
      <c r="CD563" s="789"/>
      <c r="CE563" s="789"/>
      <c r="CF563" s="789"/>
      <c r="CG563" s="789"/>
      <c r="CH563" s="789"/>
      <c r="CI563" s="789"/>
      <c r="CJ563" s="789"/>
      <c r="CK563" s="789"/>
      <c r="CL563" s="789"/>
      <c r="CM563" s="789"/>
      <c r="CN563" s="789"/>
      <c r="CO563" s="789"/>
      <c r="CP563" s="789"/>
      <c r="CQ563" s="789"/>
      <c r="CR563" s="789"/>
      <c r="CS563" s="789"/>
      <c r="CT563" s="789"/>
      <c r="CU563" s="789"/>
      <c r="CV563" s="789"/>
      <c r="CW563" s="789"/>
      <c r="CX563" s="789"/>
      <c r="CY563" s="789"/>
      <c r="CZ563" s="789"/>
      <c r="DA563" s="789"/>
      <c r="DB563" s="789"/>
      <c r="DC563" s="789"/>
      <c r="DD563" s="789"/>
      <c r="DE563" s="789"/>
      <c r="DF563" s="789"/>
      <c r="DG563" s="789"/>
      <c r="DH563" s="789"/>
      <c r="DI563" s="789"/>
      <c r="DJ563" s="789"/>
      <c r="DK563" s="789"/>
      <c r="DL563" s="789"/>
      <c r="DM563" s="789"/>
      <c r="DN563" s="789"/>
      <c r="DO563" s="789"/>
      <c r="DP563" s="789"/>
      <c r="DQ563" s="789"/>
      <c r="DR563" s="789"/>
      <c r="DS563" s="789"/>
      <c r="DT563" s="789"/>
      <c r="DU563" s="789"/>
      <c r="DV563" s="789"/>
      <c r="DW563" s="789"/>
      <c r="DX563" s="789"/>
      <c r="DY563" s="789"/>
      <c r="DZ563" s="789"/>
      <c r="EA563" s="789"/>
      <c r="EB563" s="789"/>
      <c r="EC563" s="789"/>
      <c r="ED563" s="789"/>
      <c r="EE563" s="789"/>
      <c r="EF563" s="789"/>
      <c r="EG563" s="789"/>
      <c r="EH563" s="789"/>
      <c r="EI563" s="789"/>
      <c r="EJ563" s="789"/>
      <c r="EK563" s="789"/>
      <c r="EL563" s="789"/>
      <c r="EM563" s="789"/>
      <c r="EN563" s="789"/>
      <c r="EO563" s="789"/>
      <c r="EP563" s="789"/>
      <c r="EQ563" s="789"/>
      <c r="ER563" s="789"/>
      <c r="ES563" s="789"/>
      <c r="ET563" s="789"/>
      <c r="EU563" s="789"/>
      <c r="EV563" s="789"/>
      <c r="EW563" s="789"/>
      <c r="EX563" s="789"/>
      <c r="EY563" s="789"/>
      <c r="EZ563" s="789"/>
      <c r="FA563" s="789"/>
      <c r="FB563" s="789"/>
      <c r="FC563" s="789"/>
      <c r="FD563" s="789"/>
      <c r="FE563" s="789"/>
      <c r="FF563" s="789"/>
      <c r="FG563" s="789"/>
      <c r="FH563" s="789"/>
      <c r="FI563" s="789"/>
      <c r="FJ563" s="789"/>
      <c r="FK563" s="789"/>
      <c r="FL563" s="789"/>
      <c r="FM563" s="789"/>
      <c r="FN563" s="789"/>
      <c r="FO563" s="789"/>
      <c r="FP563" s="789"/>
      <c r="FQ563" s="789"/>
      <c r="FR563" s="789"/>
      <c r="FS563" s="789"/>
      <c r="FT563" s="789"/>
      <c r="FU563" s="789"/>
      <c r="FV563" s="789"/>
      <c r="FW563" s="789"/>
      <c r="FX563" s="789"/>
      <c r="FY563" s="789"/>
      <c r="FZ563" s="789"/>
      <c r="GA563" s="789"/>
      <c r="GB563" s="789"/>
      <c r="GC563" s="789"/>
      <c r="GD563" s="789"/>
      <c r="GE563" s="789"/>
      <c r="GF563" s="789"/>
      <c r="GG563" s="789"/>
      <c r="GH563" s="789"/>
      <c r="GI563" s="789"/>
      <c r="GJ563" s="789"/>
      <c r="GK563" s="789"/>
      <c r="GL563" s="789"/>
      <c r="GM563" s="789"/>
      <c r="GN563" s="789"/>
      <c r="GO563" s="789"/>
      <c r="GP563" s="789"/>
      <c r="GQ563" s="789"/>
      <c r="GR563" s="789"/>
      <c r="GS563" s="789"/>
      <c r="GT563" s="789"/>
      <c r="GU563" s="789"/>
      <c r="GV563" s="789"/>
      <c r="GW563" s="789"/>
      <c r="GX563" s="789"/>
      <c r="GY563" s="789"/>
      <c r="GZ563" s="789"/>
      <c r="HA563" s="789"/>
      <c r="HB563" s="789"/>
      <c r="HC563" s="789"/>
      <c r="HD563" s="789"/>
      <c r="HE563" s="789"/>
      <c r="HF563" s="789"/>
      <c r="HG563" s="789"/>
      <c r="HH563" s="789"/>
      <c r="HI563" s="789"/>
      <c r="HJ563" s="789"/>
    </row>
    <row r="564" spans="1:218" s="789" customFormat="1" ht="18.75" customHeight="1">
      <c r="A564" s="794">
        <v>562</v>
      </c>
      <c r="B564" s="859" t="s">
        <v>18</v>
      </c>
      <c r="C564" s="854" t="s">
        <v>1286</v>
      </c>
      <c r="D564" s="860">
        <v>38718</v>
      </c>
      <c r="E564" s="860">
        <v>39264</v>
      </c>
      <c r="F564" s="857">
        <v>2006</v>
      </c>
      <c r="G564" s="859" t="s">
        <v>2044</v>
      </c>
      <c r="H564" s="800" t="s">
        <v>1451</v>
      </c>
      <c r="I564" s="854" t="s">
        <v>2042</v>
      </c>
      <c r="J564" s="800" t="s">
        <v>2331</v>
      </c>
      <c r="K564" s="856">
        <f>665*5</f>
        <v>3325</v>
      </c>
      <c r="L564" s="856">
        <v>90000</v>
      </c>
      <c r="M564" s="856">
        <v>64062</v>
      </c>
      <c r="N564" s="856">
        <v>64062</v>
      </c>
      <c r="O564" s="808">
        <f t="shared" si="35"/>
        <v>19.266766917293232</v>
      </c>
      <c r="P564" s="856">
        <v>71</v>
      </c>
      <c r="Q564" s="856">
        <v>15000</v>
      </c>
      <c r="R564" s="856">
        <v>15000</v>
      </c>
      <c r="S564" s="873">
        <v>15000</v>
      </c>
      <c r="T564" s="817" t="s">
        <v>233</v>
      </c>
      <c r="U564" s="855">
        <v>150</v>
      </c>
      <c r="V564" s="855"/>
      <c r="W564" s="856">
        <v>2838</v>
      </c>
      <c r="X564" s="856">
        <v>298</v>
      </c>
      <c r="Y564" s="808">
        <f>X564/S564</f>
        <v>1.9866666666666668E-2</v>
      </c>
      <c r="Z564" s="856"/>
      <c r="AA564" s="856"/>
      <c r="AB564" s="856"/>
      <c r="AC564" s="856"/>
      <c r="AD564" s="856"/>
      <c r="AE564" s="856">
        <v>1100</v>
      </c>
      <c r="AF564" s="856"/>
      <c r="AG564" s="856"/>
      <c r="AH564" s="856"/>
      <c r="AI564" s="856"/>
      <c r="AJ564" s="808">
        <f t="shared" si="34"/>
        <v>0</v>
      </c>
      <c r="AK564" s="856"/>
      <c r="AL564" s="856"/>
      <c r="AM564" s="855"/>
      <c r="AN564" s="855"/>
      <c r="AO564" s="855"/>
      <c r="AP564" s="855"/>
      <c r="AQ564" s="855"/>
      <c r="AR564" s="855"/>
      <c r="AS564" s="855"/>
      <c r="AT564" s="855"/>
      <c r="AU564" s="406" t="s">
        <v>2043</v>
      </c>
      <c r="AV564" s="854"/>
      <c r="AW564" s="854"/>
      <c r="AX564" s="854"/>
      <c r="AY564" s="854"/>
      <c r="AZ564" s="854"/>
      <c r="BA564" s="854"/>
      <c r="BB564" s="854"/>
      <c r="BC564" s="854"/>
      <c r="BD564" s="854"/>
      <c r="BE564" s="854"/>
      <c r="BF564" s="854"/>
      <c r="BG564" s="854"/>
      <c r="BH564" s="854"/>
      <c r="BI564" s="854"/>
      <c r="BJ564" s="854"/>
      <c r="BK564" s="854"/>
      <c r="BL564" s="854"/>
      <c r="BM564" s="854"/>
    </row>
    <row r="565" spans="1:218" s="789" customFormat="1" ht="18.75" customHeight="1">
      <c r="A565" s="794">
        <v>563</v>
      </c>
      <c r="B565" s="872" t="s">
        <v>85</v>
      </c>
      <c r="C565" s="872" t="s">
        <v>1261</v>
      </c>
      <c r="D565" s="840">
        <v>38838</v>
      </c>
      <c r="E565" s="840">
        <v>40817</v>
      </c>
      <c r="F565" s="857">
        <v>2006</v>
      </c>
      <c r="G565" s="872" t="s">
        <v>570</v>
      </c>
      <c r="H565" s="841" t="s">
        <v>1454</v>
      </c>
      <c r="I565" s="857" t="s">
        <v>954</v>
      </c>
      <c r="J565" s="812" t="s">
        <v>2438</v>
      </c>
      <c r="K565" s="817">
        <v>325000</v>
      </c>
      <c r="L565" s="817">
        <v>32667430</v>
      </c>
      <c r="M565" s="817">
        <v>30526980</v>
      </c>
      <c r="N565" s="817">
        <v>30526980</v>
      </c>
      <c r="O565" s="808">
        <f t="shared" si="35"/>
        <v>93.929169230769233</v>
      </c>
      <c r="P565" s="817">
        <v>105</v>
      </c>
      <c r="Q565" s="817">
        <v>601000</v>
      </c>
      <c r="R565" s="817">
        <v>601000</v>
      </c>
      <c r="S565" s="848">
        <v>601000</v>
      </c>
      <c r="T565" s="817" t="s">
        <v>233</v>
      </c>
      <c r="U565" s="817" t="s">
        <v>75</v>
      </c>
      <c r="V565" s="817">
        <v>511580</v>
      </c>
      <c r="W565" s="817">
        <v>117050</v>
      </c>
      <c r="X565" s="817">
        <v>117050</v>
      </c>
      <c r="Y565" s="808">
        <f>X565/S565</f>
        <v>0.19475873544093178</v>
      </c>
      <c r="Z565" s="817" t="s">
        <v>134</v>
      </c>
      <c r="AA565" s="817" t="s">
        <v>134</v>
      </c>
      <c r="AB565" s="817" t="s">
        <v>134</v>
      </c>
      <c r="AC565" s="817" t="s">
        <v>2</v>
      </c>
      <c r="AD565" s="817" t="s">
        <v>75</v>
      </c>
      <c r="AE565" s="817" t="s">
        <v>75</v>
      </c>
      <c r="AF565" s="817" t="s">
        <v>75</v>
      </c>
      <c r="AG565" s="817" t="s">
        <v>75</v>
      </c>
      <c r="AH565" s="817">
        <v>343</v>
      </c>
      <c r="AI565" s="817" t="s">
        <v>75</v>
      </c>
      <c r="AJ565" s="808">
        <f t="shared" si="34"/>
        <v>343</v>
      </c>
      <c r="AK565" s="817">
        <v>732467</v>
      </c>
      <c r="AL565" s="817">
        <v>731561</v>
      </c>
      <c r="AM565" s="817"/>
      <c r="AN565" s="817"/>
      <c r="AO565" s="817"/>
      <c r="AP565" s="817"/>
      <c r="AQ565" s="817"/>
      <c r="AR565" s="817"/>
      <c r="AS565" s="817" t="s">
        <v>75</v>
      </c>
      <c r="AT565" s="817" t="s">
        <v>75</v>
      </c>
      <c r="AU565" s="322" t="s">
        <v>571</v>
      </c>
      <c r="AV565" s="857"/>
      <c r="AW565" s="857"/>
      <c r="AX565" s="857"/>
      <c r="AY565" s="857"/>
      <c r="AZ565" s="857"/>
      <c r="BA565" s="857"/>
      <c r="BB565" s="857"/>
      <c r="BC565" s="857"/>
      <c r="BD565" s="857"/>
      <c r="BE565" s="857"/>
      <c r="BF565" s="857"/>
      <c r="BG565" s="857"/>
      <c r="BH565" s="857"/>
      <c r="BI565" s="857"/>
      <c r="BJ565" s="857"/>
      <c r="BK565" s="857"/>
      <c r="BL565" s="857"/>
      <c r="BM565" s="857"/>
    </row>
    <row r="566" spans="1:218" s="802" customFormat="1" ht="18.75" customHeight="1">
      <c r="A566" s="794">
        <v>564</v>
      </c>
      <c r="B566" s="812" t="s">
        <v>85</v>
      </c>
      <c r="C566" s="785" t="s">
        <v>1261</v>
      </c>
      <c r="D566" s="792">
        <v>38718</v>
      </c>
      <c r="E566" s="792">
        <v>39964</v>
      </c>
      <c r="F566" s="857">
        <v>2006</v>
      </c>
      <c r="G566" s="836" t="s">
        <v>698</v>
      </c>
      <c r="H566" s="837" t="s">
        <v>1451</v>
      </c>
      <c r="I566" s="812" t="s">
        <v>697</v>
      </c>
      <c r="J566" s="812" t="s">
        <v>2438</v>
      </c>
      <c r="K566" s="842">
        <v>100000</v>
      </c>
      <c r="L566" s="842">
        <v>520632</v>
      </c>
      <c r="M566" s="842">
        <v>520632</v>
      </c>
      <c r="N566" s="842">
        <v>520632</v>
      </c>
      <c r="O566" s="808">
        <f t="shared" si="35"/>
        <v>5.2063199999999998</v>
      </c>
      <c r="P566" s="842">
        <v>100</v>
      </c>
      <c r="Q566" s="842">
        <v>1500</v>
      </c>
      <c r="R566" s="871" t="s">
        <v>339</v>
      </c>
      <c r="S566" s="842">
        <v>7500</v>
      </c>
      <c r="T566" s="842" t="s">
        <v>95</v>
      </c>
      <c r="U566" s="842" t="s">
        <v>75</v>
      </c>
      <c r="V566" s="842" t="s">
        <v>75</v>
      </c>
      <c r="W566" s="842">
        <v>940</v>
      </c>
      <c r="X566" s="842">
        <v>940</v>
      </c>
      <c r="Y566" s="808">
        <f>X566/S566</f>
        <v>0.12533333333333332</v>
      </c>
      <c r="Z566" s="842" t="s">
        <v>75</v>
      </c>
      <c r="AA566" s="842" t="s">
        <v>75</v>
      </c>
      <c r="AB566" s="842" t="s">
        <v>75</v>
      </c>
      <c r="AC566" s="842" t="s">
        <v>75</v>
      </c>
      <c r="AD566" s="842" t="s">
        <v>75</v>
      </c>
      <c r="AE566" s="842">
        <v>1500</v>
      </c>
      <c r="AF566" s="842" t="s">
        <v>75</v>
      </c>
      <c r="AG566" s="842" t="s">
        <v>75</v>
      </c>
      <c r="AH566" s="842" t="s">
        <v>75</v>
      </c>
      <c r="AI566" s="842" t="s">
        <v>75</v>
      </c>
      <c r="AJ566" s="787">
        <f t="shared" si="34"/>
        <v>0</v>
      </c>
      <c r="AK566" s="842">
        <v>4025</v>
      </c>
      <c r="AL566" s="842">
        <v>4025</v>
      </c>
      <c r="AM566" s="842"/>
      <c r="AN566" s="842" t="s">
        <v>75</v>
      </c>
      <c r="AO566" s="842" t="s">
        <v>75</v>
      </c>
      <c r="AP566" s="842" t="s">
        <v>75</v>
      </c>
      <c r="AQ566" s="842" t="s">
        <v>75</v>
      </c>
      <c r="AR566" s="842" t="s">
        <v>75</v>
      </c>
      <c r="AS566" s="842" t="s">
        <v>75</v>
      </c>
      <c r="AT566" s="842" t="s">
        <v>75</v>
      </c>
      <c r="AU566" s="413" t="s">
        <v>696</v>
      </c>
      <c r="AV566" s="857"/>
      <c r="AW566" s="857"/>
      <c r="AX566" s="857"/>
      <c r="AY566" s="857"/>
      <c r="AZ566" s="857"/>
      <c r="BA566" s="857"/>
      <c r="BB566" s="857"/>
      <c r="BC566" s="857"/>
      <c r="BD566" s="857"/>
      <c r="BE566" s="857"/>
      <c r="BF566" s="857"/>
      <c r="BG566" s="857"/>
      <c r="BH566" s="857"/>
      <c r="BI566" s="857"/>
      <c r="BJ566" s="857"/>
      <c r="BK566" s="857"/>
      <c r="BL566" s="857"/>
      <c r="BM566" s="857"/>
      <c r="BN566" s="789"/>
      <c r="BO566" s="789"/>
      <c r="BP566" s="789"/>
      <c r="BQ566" s="789"/>
      <c r="BR566" s="789"/>
      <c r="BS566" s="789"/>
      <c r="BT566" s="789"/>
      <c r="BU566" s="789"/>
      <c r="BV566" s="789"/>
      <c r="BW566" s="789"/>
      <c r="BX566" s="789"/>
      <c r="BY566" s="789"/>
      <c r="BZ566" s="789"/>
      <c r="CA566" s="789"/>
      <c r="CB566" s="789"/>
      <c r="CC566" s="789"/>
      <c r="CD566" s="789"/>
      <c r="CE566" s="789"/>
      <c r="CF566" s="789"/>
      <c r="CG566" s="789"/>
      <c r="CH566" s="789"/>
      <c r="CI566" s="789"/>
      <c r="CJ566" s="789"/>
      <c r="CK566" s="789"/>
      <c r="CL566" s="789"/>
      <c r="CM566" s="789"/>
      <c r="CN566" s="789"/>
      <c r="CO566" s="789"/>
      <c r="CP566" s="789"/>
      <c r="CQ566" s="789"/>
      <c r="CR566" s="789"/>
      <c r="CS566" s="789"/>
      <c r="CT566" s="789"/>
      <c r="CU566" s="789"/>
      <c r="CV566" s="789"/>
      <c r="CW566" s="789"/>
      <c r="CX566" s="789"/>
      <c r="CY566" s="789"/>
      <c r="CZ566" s="789"/>
      <c r="DA566" s="789"/>
      <c r="DB566" s="789"/>
      <c r="DC566" s="789"/>
      <c r="DD566" s="789"/>
      <c r="DE566" s="789"/>
      <c r="DF566" s="789"/>
      <c r="DG566" s="789"/>
      <c r="DH566" s="789"/>
      <c r="DI566" s="789"/>
      <c r="DJ566" s="789"/>
      <c r="DK566" s="789"/>
      <c r="DL566" s="789"/>
      <c r="DM566" s="789"/>
      <c r="DN566" s="789"/>
      <c r="DO566" s="789"/>
      <c r="DP566" s="789"/>
      <c r="DQ566" s="789"/>
      <c r="DR566" s="789"/>
      <c r="DS566" s="789"/>
      <c r="DT566" s="789"/>
      <c r="DU566" s="789"/>
      <c r="DV566" s="789"/>
      <c r="DW566" s="789"/>
      <c r="DX566" s="789"/>
      <c r="DY566" s="789"/>
      <c r="DZ566" s="789"/>
      <c r="EA566" s="789"/>
      <c r="EB566" s="789"/>
      <c r="EC566" s="789"/>
      <c r="ED566" s="789"/>
      <c r="EE566" s="789"/>
      <c r="EF566" s="789"/>
      <c r="EG566" s="789"/>
      <c r="EH566" s="789"/>
      <c r="EI566" s="789"/>
      <c r="EJ566" s="789"/>
      <c r="EK566" s="789"/>
      <c r="EL566" s="789"/>
      <c r="EM566" s="789"/>
      <c r="EN566" s="789"/>
      <c r="EO566" s="789"/>
      <c r="EP566" s="789"/>
      <c r="EQ566" s="789"/>
      <c r="ER566" s="789"/>
      <c r="ES566" s="789"/>
      <c r="ET566" s="789"/>
      <c r="EU566" s="789"/>
      <c r="EV566" s="789"/>
      <c r="EW566" s="789"/>
      <c r="EX566" s="789"/>
      <c r="EY566" s="789"/>
      <c r="EZ566" s="789"/>
      <c r="FA566" s="789"/>
      <c r="FB566" s="789"/>
      <c r="FC566" s="789"/>
      <c r="FD566" s="789"/>
      <c r="FE566" s="789"/>
      <c r="FF566" s="789"/>
      <c r="FG566" s="789"/>
      <c r="FH566" s="789"/>
      <c r="FI566" s="789"/>
      <c r="FJ566" s="789"/>
      <c r="FK566" s="789"/>
      <c r="FL566" s="789"/>
      <c r="FM566" s="789"/>
      <c r="FN566" s="789"/>
      <c r="FO566" s="789"/>
      <c r="FP566" s="789"/>
      <c r="FQ566" s="789"/>
      <c r="FR566" s="789"/>
      <c r="FS566" s="789"/>
      <c r="FT566" s="789"/>
      <c r="FU566" s="789"/>
      <c r="FV566" s="789"/>
      <c r="FW566" s="789"/>
      <c r="FX566" s="789"/>
      <c r="FY566" s="789"/>
      <c r="FZ566" s="789"/>
      <c r="GA566" s="789"/>
      <c r="GB566" s="789"/>
      <c r="GC566" s="789"/>
      <c r="GD566" s="789"/>
      <c r="GE566" s="789"/>
      <c r="GF566" s="789"/>
      <c r="GG566" s="789"/>
      <c r="GH566" s="789"/>
      <c r="GI566" s="789"/>
      <c r="GJ566" s="789"/>
      <c r="GK566" s="789"/>
      <c r="GL566" s="789"/>
      <c r="GM566" s="789"/>
      <c r="GN566" s="789"/>
      <c r="GO566" s="789"/>
      <c r="GP566" s="789"/>
      <c r="GQ566" s="789"/>
      <c r="GR566" s="789"/>
      <c r="GS566" s="789"/>
      <c r="GT566" s="789"/>
      <c r="GU566" s="789"/>
      <c r="GV566" s="789"/>
      <c r="GW566" s="789"/>
      <c r="GX566" s="789"/>
      <c r="GY566" s="789"/>
      <c r="GZ566" s="789"/>
      <c r="HA566" s="789"/>
      <c r="HB566" s="789"/>
      <c r="HC566" s="789"/>
      <c r="HD566" s="789"/>
      <c r="HE566" s="789"/>
      <c r="HF566" s="789"/>
      <c r="HG566" s="789"/>
      <c r="HH566" s="789"/>
      <c r="HI566" s="789"/>
      <c r="HJ566" s="789"/>
    </row>
    <row r="567" spans="1:218" s="802" customFormat="1" ht="18.75" customHeight="1">
      <c r="A567" s="794">
        <v>565</v>
      </c>
      <c r="B567" s="870" t="s">
        <v>129</v>
      </c>
      <c r="C567" s="854" t="s">
        <v>1278</v>
      </c>
      <c r="D567" s="799">
        <v>38749</v>
      </c>
      <c r="E567" s="799">
        <v>38808</v>
      </c>
      <c r="F567" s="857">
        <v>2006</v>
      </c>
      <c r="G567" s="870" t="s">
        <v>5</v>
      </c>
      <c r="H567" s="837" t="s">
        <v>1451</v>
      </c>
      <c r="I567" s="812" t="s">
        <v>395</v>
      </c>
      <c r="J567" s="812" t="s">
        <v>2438</v>
      </c>
      <c r="K567" s="842">
        <v>25000</v>
      </c>
      <c r="L567" s="843">
        <v>1802139</v>
      </c>
      <c r="M567" s="843">
        <v>952357</v>
      </c>
      <c r="N567" s="843">
        <v>898501</v>
      </c>
      <c r="O567" s="808">
        <f t="shared" si="35"/>
        <v>35.940040000000003</v>
      </c>
      <c r="P567" s="843">
        <v>53</v>
      </c>
      <c r="Q567" s="843" t="s">
        <v>75</v>
      </c>
      <c r="R567" s="843" t="s">
        <v>75</v>
      </c>
      <c r="S567" s="843"/>
      <c r="T567" s="843" t="s">
        <v>233</v>
      </c>
      <c r="U567" s="843" t="s">
        <v>75</v>
      </c>
      <c r="V567" s="843" t="s">
        <v>75</v>
      </c>
      <c r="W567" s="842" t="s">
        <v>66</v>
      </c>
      <c r="X567" s="843" t="s">
        <v>66</v>
      </c>
      <c r="Y567" s="842"/>
      <c r="Z567" s="843" t="s">
        <v>75</v>
      </c>
      <c r="AA567" s="843" t="s">
        <v>75</v>
      </c>
      <c r="AB567" s="843" t="s">
        <v>75</v>
      </c>
      <c r="AC567" s="843" t="s">
        <v>75</v>
      </c>
      <c r="AD567" s="843" t="s">
        <v>75</v>
      </c>
      <c r="AE567" s="843" t="s">
        <v>75</v>
      </c>
      <c r="AF567" s="843" t="s">
        <v>75</v>
      </c>
      <c r="AG567" s="843" t="s">
        <v>75</v>
      </c>
      <c r="AH567" s="842" t="s">
        <v>75</v>
      </c>
      <c r="AI567" s="843" t="s">
        <v>75</v>
      </c>
      <c r="AJ567" s="787">
        <f t="shared" si="34"/>
        <v>0</v>
      </c>
      <c r="AK567" s="842">
        <v>65000</v>
      </c>
      <c r="AL567" s="843">
        <f>0.53*AK567</f>
        <v>34450</v>
      </c>
      <c r="AM567" s="843"/>
      <c r="AN567" s="843" t="s">
        <v>75</v>
      </c>
      <c r="AO567" s="843" t="s">
        <v>75</v>
      </c>
      <c r="AP567" s="843" t="s">
        <v>75</v>
      </c>
      <c r="AQ567" s="843" t="s">
        <v>75</v>
      </c>
      <c r="AR567" s="843" t="s">
        <v>75</v>
      </c>
      <c r="AS567" s="843" t="s">
        <v>75</v>
      </c>
      <c r="AT567" s="843" t="s">
        <v>75</v>
      </c>
      <c r="AU567" s="414" t="s">
        <v>396</v>
      </c>
      <c r="AV567" s="796"/>
      <c r="AW567" s="796"/>
      <c r="AX567" s="796"/>
      <c r="AY567" s="796"/>
      <c r="AZ567" s="796"/>
      <c r="BA567" s="796"/>
      <c r="BB567" s="796"/>
      <c r="BC567" s="796"/>
      <c r="BD567" s="796"/>
      <c r="BE567" s="796"/>
      <c r="BF567" s="796"/>
      <c r="BG567" s="796"/>
      <c r="BH567" s="796"/>
      <c r="BI567" s="796"/>
      <c r="BJ567" s="796"/>
      <c r="BK567" s="796"/>
      <c r="BL567" s="796"/>
      <c r="BM567" s="785"/>
      <c r="BN567" s="789"/>
      <c r="BO567" s="789"/>
      <c r="BP567" s="789"/>
      <c r="BQ567" s="789"/>
      <c r="BR567" s="789"/>
      <c r="BS567" s="789"/>
      <c r="BT567" s="789"/>
      <c r="BU567" s="789"/>
      <c r="BV567" s="789"/>
      <c r="BW567" s="789"/>
      <c r="BX567" s="789"/>
      <c r="BY567" s="789"/>
      <c r="BZ567" s="789"/>
      <c r="CA567" s="789"/>
      <c r="CB567" s="789"/>
      <c r="CC567" s="789"/>
      <c r="CD567" s="789"/>
      <c r="CE567" s="789"/>
      <c r="CF567" s="789"/>
      <c r="CG567" s="789"/>
      <c r="CH567" s="789"/>
      <c r="CI567" s="789"/>
      <c r="CJ567" s="789"/>
      <c r="CK567" s="789"/>
      <c r="CL567" s="789"/>
      <c r="CM567" s="789"/>
      <c r="CN567" s="789"/>
      <c r="CO567" s="789"/>
      <c r="CP567" s="789"/>
      <c r="CQ567" s="789"/>
      <c r="CR567" s="789"/>
      <c r="CS567" s="789"/>
      <c r="CT567" s="789"/>
      <c r="CU567" s="789"/>
      <c r="CV567" s="789"/>
      <c r="CW567" s="789"/>
      <c r="CX567" s="789"/>
      <c r="CY567" s="789"/>
      <c r="CZ567" s="789"/>
      <c r="DA567" s="789"/>
      <c r="DB567" s="789"/>
      <c r="DC567" s="789"/>
      <c r="DD567" s="789"/>
      <c r="DE567" s="789"/>
      <c r="DF567" s="789"/>
      <c r="DG567" s="789"/>
      <c r="DH567" s="789"/>
      <c r="DI567" s="789"/>
      <c r="DJ567" s="789"/>
      <c r="DK567" s="789"/>
      <c r="DL567" s="789"/>
      <c r="DM567" s="789"/>
      <c r="DN567" s="789"/>
      <c r="DO567" s="789"/>
      <c r="DP567" s="789"/>
      <c r="DQ567" s="789"/>
      <c r="DR567" s="789"/>
      <c r="DS567" s="789"/>
      <c r="DT567" s="789"/>
      <c r="DU567" s="789"/>
      <c r="DV567" s="789"/>
      <c r="DW567" s="789"/>
      <c r="DX567" s="789"/>
      <c r="DY567" s="789"/>
      <c r="DZ567" s="789"/>
      <c r="EA567" s="789"/>
      <c r="EB567" s="789"/>
      <c r="EC567" s="789"/>
      <c r="ED567" s="789"/>
      <c r="EE567" s="789"/>
      <c r="EF567" s="789"/>
      <c r="EG567" s="789"/>
      <c r="EH567" s="789"/>
      <c r="EI567" s="789"/>
      <c r="EJ567" s="789"/>
      <c r="EK567" s="789"/>
      <c r="EL567" s="789"/>
      <c r="EM567" s="789"/>
      <c r="EN567" s="789"/>
      <c r="EO567" s="789"/>
      <c r="EP567" s="789"/>
      <c r="EQ567" s="789"/>
      <c r="ER567" s="789"/>
      <c r="ES567" s="789"/>
      <c r="ET567" s="789"/>
      <c r="EU567" s="789"/>
      <c r="EV567" s="789"/>
      <c r="EW567" s="789"/>
      <c r="EX567" s="789"/>
      <c r="EY567" s="789"/>
      <c r="EZ567" s="789"/>
      <c r="FA567" s="789"/>
      <c r="FB567" s="789"/>
      <c r="FC567" s="789"/>
      <c r="FD567" s="789"/>
      <c r="FE567" s="789"/>
      <c r="FF567" s="789"/>
      <c r="FG567" s="789"/>
      <c r="FH567" s="789"/>
      <c r="FI567" s="789"/>
      <c r="FJ567" s="789"/>
      <c r="FK567" s="789"/>
      <c r="FL567" s="789"/>
      <c r="FM567" s="789"/>
      <c r="FN567" s="789"/>
      <c r="FO567" s="789"/>
      <c r="FP567" s="789"/>
      <c r="FQ567" s="789"/>
      <c r="FR567" s="789"/>
      <c r="FS567" s="789"/>
      <c r="FT567" s="789"/>
      <c r="FU567" s="789"/>
      <c r="FV567" s="789"/>
      <c r="FW567" s="789"/>
      <c r="FX567" s="789"/>
      <c r="FY567" s="789"/>
      <c r="FZ567" s="789"/>
      <c r="GA567" s="789"/>
      <c r="GB567" s="789"/>
      <c r="GC567" s="789"/>
      <c r="GD567" s="789"/>
      <c r="GE567" s="789"/>
      <c r="GF567" s="789"/>
      <c r="GG567" s="789"/>
      <c r="GH567" s="789"/>
      <c r="GI567" s="789"/>
      <c r="GJ567" s="789"/>
      <c r="GK567" s="789"/>
      <c r="GL567" s="789"/>
      <c r="GM567" s="789"/>
      <c r="GN567" s="789"/>
      <c r="GO567" s="789"/>
      <c r="GP567" s="789"/>
      <c r="GQ567" s="789"/>
      <c r="GR567" s="789"/>
      <c r="GS567" s="789"/>
      <c r="GT567" s="789"/>
      <c r="GU567" s="789"/>
      <c r="GV567" s="789"/>
      <c r="GW567" s="789"/>
      <c r="GX567" s="789"/>
      <c r="GY567" s="789"/>
      <c r="GZ567" s="789"/>
      <c r="HA567" s="789"/>
      <c r="HB567" s="789"/>
      <c r="HC567" s="789"/>
      <c r="HD567" s="789"/>
      <c r="HE567" s="789"/>
      <c r="HF567" s="789"/>
      <c r="HG567" s="789"/>
      <c r="HH567" s="789"/>
      <c r="HI567" s="789"/>
      <c r="HJ567" s="789"/>
    </row>
    <row r="568" spans="1:218" s="802" customFormat="1" ht="18.75" customHeight="1">
      <c r="A568" s="794">
        <v>566</v>
      </c>
      <c r="B568" s="812" t="s">
        <v>12</v>
      </c>
      <c r="C568" s="785" t="s">
        <v>1299</v>
      </c>
      <c r="D568" s="792">
        <v>39038</v>
      </c>
      <c r="E568" s="792">
        <v>39972</v>
      </c>
      <c r="F568" s="857">
        <v>2006</v>
      </c>
      <c r="G568" s="836" t="s">
        <v>5</v>
      </c>
      <c r="H568" s="837" t="s">
        <v>1451</v>
      </c>
      <c r="I568" s="812" t="s">
        <v>734</v>
      </c>
      <c r="J568" s="812" t="s">
        <v>2438</v>
      </c>
      <c r="K568" s="842">
        <v>300000</v>
      </c>
      <c r="L568" s="842">
        <v>9646293</v>
      </c>
      <c r="M568" s="842">
        <v>10524106</v>
      </c>
      <c r="N568" s="842">
        <v>10524106</v>
      </c>
      <c r="O568" s="808">
        <f t="shared" si="35"/>
        <v>35.080353333333335</v>
      </c>
      <c r="P568" s="842">
        <v>109</v>
      </c>
      <c r="Q568" s="842">
        <v>60000</v>
      </c>
      <c r="R568" s="842">
        <v>15400</v>
      </c>
      <c r="S568" s="842">
        <v>60000</v>
      </c>
      <c r="T568" s="842" t="s">
        <v>2</v>
      </c>
      <c r="U568" s="842">
        <v>32</v>
      </c>
      <c r="V568" s="842">
        <v>131</v>
      </c>
      <c r="W568" s="842">
        <v>1260158</v>
      </c>
      <c r="X568" s="842">
        <v>1373572</v>
      </c>
      <c r="Y568" s="808">
        <f>X568/S568</f>
        <v>22.892866666666666</v>
      </c>
      <c r="Z568" s="842" t="s">
        <v>75</v>
      </c>
      <c r="AA568" s="842" t="s">
        <v>75</v>
      </c>
      <c r="AB568" s="842" t="s">
        <v>75</v>
      </c>
      <c r="AC568" s="842">
        <v>99</v>
      </c>
      <c r="AD568" s="842" t="s">
        <v>75</v>
      </c>
      <c r="AE568" s="842">
        <v>900</v>
      </c>
      <c r="AF568" s="842" t="s">
        <v>75</v>
      </c>
      <c r="AG568" s="842" t="s">
        <v>75</v>
      </c>
      <c r="AH568" s="842">
        <v>3336</v>
      </c>
      <c r="AI568" s="842" t="s">
        <v>75</v>
      </c>
      <c r="AJ568" s="787">
        <f t="shared" si="34"/>
        <v>3336</v>
      </c>
      <c r="AK568" s="842">
        <v>546911</v>
      </c>
      <c r="AL568" s="842">
        <v>233169</v>
      </c>
      <c r="AM568" s="842"/>
      <c r="AN568" s="842">
        <v>1</v>
      </c>
      <c r="AO568" s="842">
        <v>1</v>
      </c>
      <c r="AP568" s="842" t="s">
        <v>75</v>
      </c>
      <c r="AQ568" s="842" t="s">
        <v>75</v>
      </c>
      <c r="AR568" s="842">
        <v>3</v>
      </c>
      <c r="AS568" s="842" t="s">
        <v>75</v>
      </c>
      <c r="AT568" s="842" t="s">
        <v>75</v>
      </c>
      <c r="AU568" s="344" t="s">
        <v>733</v>
      </c>
      <c r="AV568" s="853"/>
      <c r="AW568" s="853"/>
      <c r="AX568" s="853"/>
      <c r="AY568" s="853"/>
      <c r="AZ568" s="853"/>
      <c r="BA568" s="853"/>
      <c r="BB568" s="853"/>
      <c r="BC568" s="853"/>
      <c r="BD568" s="853"/>
      <c r="BE568" s="853"/>
      <c r="BF568" s="853"/>
      <c r="BG568" s="853"/>
      <c r="BH568" s="853"/>
      <c r="BI568" s="853"/>
      <c r="BJ568" s="853"/>
      <c r="BK568" s="853"/>
      <c r="BL568" s="853"/>
      <c r="BM568" s="853"/>
      <c r="BN568" s="789"/>
      <c r="BO568" s="789"/>
      <c r="BP568" s="789"/>
      <c r="BQ568" s="789"/>
      <c r="BR568" s="789"/>
      <c r="BS568" s="789"/>
      <c r="BT568" s="789"/>
      <c r="BU568" s="789"/>
      <c r="BV568" s="789"/>
      <c r="BW568" s="789"/>
      <c r="BX568" s="789"/>
      <c r="BY568" s="789"/>
      <c r="BZ568" s="789"/>
      <c r="CA568" s="789"/>
      <c r="CB568" s="789"/>
      <c r="CC568" s="789"/>
      <c r="CD568" s="789"/>
      <c r="CE568" s="789"/>
      <c r="CF568" s="789"/>
      <c r="CG568" s="789"/>
      <c r="CH568" s="789"/>
      <c r="CI568" s="789"/>
      <c r="CJ568" s="789"/>
      <c r="CK568" s="789"/>
      <c r="CL568" s="789"/>
      <c r="CM568" s="789"/>
      <c r="CN568" s="789"/>
      <c r="CO568" s="789"/>
      <c r="CP568" s="789"/>
      <c r="CQ568" s="789"/>
      <c r="CR568" s="789"/>
      <c r="CS568" s="789"/>
      <c r="CT568" s="789"/>
      <c r="CU568" s="789"/>
      <c r="CV568" s="789"/>
      <c r="CW568" s="789"/>
      <c r="CX568" s="789"/>
      <c r="CY568" s="789"/>
      <c r="CZ568" s="789"/>
      <c r="DA568" s="789"/>
      <c r="DB568" s="789"/>
      <c r="DC568" s="789"/>
      <c r="DD568" s="789"/>
      <c r="DE568" s="789"/>
      <c r="DF568" s="789"/>
      <c r="DG568" s="789"/>
      <c r="DH568" s="789"/>
      <c r="DI568" s="789"/>
      <c r="DJ568" s="789"/>
      <c r="DK568" s="789"/>
      <c r="DL568" s="789"/>
      <c r="DM568" s="789"/>
      <c r="DN568" s="789"/>
      <c r="DO568" s="789"/>
      <c r="DP568" s="789"/>
      <c r="DQ568" s="789"/>
      <c r="DR568" s="789"/>
      <c r="DS568" s="789"/>
      <c r="DT568" s="789"/>
      <c r="DU568" s="789"/>
      <c r="DV568" s="789"/>
      <c r="DW568" s="789"/>
      <c r="DX568" s="789"/>
      <c r="DY568" s="789"/>
      <c r="DZ568" s="789"/>
      <c r="EA568" s="789"/>
      <c r="EB568" s="789"/>
      <c r="EC568" s="789"/>
      <c r="ED568" s="789"/>
      <c r="EE568" s="789"/>
      <c r="EF568" s="789"/>
      <c r="EG568" s="789"/>
      <c r="EH568" s="789"/>
      <c r="EI568" s="789"/>
      <c r="EJ568" s="789"/>
      <c r="EK568" s="789"/>
      <c r="EL568" s="789"/>
      <c r="EM568" s="789"/>
      <c r="EN568" s="789"/>
      <c r="EO568" s="789"/>
      <c r="EP568" s="789"/>
      <c r="EQ568" s="789"/>
      <c r="ER568" s="789"/>
      <c r="ES568" s="789"/>
      <c r="ET568" s="789"/>
      <c r="EU568" s="789"/>
      <c r="EV568" s="789"/>
      <c r="EW568" s="789"/>
      <c r="EX568" s="789"/>
      <c r="EY568" s="789"/>
      <c r="EZ568" s="789"/>
      <c r="FA568" s="789"/>
      <c r="FB568" s="789"/>
      <c r="FC568" s="789"/>
      <c r="FD568" s="789"/>
      <c r="FE568" s="789"/>
      <c r="FF568" s="789"/>
      <c r="FG568" s="789"/>
      <c r="FH568" s="789"/>
      <c r="FI568" s="789"/>
      <c r="FJ568" s="789"/>
      <c r="FK568" s="789"/>
      <c r="FL568" s="789"/>
      <c r="FM568" s="789"/>
      <c r="FN568" s="789"/>
      <c r="FO568" s="789"/>
      <c r="FP568" s="789"/>
      <c r="FQ568" s="789"/>
      <c r="FR568" s="789"/>
      <c r="FS568" s="789"/>
      <c r="FT568" s="789"/>
      <c r="FU568" s="789"/>
      <c r="FV568" s="789"/>
      <c r="FW568" s="789"/>
      <c r="FX568" s="789"/>
      <c r="FY568" s="789"/>
      <c r="FZ568" s="789"/>
      <c r="GA568" s="789"/>
      <c r="GB568" s="789"/>
      <c r="GC568" s="789"/>
      <c r="GD568" s="789"/>
      <c r="GE568" s="789"/>
      <c r="GF568" s="789"/>
      <c r="GG568" s="789"/>
      <c r="GH568" s="789"/>
      <c r="GI568" s="789"/>
      <c r="GJ568" s="789"/>
      <c r="GK568" s="789"/>
      <c r="GL568" s="789"/>
      <c r="GM568" s="789"/>
      <c r="GN568" s="789"/>
      <c r="GO568" s="789"/>
      <c r="GP568" s="789"/>
      <c r="GQ568" s="789"/>
      <c r="GR568" s="789"/>
      <c r="GS568" s="789"/>
      <c r="GT568" s="789"/>
      <c r="GU568" s="789"/>
      <c r="GV568" s="789"/>
      <c r="GW568" s="789"/>
      <c r="GX568" s="789"/>
      <c r="GY568" s="789"/>
      <c r="GZ568" s="789"/>
      <c r="HA568" s="789"/>
      <c r="HB568" s="789"/>
      <c r="HC568" s="789"/>
      <c r="HD568" s="789"/>
      <c r="HE568" s="789"/>
      <c r="HF568" s="789"/>
      <c r="HG568" s="789"/>
      <c r="HH568" s="789"/>
      <c r="HI568" s="789"/>
      <c r="HJ568" s="789"/>
    </row>
    <row r="569" spans="1:218" s="802" customFormat="1" ht="18.75" customHeight="1">
      <c r="A569" s="794">
        <v>567</v>
      </c>
      <c r="B569" s="804" t="s">
        <v>12</v>
      </c>
      <c r="C569" s="804" t="s">
        <v>1299</v>
      </c>
      <c r="D569" s="805">
        <v>38718</v>
      </c>
      <c r="E569" s="840">
        <v>39083</v>
      </c>
      <c r="F569" s="857">
        <v>2006</v>
      </c>
      <c r="G569" s="804" t="s">
        <v>79</v>
      </c>
      <c r="H569" s="837" t="s">
        <v>1453</v>
      </c>
      <c r="I569" s="836" t="s">
        <v>157</v>
      </c>
      <c r="J569" s="812" t="s">
        <v>2438</v>
      </c>
      <c r="K569" s="817">
        <v>329000</v>
      </c>
      <c r="L569" s="839">
        <v>16840847</v>
      </c>
      <c r="M569" s="839">
        <v>5334511</v>
      </c>
      <c r="N569" s="817">
        <v>4694035</v>
      </c>
      <c r="O569" s="808">
        <f t="shared" si="35"/>
        <v>14.26758358662614</v>
      </c>
      <c r="P569" s="839">
        <v>31.7</v>
      </c>
      <c r="Q569" s="839">
        <v>10000</v>
      </c>
      <c r="R569" s="839">
        <v>2000</v>
      </c>
      <c r="S569" s="817" t="s">
        <v>2</v>
      </c>
      <c r="T569" s="817" t="s">
        <v>2</v>
      </c>
      <c r="U569" s="839"/>
      <c r="V569" s="817"/>
      <c r="W569" s="817">
        <v>3785073</v>
      </c>
      <c r="X569" s="817">
        <v>134960</v>
      </c>
      <c r="Y569" s="817"/>
      <c r="Z569" s="817"/>
      <c r="AA569" s="817"/>
      <c r="AB569" s="839"/>
      <c r="AC569" s="817">
        <v>90</v>
      </c>
      <c r="AD569" s="817"/>
      <c r="AE569" s="839">
        <v>1700000</v>
      </c>
      <c r="AF569" s="839" t="s">
        <v>75</v>
      </c>
      <c r="AG569" s="839" t="s">
        <v>75</v>
      </c>
      <c r="AH569" s="817">
        <v>2000</v>
      </c>
      <c r="AI569" s="839" t="s">
        <v>2</v>
      </c>
      <c r="AJ569" s="787">
        <f t="shared" si="34"/>
        <v>2000</v>
      </c>
      <c r="AK569" s="817">
        <v>1226305</v>
      </c>
      <c r="AL569" s="817">
        <v>392417.6</v>
      </c>
      <c r="AM569" s="839"/>
      <c r="AN569" s="817" t="s">
        <v>75</v>
      </c>
      <c r="AO569" s="817" t="s">
        <v>75</v>
      </c>
      <c r="AP569" s="817" t="s">
        <v>75</v>
      </c>
      <c r="AQ569" s="817" t="s">
        <v>75</v>
      </c>
      <c r="AR569" s="817" t="s">
        <v>75</v>
      </c>
      <c r="AS569" s="817" t="s">
        <v>75</v>
      </c>
      <c r="AT569" s="817" t="s">
        <v>75</v>
      </c>
      <c r="AU569" s="404" t="s">
        <v>158</v>
      </c>
      <c r="BM569" s="789"/>
      <c r="BN569" s="789"/>
      <c r="BO569" s="789"/>
      <c r="BP569" s="789"/>
      <c r="BQ569" s="789"/>
      <c r="BR569" s="789"/>
      <c r="BS569" s="789"/>
      <c r="BT569" s="789"/>
      <c r="BU569" s="789"/>
      <c r="BV569" s="789"/>
      <c r="BW569" s="789"/>
      <c r="BX569" s="789"/>
      <c r="BY569" s="789"/>
      <c r="BZ569" s="789"/>
      <c r="CA569" s="789"/>
      <c r="CB569" s="789"/>
      <c r="CC569" s="789"/>
      <c r="CD569" s="789"/>
      <c r="CE569" s="789"/>
      <c r="CF569" s="789"/>
      <c r="CG569" s="789"/>
      <c r="CH569" s="789"/>
      <c r="CI569" s="789"/>
      <c r="CJ569" s="789"/>
      <c r="CK569" s="789"/>
      <c r="CL569" s="789"/>
      <c r="CM569" s="789"/>
      <c r="CN569" s="789"/>
      <c r="CO569" s="789"/>
      <c r="CP569" s="789"/>
      <c r="CQ569" s="789"/>
      <c r="CR569" s="789"/>
      <c r="CS569" s="789"/>
      <c r="CT569" s="789"/>
      <c r="CU569" s="789"/>
      <c r="CV569" s="789"/>
      <c r="CW569" s="789"/>
      <c r="CX569" s="789"/>
      <c r="CY569" s="789"/>
      <c r="CZ569" s="789"/>
      <c r="DA569" s="789"/>
      <c r="DB569" s="789"/>
      <c r="DC569" s="789"/>
      <c r="DD569" s="789"/>
      <c r="DE569" s="789"/>
      <c r="DF569" s="789"/>
      <c r="DG569" s="789"/>
      <c r="DH569" s="789"/>
      <c r="DI569" s="789"/>
      <c r="DJ569" s="789"/>
      <c r="DK569" s="789"/>
      <c r="DL569" s="789"/>
      <c r="DM569" s="789"/>
      <c r="DN569" s="789"/>
      <c r="DO569" s="789"/>
      <c r="DP569" s="789"/>
      <c r="DQ569" s="789"/>
      <c r="DR569" s="789"/>
      <c r="DS569" s="789"/>
      <c r="DT569" s="789"/>
      <c r="DU569" s="789"/>
      <c r="DV569" s="789"/>
      <c r="DW569" s="789"/>
      <c r="DX569" s="789"/>
      <c r="DY569" s="789"/>
      <c r="DZ569" s="789"/>
      <c r="EA569" s="789"/>
      <c r="EB569" s="789"/>
      <c r="EC569" s="789"/>
      <c r="ED569" s="789"/>
      <c r="EE569" s="789"/>
      <c r="EF569" s="789"/>
      <c r="EG569" s="789"/>
      <c r="EH569" s="789"/>
      <c r="EI569" s="789"/>
      <c r="EJ569" s="789"/>
      <c r="EK569" s="789"/>
      <c r="EL569" s="789"/>
      <c r="EM569" s="789"/>
      <c r="EN569" s="789"/>
      <c r="EO569" s="789"/>
      <c r="EP569" s="789"/>
      <c r="EQ569" s="789"/>
      <c r="ER569" s="789"/>
      <c r="ES569" s="789"/>
      <c r="ET569" s="789"/>
      <c r="EU569" s="789"/>
      <c r="EV569" s="789"/>
      <c r="EW569" s="789"/>
      <c r="EX569" s="789"/>
      <c r="EY569" s="789"/>
      <c r="EZ569" s="789"/>
      <c r="FA569" s="789"/>
      <c r="FB569" s="789"/>
      <c r="FC569" s="789"/>
      <c r="FD569" s="789"/>
      <c r="FE569" s="789"/>
      <c r="FF569" s="789"/>
      <c r="FG569" s="789"/>
      <c r="FH569" s="789"/>
      <c r="FI569" s="789"/>
      <c r="FJ569" s="789"/>
      <c r="FK569" s="789"/>
      <c r="FL569" s="789"/>
      <c r="FM569" s="789"/>
      <c r="FN569" s="789"/>
      <c r="FO569" s="789"/>
      <c r="FP569" s="789"/>
      <c r="FQ569" s="789"/>
      <c r="FR569" s="789"/>
      <c r="FS569" s="789"/>
      <c r="FT569" s="789"/>
      <c r="FU569" s="789"/>
      <c r="FV569" s="789"/>
      <c r="FW569" s="789"/>
      <c r="FX569" s="789"/>
      <c r="FY569" s="789"/>
      <c r="FZ569" s="789"/>
      <c r="GA569" s="789"/>
      <c r="GB569" s="789"/>
      <c r="GC569" s="789"/>
      <c r="GD569" s="789"/>
      <c r="GE569" s="789"/>
      <c r="GF569" s="789"/>
      <c r="GG569" s="789"/>
      <c r="GH569" s="789"/>
      <c r="GI569" s="789"/>
      <c r="GJ569" s="789"/>
      <c r="GK569" s="789"/>
      <c r="GL569" s="789"/>
      <c r="GM569" s="789"/>
      <c r="GN569" s="789"/>
      <c r="GO569" s="789"/>
      <c r="GP569" s="789"/>
      <c r="GQ569" s="789"/>
      <c r="GR569" s="789"/>
      <c r="GS569" s="789"/>
      <c r="GT569" s="789"/>
      <c r="GU569" s="789"/>
      <c r="GV569" s="789"/>
      <c r="GW569" s="789"/>
      <c r="GX569" s="789"/>
      <c r="GY569" s="789"/>
      <c r="GZ569" s="789"/>
      <c r="HA569" s="789"/>
      <c r="HB569" s="789"/>
      <c r="HC569" s="789"/>
      <c r="HD569" s="789"/>
      <c r="HE569" s="789"/>
      <c r="HF569" s="789"/>
      <c r="HG569" s="789"/>
      <c r="HH569" s="789"/>
      <c r="HI569" s="789"/>
      <c r="HJ569" s="789"/>
    </row>
    <row r="570" spans="1:218" s="802" customFormat="1" ht="18.75" customHeight="1">
      <c r="A570" s="794">
        <v>568</v>
      </c>
      <c r="B570" s="804" t="s">
        <v>184</v>
      </c>
      <c r="C570" s="802" t="s">
        <v>1261</v>
      </c>
      <c r="D570" s="805">
        <v>39052</v>
      </c>
      <c r="E570" s="805">
        <v>39142</v>
      </c>
      <c r="F570" s="857">
        <v>2006</v>
      </c>
      <c r="G570" s="804" t="s">
        <v>5</v>
      </c>
      <c r="H570" s="837" t="s">
        <v>1451</v>
      </c>
      <c r="I570" s="836" t="s">
        <v>183</v>
      </c>
      <c r="J570" s="800" t="s">
        <v>2331</v>
      </c>
      <c r="K570" s="817">
        <v>42000</v>
      </c>
      <c r="L570" s="839">
        <v>50000</v>
      </c>
      <c r="M570" s="839">
        <v>49168</v>
      </c>
      <c r="N570" s="817">
        <v>49168</v>
      </c>
      <c r="O570" s="808">
        <f t="shared" si="35"/>
        <v>1.1706666666666667</v>
      </c>
      <c r="P570" s="817">
        <v>98.3</v>
      </c>
      <c r="Q570" s="839" t="s">
        <v>134</v>
      </c>
      <c r="R570" s="839"/>
      <c r="S570" s="817" t="s">
        <v>134</v>
      </c>
      <c r="T570" s="817" t="s">
        <v>233</v>
      </c>
      <c r="U570" s="839"/>
      <c r="V570" s="817" t="s">
        <v>2</v>
      </c>
      <c r="W570" s="817" t="s">
        <v>66</v>
      </c>
      <c r="X570" s="817" t="s">
        <v>66</v>
      </c>
      <c r="Y570" s="817"/>
      <c r="Z570" s="817"/>
      <c r="AA570" s="817"/>
      <c r="AB570" s="839"/>
      <c r="AC570" s="817"/>
      <c r="AD570" s="817"/>
      <c r="AE570" s="839"/>
      <c r="AF570" s="839" t="s">
        <v>75</v>
      </c>
      <c r="AG570" s="839" t="s">
        <v>75</v>
      </c>
      <c r="AH570" s="817">
        <v>1826</v>
      </c>
      <c r="AI570" s="839"/>
      <c r="AJ570" s="787">
        <f t="shared" si="34"/>
        <v>1826</v>
      </c>
      <c r="AK570" s="817" t="s">
        <v>66</v>
      </c>
      <c r="AL570" s="817" t="s">
        <v>66</v>
      </c>
      <c r="AM570" s="839"/>
      <c r="AN570" s="817" t="s">
        <v>75</v>
      </c>
      <c r="AO570" s="817" t="s">
        <v>75</v>
      </c>
      <c r="AP570" s="817" t="s">
        <v>75</v>
      </c>
      <c r="AQ570" s="817" t="s">
        <v>75</v>
      </c>
      <c r="AR570" s="817" t="s">
        <v>75</v>
      </c>
      <c r="AS570" s="817" t="s">
        <v>188</v>
      </c>
      <c r="AT570" s="817"/>
      <c r="AU570" s="804" t="s">
        <v>186</v>
      </c>
      <c r="BM570" s="789"/>
      <c r="BN570" s="789"/>
      <c r="BO570" s="789"/>
      <c r="BP570" s="789"/>
      <c r="BQ570" s="789"/>
      <c r="BR570" s="789"/>
      <c r="BS570" s="789"/>
      <c r="BT570" s="789"/>
      <c r="BU570" s="789"/>
      <c r="BV570" s="789"/>
      <c r="BW570" s="789"/>
      <c r="BX570" s="789"/>
      <c r="BY570" s="789"/>
      <c r="BZ570" s="789"/>
      <c r="CA570" s="789"/>
      <c r="CB570" s="789"/>
      <c r="CC570" s="789"/>
      <c r="CD570" s="789"/>
      <c r="CE570" s="789"/>
      <c r="CF570" s="789"/>
      <c r="CG570" s="789"/>
      <c r="CH570" s="789"/>
      <c r="CI570" s="789"/>
      <c r="CJ570" s="789"/>
      <c r="CK570" s="789"/>
      <c r="CL570" s="789"/>
      <c r="CM570" s="789"/>
      <c r="CN570" s="789"/>
      <c r="CO570" s="789"/>
      <c r="CP570" s="789"/>
      <c r="CQ570" s="789"/>
      <c r="CR570" s="789"/>
      <c r="CS570" s="789"/>
      <c r="CT570" s="789"/>
      <c r="CU570" s="789"/>
      <c r="CV570" s="789"/>
      <c r="CW570" s="789"/>
      <c r="CX570" s="789"/>
      <c r="CY570" s="789"/>
      <c r="CZ570" s="789"/>
      <c r="DA570" s="789"/>
      <c r="DB570" s="789"/>
      <c r="DC570" s="789"/>
      <c r="DD570" s="789"/>
      <c r="DE570" s="789"/>
      <c r="DF570" s="789"/>
      <c r="DG570" s="789"/>
      <c r="DH570" s="789"/>
      <c r="DI570" s="789"/>
      <c r="DJ570" s="789"/>
      <c r="DK570" s="789"/>
      <c r="DL570" s="789"/>
      <c r="DM570" s="789"/>
      <c r="DN570" s="789"/>
      <c r="DO570" s="789"/>
      <c r="DP570" s="789"/>
      <c r="DQ570" s="789"/>
      <c r="DR570" s="789"/>
      <c r="DS570" s="789"/>
      <c r="DT570" s="789"/>
      <c r="DU570" s="789"/>
      <c r="DV570" s="789"/>
      <c r="DW570" s="789"/>
      <c r="DX570" s="789"/>
      <c r="DY570" s="789"/>
      <c r="DZ570" s="789"/>
      <c r="EA570" s="789"/>
      <c r="EB570" s="789"/>
      <c r="EC570" s="789"/>
      <c r="ED570" s="789"/>
      <c r="EE570" s="789"/>
      <c r="EF570" s="789"/>
      <c r="EG570" s="789"/>
      <c r="EH570" s="789"/>
      <c r="EI570" s="789"/>
      <c r="EJ570" s="789"/>
      <c r="EK570" s="789"/>
      <c r="EL570" s="789"/>
      <c r="EM570" s="789"/>
      <c r="EN570" s="789"/>
      <c r="EO570" s="789"/>
      <c r="EP570" s="789"/>
      <c r="EQ570" s="789"/>
      <c r="ER570" s="789"/>
      <c r="ES570" s="789"/>
      <c r="ET570" s="789"/>
      <c r="EU570" s="789"/>
      <c r="EV570" s="789"/>
      <c r="EW570" s="789"/>
      <c r="EX570" s="789"/>
      <c r="EY570" s="789"/>
      <c r="EZ570" s="789"/>
      <c r="FA570" s="789"/>
      <c r="FB570" s="789"/>
      <c r="FC570" s="789"/>
      <c r="FD570" s="789"/>
      <c r="FE570" s="789"/>
      <c r="FF570" s="789"/>
      <c r="FG570" s="789"/>
      <c r="FH570" s="789"/>
      <c r="FI570" s="789"/>
      <c r="FJ570" s="789"/>
      <c r="FK570" s="789"/>
      <c r="FL570" s="789"/>
      <c r="FM570" s="789"/>
      <c r="FN570" s="789"/>
      <c r="FO570" s="789"/>
      <c r="FP570" s="789"/>
      <c r="FQ570" s="789"/>
      <c r="FR570" s="789"/>
      <c r="FS570" s="789"/>
      <c r="FT570" s="789"/>
      <c r="FU570" s="789"/>
      <c r="FV570" s="789"/>
      <c r="FW570" s="789"/>
      <c r="FX570" s="789"/>
      <c r="FY570" s="789"/>
      <c r="FZ570" s="789"/>
      <c r="GA570" s="789"/>
      <c r="GB570" s="789"/>
      <c r="GC570" s="789"/>
      <c r="GD570" s="789"/>
      <c r="GE570" s="789"/>
      <c r="GF570" s="789"/>
      <c r="GG570" s="789"/>
      <c r="GH570" s="789"/>
      <c r="GI570" s="789"/>
      <c r="GJ570" s="789"/>
      <c r="GK570" s="789"/>
      <c r="GL570" s="789"/>
      <c r="GM570" s="789"/>
      <c r="GN570" s="789"/>
      <c r="GO570" s="789"/>
      <c r="GP570" s="789"/>
      <c r="GQ570" s="789"/>
      <c r="GR570" s="789"/>
      <c r="GS570" s="789"/>
      <c r="GT570" s="789"/>
      <c r="GU570" s="789"/>
      <c r="GV570" s="789"/>
      <c r="GW570" s="789"/>
      <c r="GX570" s="789"/>
      <c r="GY570" s="789"/>
      <c r="GZ570" s="789"/>
      <c r="HA570" s="789"/>
      <c r="HB570" s="789"/>
      <c r="HC570" s="789"/>
      <c r="HD570" s="789"/>
      <c r="HE570" s="789"/>
      <c r="HF570" s="789"/>
      <c r="HG570" s="789"/>
      <c r="HH570" s="789"/>
      <c r="HI570" s="789"/>
      <c r="HJ570" s="789"/>
    </row>
    <row r="571" spans="1:218" s="802" customFormat="1" ht="18.75" customHeight="1">
      <c r="A571" s="794">
        <v>569</v>
      </c>
      <c r="B571" s="804" t="s">
        <v>140</v>
      </c>
      <c r="C571" s="804" t="s">
        <v>1299</v>
      </c>
      <c r="D571" s="805">
        <v>38718</v>
      </c>
      <c r="E571" s="840">
        <v>38838</v>
      </c>
      <c r="F571" s="857">
        <v>2006</v>
      </c>
      <c r="G571" s="836" t="s">
        <v>5</v>
      </c>
      <c r="H571" s="837" t="s">
        <v>1451</v>
      </c>
      <c r="I571" s="836" t="s">
        <v>301</v>
      </c>
      <c r="J571" s="800" t="s">
        <v>2331</v>
      </c>
      <c r="K571" s="817">
        <v>9500</v>
      </c>
      <c r="L571" s="839">
        <v>99827</v>
      </c>
      <c r="M571" s="839">
        <v>96773</v>
      </c>
      <c r="N571" s="839">
        <v>96773</v>
      </c>
      <c r="O571" s="808">
        <f t="shared" si="35"/>
        <v>10.186631578947368</v>
      </c>
      <c r="P571" s="817">
        <v>96.9</v>
      </c>
      <c r="Q571" s="817" t="s">
        <v>75</v>
      </c>
      <c r="R571" s="839">
        <v>9500</v>
      </c>
      <c r="S571" s="817">
        <v>9500</v>
      </c>
      <c r="T571" s="817" t="s">
        <v>233</v>
      </c>
      <c r="U571" s="838" t="s">
        <v>134</v>
      </c>
      <c r="V571" s="817" t="s">
        <v>134</v>
      </c>
      <c r="W571" s="817">
        <v>2745</v>
      </c>
      <c r="X571" s="817">
        <v>2001</v>
      </c>
      <c r="Y571" s="808">
        <f>X571/S571</f>
        <v>0.21063157894736842</v>
      </c>
      <c r="Z571" s="817" t="s">
        <v>75</v>
      </c>
      <c r="AA571" s="817" t="s">
        <v>134</v>
      </c>
      <c r="AB571" s="817" t="s">
        <v>134</v>
      </c>
      <c r="AC571" s="817" t="s">
        <v>75</v>
      </c>
      <c r="AD571" s="817" t="s">
        <v>75</v>
      </c>
      <c r="AE571" s="817" t="s">
        <v>75</v>
      </c>
      <c r="AF571" s="817" t="s">
        <v>75</v>
      </c>
      <c r="AG571" s="817" t="s">
        <v>75</v>
      </c>
      <c r="AH571" s="817" t="s">
        <v>75</v>
      </c>
      <c r="AI571" s="817" t="s">
        <v>75</v>
      </c>
      <c r="AJ571" s="787">
        <f t="shared" si="34"/>
        <v>0</v>
      </c>
      <c r="AK571" s="817" t="s">
        <v>66</v>
      </c>
      <c r="AL571" s="817" t="s">
        <v>66</v>
      </c>
      <c r="AM571" s="839"/>
      <c r="AN571" s="817" t="s">
        <v>75</v>
      </c>
      <c r="AO571" s="817" t="s">
        <v>75</v>
      </c>
      <c r="AP571" s="817" t="s">
        <v>75</v>
      </c>
      <c r="AQ571" s="817" t="s">
        <v>75</v>
      </c>
      <c r="AR571" s="817" t="s">
        <v>75</v>
      </c>
      <c r="AS571" s="817" t="s">
        <v>75</v>
      </c>
      <c r="AT571" s="817" t="s">
        <v>75</v>
      </c>
      <c r="AU571" s="404" t="s">
        <v>302</v>
      </c>
      <c r="BM571" s="789"/>
      <c r="BN571" s="789"/>
      <c r="BO571" s="789"/>
      <c r="BP571" s="789"/>
      <c r="BQ571" s="789"/>
      <c r="BR571" s="789"/>
      <c r="BS571" s="789"/>
      <c r="BT571" s="789"/>
      <c r="BU571" s="789"/>
      <c r="BV571" s="789"/>
      <c r="BW571" s="789"/>
      <c r="BX571" s="789"/>
      <c r="BY571" s="789"/>
      <c r="BZ571" s="789"/>
      <c r="CA571" s="789"/>
      <c r="CB571" s="789"/>
      <c r="CC571" s="789"/>
      <c r="CD571" s="789"/>
      <c r="CE571" s="789"/>
      <c r="CF571" s="789"/>
      <c r="CG571" s="789"/>
      <c r="CH571" s="789"/>
      <c r="CI571" s="789"/>
      <c r="CJ571" s="789"/>
      <c r="CK571" s="789"/>
      <c r="CL571" s="789"/>
      <c r="CM571" s="789"/>
      <c r="CN571" s="789"/>
      <c r="CO571" s="789"/>
      <c r="CP571" s="789"/>
      <c r="CQ571" s="789"/>
      <c r="CR571" s="789"/>
      <c r="CS571" s="789"/>
      <c r="CT571" s="789"/>
      <c r="CU571" s="789"/>
      <c r="CV571" s="789"/>
      <c r="CW571" s="789"/>
      <c r="CX571" s="789"/>
      <c r="CY571" s="789"/>
      <c r="CZ571" s="789"/>
      <c r="DA571" s="789"/>
      <c r="DB571" s="789"/>
      <c r="DC571" s="789"/>
      <c r="DD571" s="789"/>
      <c r="DE571" s="789"/>
      <c r="DF571" s="789"/>
      <c r="DG571" s="789"/>
      <c r="DH571" s="789"/>
      <c r="DI571" s="789"/>
      <c r="DJ571" s="789"/>
      <c r="DK571" s="789"/>
      <c r="DL571" s="789"/>
      <c r="DM571" s="789"/>
      <c r="DN571" s="789"/>
      <c r="DO571" s="789"/>
      <c r="DP571" s="789"/>
      <c r="DQ571" s="789"/>
      <c r="DR571" s="789"/>
      <c r="DS571" s="789"/>
      <c r="DT571" s="789"/>
      <c r="DU571" s="789"/>
      <c r="DV571" s="789"/>
      <c r="DW571" s="789"/>
      <c r="DX571" s="789"/>
      <c r="DY571" s="789"/>
      <c r="DZ571" s="789"/>
      <c r="EA571" s="789"/>
      <c r="EB571" s="789"/>
      <c r="EC571" s="789"/>
      <c r="ED571" s="789"/>
      <c r="EE571" s="789"/>
      <c r="EF571" s="789"/>
      <c r="EG571" s="789"/>
      <c r="EH571" s="789"/>
      <c r="EI571" s="789"/>
      <c r="EJ571" s="789"/>
      <c r="EK571" s="789"/>
      <c r="EL571" s="789"/>
      <c r="EM571" s="789"/>
      <c r="EN571" s="789"/>
      <c r="EO571" s="789"/>
      <c r="EP571" s="789"/>
      <c r="EQ571" s="789"/>
      <c r="ER571" s="789"/>
      <c r="ES571" s="789"/>
      <c r="ET571" s="789"/>
      <c r="EU571" s="789"/>
      <c r="EV571" s="789"/>
      <c r="EW571" s="789"/>
      <c r="EX571" s="789"/>
      <c r="EY571" s="789"/>
      <c r="EZ571" s="789"/>
      <c r="FA571" s="789"/>
      <c r="FB571" s="789"/>
      <c r="FC571" s="789"/>
      <c r="FD571" s="789"/>
      <c r="FE571" s="789"/>
      <c r="FF571" s="789"/>
      <c r="FG571" s="789"/>
      <c r="FH571" s="789"/>
      <c r="FI571" s="789"/>
      <c r="FJ571" s="789"/>
      <c r="FK571" s="789"/>
      <c r="FL571" s="789"/>
      <c r="FM571" s="789"/>
      <c r="FN571" s="789"/>
      <c r="FO571" s="789"/>
      <c r="FP571" s="789"/>
      <c r="FQ571" s="789"/>
      <c r="FR571" s="789"/>
      <c r="FS571" s="789"/>
      <c r="FT571" s="789"/>
      <c r="FU571" s="789"/>
      <c r="FV571" s="789"/>
      <c r="FW571" s="789"/>
      <c r="FX571" s="789"/>
      <c r="FY571" s="789"/>
      <c r="FZ571" s="789"/>
      <c r="GA571" s="789"/>
      <c r="GB571" s="789"/>
      <c r="GC571" s="789"/>
      <c r="GD571" s="789"/>
      <c r="GE571" s="789"/>
      <c r="GF571" s="789"/>
      <c r="GG571" s="789"/>
      <c r="GH571" s="789"/>
      <c r="GI571" s="789"/>
      <c r="GJ571" s="789"/>
      <c r="GK571" s="789"/>
      <c r="GL571" s="789"/>
      <c r="GM571" s="789"/>
      <c r="GN571" s="789"/>
      <c r="GO571" s="789"/>
      <c r="GP571" s="789"/>
      <c r="GQ571" s="789"/>
      <c r="GR571" s="789"/>
      <c r="GS571" s="789"/>
      <c r="GT571" s="789"/>
      <c r="GU571" s="789"/>
      <c r="GV571" s="789"/>
      <c r="GW571" s="789"/>
      <c r="GX571" s="789"/>
      <c r="GY571" s="789"/>
      <c r="GZ571" s="789"/>
      <c r="HA571" s="789"/>
      <c r="HB571" s="789"/>
      <c r="HC571" s="789"/>
      <c r="HD571" s="789"/>
      <c r="HE571" s="789"/>
      <c r="HF571" s="789"/>
      <c r="HG571" s="789"/>
      <c r="HH571" s="789"/>
      <c r="HI571" s="789"/>
      <c r="HJ571" s="789"/>
    </row>
    <row r="572" spans="1:218" s="789" customFormat="1" ht="18.75" customHeight="1">
      <c r="A572" s="794">
        <v>570</v>
      </c>
      <c r="B572" s="836" t="s">
        <v>120</v>
      </c>
      <c r="C572" s="836" t="s">
        <v>1299</v>
      </c>
      <c r="D572" s="840">
        <v>38930</v>
      </c>
      <c r="E572" s="840">
        <v>39356</v>
      </c>
      <c r="F572" s="857">
        <v>2006</v>
      </c>
      <c r="G572" s="836" t="s">
        <v>79</v>
      </c>
      <c r="H572" s="841" t="s">
        <v>1453</v>
      </c>
      <c r="I572" s="836" t="s">
        <v>776</v>
      </c>
      <c r="J572" s="800" t="s">
        <v>2331</v>
      </c>
      <c r="K572" s="817">
        <v>25000</v>
      </c>
      <c r="L572" s="817">
        <v>0</v>
      </c>
      <c r="M572" s="817">
        <v>151306</v>
      </c>
      <c r="N572" s="817">
        <v>151306</v>
      </c>
      <c r="O572" s="808">
        <f t="shared" si="35"/>
        <v>6.0522400000000003</v>
      </c>
      <c r="P572" s="817" t="s">
        <v>66</v>
      </c>
      <c r="Q572" s="817" t="s">
        <v>75</v>
      </c>
      <c r="R572" s="817" t="s">
        <v>75</v>
      </c>
      <c r="S572" s="817" t="s">
        <v>75</v>
      </c>
      <c r="T572" s="817" t="s">
        <v>849</v>
      </c>
      <c r="U572" s="817" t="s">
        <v>75</v>
      </c>
      <c r="V572" s="817" t="s">
        <v>75</v>
      </c>
      <c r="W572" s="817" t="s">
        <v>75</v>
      </c>
      <c r="X572" s="817" t="s">
        <v>75</v>
      </c>
      <c r="Y572" s="817"/>
      <c r="Z572" s="817" t="s">
        <v>75</v>
      </c>
      <c r="AA572" s="817" t="s">
        <v>75</v>
      </c>
      <c r="AB572" s="817" t="s">
        <v>75</v>
      </c>
      <c r="AC572" s="817" t="s">
        <v>75</v>
      </c>
      <c r="AD572" s="817" t="s">
        <v>75</v>
      </c>
      <c r="AE572" s="817" t="s">
        <v>75</v>
      </c>
      <c r="AF572" s="817" t="s">
        <v>75</v>
      </c>
      <c r="AG572" s="817" t="s">
        <v>75</v>
      </c>
      <c r="AH572" s="817" t="s">
        <v>75</v>
      </c>
      <c r="AI572" s="817" t="s">
        <v>75</v>
      </c>
      <c r="AJ572" s="808">
        <f t="shared" si="34"/>
        <v>0</v>
      </c>
      <c r="AK572" s="817" t="s">
        <v>75</v>
      </c>
      <c r="AL572" s="817" t="s">
        <v>75</v>
      </c>
      <c r="AM572" s="817"/>
      <c r="AN572" s="817" t="s">
        <v>75</v>
      </c>
      <c r="AO572" s="817" t="s">
        <v>75</v>
      </c>
      <c r="AP572" s="817" t="s">
        <v>75</v>
      </c>
      <c r="AQ572" s="817" t="s">
        <v>75</v>
      </c>
      <c r="AR572" s="817" t="s">
        <v>75</v>
      </c>
      <c r="AS572" s="817" t="s">
        <v>75</v>
      </c>
      <c r="AT572" s="817" t="s">
        <v>75</v>
      </c>
      <c r="AU572" s="356" t="s">
        <v>775</v>
      </c>
      <c r="AV572" s="845"/>
      <c r="AW572" s="845"/>
      <c r="AX572" s="845"/>
      <c r="AY572" s="845"/>
      <c r="AZ572" s="845"/>
      <c r="BA572" s="845"/>
      <c r="BB572" s="845"/>
      <c r="BC572" s="845"/>
      <c r="BD572" s="845"/>
      <c r="BE572" s="845"/>
      <c r="BF572" s="845"/>
      <c r="BG572" s="845"/>
      <c r="BH572" s="845"/>
      <c r="BI572" s="845"/>
      <c r="BJ572" s="845"/>
      <c r="BK572" s="845"/>
      <c r="BL572" s="845"/>
      <c r="BM572" s="845"/>
    </row>
    <row r="573" spans="1:218" s="789" customFormat="1" ht="18.75" customHeight="1">
      <c r="A573" s="794">
        <v>571</v>
      </c>
      <c r="B573" s="836" t="s">
        <v>120</v>
      </c>
      <c r="C573" s="836" t="s">
        <v>1299</v>
      </c>
      <c r="D573" s="840">
        <v>39052</v>
      </c>
      <c r="E573" s="840">
        <v>39387</v>
      </c>
      <c r="F573" s="857">
        <v>2006</v>
      </c>
      <c r="G573" s="836" t="s">
        <v>781</v>
      </c>
      <c r="H573" s="841" t="s">
        <v>1464</v>
      </c>
      <c r="I573" s="836" t="s">
        <v>759</v>
      </c>
      <c r="J573" s="800" t="s">
        <v>2331</v>
      </c>
      <c r="K573" s="817">
        <v>5000</v>
      </c>
      <c r="L573" s="817">
        <v>53044</v>
      </c>
      <c r="M573" s="817">
        <v>52919</v>
      </c>
      <c r="N573" s="817">
        <v>52919</v>
      </c>
      <c r="O573" s="808">
        <f t="shared" si="35"/>
        <v>10.5838</v>
      </c>
      <c r="P573" s="817">
        <v>100</v>
      </c>
      <c r="Q573" s="817" t="s">
        <v>75</v>
      </c>
      <c r="R573" s="817" t="s">
        <v>75</v>
      </c>
      <c r="S573" s="817" t="s">
        <v>75</v>
      </c>
      <c r="T573" s="817" t="s">
        <v>849</v>
      </c>
      <c r="U573" s="817" t="s">
        <v>75</v>
      </c>
      <c r="V573" s="817" t="s">
        <v>75</v>
      </c>
      <c r="W573" s="817" t="s">
        <v>75</v>
      </c>
      <c r="X573" s="817" t="s">
        <v>75</v>
      </c>
      <c r="Y573" s="817"/>
      <c r="Z573" s="817" t="s">
        <v>75</v>
      </c>
      <c r="AA573" s="817" t="s">
        <v>75</v>
      </c>
      <c r="AB573" s="817" t="s">
        <v>75</v>
      </c>
      <c r="AC573" s="817" t="s">
        <v>75</v>
      </c>
      <c r="AD573" s="817" t="s">
        <v>75</v>
      </c>
      <c r="AE573" s="817" t="s">
        <v>75</v>
      </c>
      <c r="AF573" s="817" t="s">
        <v>75</v>
      </c>
      <c r="AG573" s="817" t="s">
        <v>75</v>
      </c>
      <c r="AH573" s="817" t="s">
        <v>75</v>
      </c>
      <c r="AI573" s="817" t="s">
        <v>75</v>
      </c>
      <c r="AJ573" s="808">
        <f t="shared" si="34"/>
        <v>0</v>
      </c>
      <c r="AK573" s="817" t="s">
        <v>75</v>
      </c>
      <c r="AL573" s="817" t="s">
        <v>75</v>
      </c>
      <c r="AM573" s="817"/>
      <c r="AN573" s="817" t="s">
        <v>75</v>
      </c>
      <c r="AO573" s="817" t="s">
        <v>75</v>
      </c>
      <c r="AP573" s="817" t="s">
        <v>75</v>
      </c>
      <c r="AQ573" s="817" t="s">
        <v>75</v>
      </c>
      <c r="AR573" s="817" t="s">
        <v>75</v>
      </c>
      <c r="AS573" s="817" t="s">
        <v>75</v>
      </c>
      <c r="AT573" s="817" t="s">
        <v>75</v>
      </c>
      <c r="AU573" s="356" t="s">
        <v>758</v>
      </c>
      <c r="AV573" s="845"/>
      <c r="AW573" s="845"/>
      <c r="AX573" s="845"/>
      <c r="AY573" s="845"/>
      <c r="AZ573" s="845"/>
      <c r="BA573" s="845"/>
      <c r="BB573" s="845"/>
      <c r="BC573" s="845"/>
      <c r="BD573" s="845"/>
      <c r="BE573" s="845"/>
      <c r="BF573" s="845"/>
      <c r="BG573" s="845"/>
      <c r="BH573" s="845"/>
      <c r="BI573" s="845"/>
      <c r="BJ573" s="845"/>
      <c r="BK573" s="845"/>
      <c r="BL573" s="845"/>
      <c r="BM573" s="845"/>
    </row>
    <row r="574" spans="1:218" s="802" customFormat="1" ht="18.75" customHeight="1">
      <c r="A574" s="794">
        <v>572</v>
      </c>
      <c r="B574" s="804" t="s">
        <v>212</v>
      </c>
      <c r="C574" s="804" t="s">
        <v>1299</v>
      </c>
      <c r="D574" s="805">
        <v>38808</v>
      </c>
      <c r="E574" s="805">
        <v>38869</v>
      </c>
      <c r="F574" s="857">
        <v>2006</v>
      </c>
      <c r="G574" s="804" t="s">
        <v>226</v>
      </c>
      <c r="H574" s="837" t="s">
        <v>1449</v>
      </c>
      <c r="I574" s="836" t="s">
        <v>222</v>
      </c>
      <c r="J574" s="800" t="s">
        <v>2331</v>
      </c>
      <c r="K574" s="817">
        <v>2295499</v>
      </c>
      <c r="L574" s="839">
        <v>27000</v>
      </c>
      <c r="M574" s="839">
        <v>26463</v>
      </c>
      <c r="N574" s="817">
        <v>26463</v>
      </c>
      <c r="O574" s="808">
        <f t="shared" si="35"/>
        <v>1.1528212384322537E-2</v>
      </c>
      <c r="P574" s="817">
        <v>98</v>
      </c>
      <c r="Q574" s="839" t="s">
        <v>75</v>
      </c>
      <c r="R574" s="839" t="s">
        <v>75</v>
      </c>
      <c r="S574" s="817" t="s">
        <v>75</v>
      </c>
      <c r="T574" s="817" t="s">
        <v>233</v>
      </c>
      <c r="U574" s="839" t="s">
        <v>75</v>
      </c>
      <c r="V574" s="817" t="s">
        <v>75</v>
      </c>
      <c r="W574" s="817" t="s">
        <v>66</v>
      </c>
      <c r="X574" s="817" t="s">
        <v>66</v>
      </c>
      <c r="Y574" s="817"/>
      <c r="Z574" s="817" t="s">
        <v>75</v>
      </c>
      <c r="AA574" s="817">
        <v>79339</v>
      </c>
      <c r="AB574" s="839">
        <v>1000</v>
      </c>
      <c r="AC574" s="817" t="s">
        <v>75</v>
      </c>
      <c r="AD574" s="817"/>
      <c r="AE574" s="839" t="s">
        <v>75</v>
      </c>
      <c r="AF574" s="839" t="s">
        <v>75</v>
      </c>
      <c r="AG574" s="839" t="s">
        <v>75</v>
      </c>
      <c r="AH574" s="817" t="s">
        <v>75</v>
      </c>
      <c r="AI574" s="839" t="s">
        <v>75</v>
      </c>
      <c r="AJ574" s="787">
        <f t="shared" si="34"/>
        <v>79339</v>
      </c>
      <c r="AK574" s="838" t="s">
        <v>66</v>
      </c>
      <c r="AL574" s="817" t="s">
        <v>66</v>
      </c>
      <c r="AM574" s="839"/>
      <c r="AN574" s="817" t="s">
        <v>75</v>
      </c>
      <c r="AO574" s="817" t="s">
        <v>75</v>
      </c>
      <c r="AP574" s="817" t="s">
        <v>75</v>
      </c>
      <c r="AQ574" s="817" t="s">
        <v>75</v>
      </c>
      <c r="AR574" s="817" t="s">
        <v>75</v>
      </c>
      <c r="AS574" s="817" t="s">
        <v>75</v>
      </c>
      <c r="AT574" s="817" t="s">
        <v>75</v>
      </c>
      <c r="AU574" s="404" t="s">
        <v>223</v>
      </c>
      <c r="BM574" s="789"/>
      <c r="BN574" s="789"/>
      <c r="BO574" s="789"/>
      <c r="BP574" s="789"/>
      <c r="BQ574" s="789"/>
      <c r="BR574" s="789"/>
      <c r="BS574" s="789"/>
      <c r="BT574" s="789"/>
      <c r="BU574" s="789"/>
      <c r="BV574" s="789"/>
      <c r="BW574" s="789"/>
      <c r="BX574" s="789"/>
      <c r="BY574" s="789"/>
      <c r="BZ574" s="789"/>
      <c r="CA574" s="789"/>
      <c r="CB574" s="789"/>
      <c r="CC574" s="789"/>
      <c r="CD574" s="789"/>
      <c r="CE574" s="789"/>
      <c r="CF574" s="789"/>
      <c r="CG574" s="789"/>
      <c r="CH574" s="789"/>
      <c r="CI574" s="789"/>
      <c r="CJ574" s="789"/>
      <c r="CK574" s="789"/>
      <c r="CL574" s="789"/>
      <c r="CM574" s="789"/>
      <c r="CN574" s="789"/>
      <c r="CO574" s="789"/>
      <c r="CP574" s="789"/>
      <c r="CQ574" s="789"/>
      <c r="CR574" s="789"/>
      <c r="CS574" s="789"/>
      <c r="CT574" s="789"/>
      <c r="CU574" s="789"/>
      <c r="CV574" s="789"/>
      <c r="CW574" s="789"/>
      <c r="CX574" s="789"/>
      <c r="CY574" s="789"/>
      <c r="CZ574" s="789"/>
      <c r="DA574" s="789"/>
      <c r="DB574" s="789"/>
      <c r="DC574" s="789"/>
      <c r="DD574" s="789"/>
      <c r="DE574" s="789"/>
      <c r="DF574" s="789"/>
      <c r="DG574" s="789"/>
      <c r="DH574" s="789"/>
      <c r="DI574" s="789"/>
      <c r="DJ574" s="789"/>
      <c r="DK574" s="789"/>
      <c r="DL574" s="789"/>
      <c r="DM574" s="789"/>
      <c r="DN574" s="789"/>
      <c r="DO574" s="789"/>
      <c r="DP574" s="789"/>
      <c r="DQ574" s="789"/>
      <c r="DR574" s="789"/>
      <c r="DS574" s="789"/>
      <c r="DT574" s="789"/>
      <c r="DU574" s="789"/>
      <c r="DV574" s="789"/>
      <c r="DW574" s="789"/>
      <c r="DX574" s="789"/>
      <c r="DY574" s="789"/>
      <c r="DZ574" s="789"/>
      <c r="EA574" s="789"/>
      <c r="EB574" s="789"/>
      <c r="EC574" s="789"/>
      <c r="ED574" s="789"/>
      <c r="EE574" s="789"/>
      <c r="EF574" s="789"/>
      <c r="EG574" s="789"/>
      <c r="EH574" s="789"/>
      <c r="EI574" s="789"/>
      <c r="EJ574" s="789"/>
      <c r="EK574" s="789"/>
      <c r="EL574" s="789"/>
      <c r="EM574" s="789"/>
      <c r="EN574" s="789"/>
      <c r="EO574" s="789"/>
      <c r="EP574" s="789"/>
      <c r="EQ574" s="789"/>
      <c r="ER574" s="789"/>
      <c r="ES574" s="789"/>
      <c r="ET574" s="789"/>
      <c r="EU574" s="789"/>
      <c r="EV574" s="789"/>
      <c r="EW574" s="789"/>
      <c r="EX574" s="789"/>
      <c r="EY574" s="789"/>
      <c r="EZ574" s="789"/>
      <c r="FA574" s="789"/>
      <c r="FB574" s="789"/>
      <c r="FC574" s="789"/>
      <c r="FD574" s="789"/>
      <c r="FE574" s="789"/>
      <c r="FF574" s="789"/>
      <c r="FG574" s="789"/>
      <c r="FH574" s="789"/>
      <c r="FI574" s="789"/>
      <c r="FJ574" s="789"/>
      <c r="FK574" s="789"/>
      <c r="FL574" s="789"/>
      <c r="FM574" s="789"/>
      <c r="FN574" s="789"/>
      <c r="FO574" s="789"/>
      <c r="FP574" s="789"/>
      <c r="FQ574" s="789"/>
      <c r="FR574" s="789"/>
      <c r="FS574" s="789"/>
      <c r="FT574" s="789"/>
      <c r="FU574" s="789"/>
      <c r="FV574" s="789"/>
      <c r="FW574" s="789"/>
      <c r="FX574" s="789"/>
      <c r="FY574" s="789"/>
      <c r="FZ574" s="789"/>
      <c r="GA574" s="789"/>
      <c r="GB574" s="789"/>
      <c r="GC574" s="789"/>
      <c r="GD574" s="789"/>
      <c r="GE574" s="789"/>
      <c r="GF574" s="789"/>
      <c r="GG574" s="789"/>
      <c r="GH574" s="789"/>
      <c r="GI574" s="789"/>
      <c r="GJ574" s="789"/>
      <c r="GK574" s="789"/>
      <c r="GL574" s="789"/>
      <c r="GM574" s="789"/>
      <c r="GN574" s="789"/>
      <c r="GO574" s="789"/>
      <c r="GP574" s="789"/>
      <c r="GQ574" s="789"/>
      <c r="GR574" s="789"/>
      <c r="GS574" s="789"/>
      <c r="GT574" s="789"/>
      <c r="GU574" s="789"/>
      <c r="GV574" s="789"/>
      <c r="GW574" s="789"/>
      <c r="GX574" s="789"/>
      <c r="GY574" s="789"/>
      <c r="GZ574" s="789"/>
      <c r="HA574" s="789"/>
      <c r="HB574" s="789"/>
      <c r="HC574" s="789"/>
      <c r="HD574" s="789"/>
      <c r="HE574" s="789"/>
      <c r="HF574" s="789"/>
      <c r="HG574" s="789"/>
      <c r="HH574" s="789"/>
      <c r="HI574" s="789"/>
      <c r="HJ574" s="789"/>
    </row>
    <row r="575" spans="1:218" s="802" customFormat="1" ht="18.75" customHeight="1">
      <c r="A575" s="794">
        <v>573</v>
      </c>
      <c r="B575" s="836" t="s">
        <v>118</v>
      </c>
      <c r="C575" s="836" t="s">
        <v>1299</v>
      </c>
      <c r="D575" s="840">
        <v>38899</v>
      </c>
      <c r="E575" s="840">
        <v>39234</v>
      </c>
      <c r="F575" s="857">
        <v>2006</v>
      </c>
      <c r="G575" s="836" t="s">
        <v>5</v>
      </c>
      <c r="H575" s="837" t="s">
        <v>1451</v>
      </c>
      <c r="I575" s="836" t="s">
        <v>748</v>
      </c>
      <c r="J575" s="800" t="s">
        <v>2331</v>
      </c>
      <c r="K575" s="817">
        <v>2000</v>
      </c>
      <c r="L575" s="817">
        <v>0</v>
      </c>
      <c r="M575" s="817">
        <v>58727</v>
      </c>
      <c r="N575" s="817">
        <v>58727</v>
      </c>
      <c r="O575" s="808">
        <f t="shared" si="35"/>
        <v>29.363499999999998</v>
      </c>
      <c r="P575" s="817">
        <v>0</v>
      </c>
      <c r="Q575" s="817" t="s">
        <v>75</v>
      </c>
      <c r="R575" s="817" t="s">
        <v>75</v>
      </c>
      <c r="S575" s="817" t="s">
        <v>75</v>
      </c>
      <c r="T575" s="817" t="s">
        <v>849</v>
      </c>
      <c r="U575" s="817" t="s">
        <v>75</v>
      </c>
      <c r="V575" s="817" t="s">
        <v>75</v>
      </c>
      <c r="W575" s="817">
        <v>24370</v>
      </c>
      <c r="X575" s="817">
        <v>24370</v>
      </c>
      <c r="Y575" s="817"/>
      <c r="Z575" s="817" t="s">
        <v>75</v>
      </c>
      <c r="AA575" s="817">
        <v>2000</v>
      </c>
      <c r="AB575" s="817">
        <v>30</v>
      </c>
      <c r="AC575" s="817" t="s">
        <v>75</v>
      </c>
      <c r="AD575" s="817" t="s">
        <v>75</v>
      </c>
      <c r="AE575" s="817">
        <v>400</v>
      </c>
      <c r="AF575" s="817" t="s">
        <v>75</v>
      </c>
      <c r="AG575" s="817" t="s">
        <v>75</v>
      </c>
      <c r="AH575" s="817" t="s">
        <v>75</v>
      </c>
      <c r="AI575" s="817" t="s">
        <v>75</v>
      </c>
      <c r="AJ575" s="787">
        <f t="shared" si="34"/>
        <v>2000</v>
      </c>
      <c r="AK575" s="817" t="s">
        <v>75</v>
      </c>
      <c r="AL575" s="817" t="s">
        <v>75</v>
      </c>
      <c r="AM575" s="817"/>
      <c r="AN575" s="817" t="s">
        <v>75</v>
      </c>
      <c r="AO575" s="817" t="s">
        <v>75</v>
      </c>
      <c r="AP575" s="817" t="s">
        <v>75</v>
      </c>
      <c r="AQ575" s="817" t="s">
        <v>75</v>
      </c>
      <c r="AR575" s="817" t="s">
        <v>75</v>
      </c>
      <c r="AS575" s="817" t="s">
        <v>75</v>
      </c>
      <c r="AT575" s="817" t="s">
        <v>75</v>
      </c>
      <c r="AU575" s="363" t="s">
        <v>747</v>
      </c>
      <c r="AV575" s="845"/>
      <c r="AW575" s="845"/>
      <c r="AX575" s="845"/>
      <c r="AY575" s="845"/>
      <c r="AZ575" s="845"/>
      <c r="BA575" s="845"/>
      <c r="BB575" s="845"/>
      <c r="BC575" s="845"/>
      <c r="BD575" s="845"/>
      <c r="BE575" s="845"/>
      <c r="BF575" s="845"/>
      <c r="BG575" s="845"/>
      <c r="BH575" s="845"/>
      <c r="BI575" s="845"/>
      <c r="BJ575" s="845"/>
      <c r="BK575" s="845"/>
      <c r="BL575" s="845"/>
      <c r="BM575" s="845"/>
      <c r="BN575" s="789"/>
      <c r="BO575" s="789"/>
      <c r="BP575" s="789"/>
      <c r="BQ575" s="789"/>
      <c r="BR575" s="789"/>
      <c r="BS575" s="789"/>
      <c r="BT575" s="789"/>
      <c r="BU575" s="789"/>
      <c r="BV575" s="789"/>
      <c r="BW575" s="789"/>
      <c r="BX575" s="789"/>
      <c r="BY575" s="789"/>
      <c r="BZ575" s="789"/>
      <c r="CA575" s="789"/>
      <c r="CB575" s="789"/>
      <c r="CC575" s="789"/>
      <c r="CD575" s="789"/>
      <c r="CE575" s="789"/>
      <c r="CF575" s="789"/>
      <c r="CG575" s="789"/>
      <c r="CH575" s="789"/>
      <c r="CI575" s="789"/>
      <c r="CJ575" s="789"/>
      <c r="CK575" s="789"/>
      <c r="CL575" s="789"/>
      <c r="CM575" s="789"/>
      <c r="CN575" s="789"/>
      <c r="CO575" s="789"/>
      <c r="CP575" s="789"/>
      <c r="CQ575" s="789"/>
      <c r="CR575" s="789"/>
      <c r="CS575" s="789"/>
      <c r="CT575" s="789"/>
      <c r="CU575" s="789"/>
      <c r="CV575" s="789"/>
      <c r="CW575" s="789"/>
      <c r="CX575" s="789"/>
      <c r="CY575" s="789"/>
      <c r="CZ575" s="789"/>
      <c r="DA575" s="789"/>
      <c r="DB575" s="789"/>
      <c r="DC575" s="789"/>
      <c r="DD575" s="789"/>
      <c r="DE575" s="789"/>
      <c r="DF575" s="789"/>
      <c r="DG575" s="789"/>
      <c r="DH575" s="789"/>
      <c r="DI575" s="789"/>
      <c r="DJ575" s="789"/>
      <c r="DK575" s="789"/>
      <c r="DL575" s="789"/>
      <c r="DM575" s="789"/>
      <c r="DN575" s="789"/>
      <c r="DO575" s="789"/>
      <c r="DP575" s="789"/>
      <c r="DQ575" s="789"/>
      <c r="DR575" s="789"/>
      <c r="DS575" s="789"/>
      <c r="DT575" s="789"/>
      <c r="DU575" s="789"/>
      <c r="DV575" s="789"/>
      <c r="DW575" s="789"/>
      <c r="DX575" s="789"/>
      <c r="DY575" s="789"/>
      <c r="DZ575" s="789"/>
      <c r="EA575" s="789"/>
      <c r="EB575" s="789"/>
      <c r="EC575" s="789"/>
      <c r="ED575" s="789"/>
      <c r="EE575" s="789"/>
      <c r="EF575" s="789"/>
      <c r="EG575" s="789"/>
      <c r="EH575" s="789"/>
      <c r="EI575" s="789"/>
      <c r="EJ575" s="789"/>
      <c r="EK575" s="789"/>
      <c r="EL575" s="789"/>
      <c r="EM575" s="789"/>
      <c r="EN575" s="789"/>
      <c r="EO575" s="789"/>
      <c r="EP575" s="789"/>
      <c r="EQ575" s="789"/>
      <c r="ER575" s="789"/>
      <c r="ES575" s="789"/>
      <c r="ET575" s="789"/>
      <c r="EU575" s="789"/>
      <c r="EV575" s="789"/>
      <c r="EW575" s="789"/>
      <c r="EX575" s="789"/>
      <c r="EY575" s="789"/>
      <c r="EZ575" s="789"/>
      <c r="FA575" s="789"/>
      <c r="FB575" s="789"/>
      <c r="FC575" s="789"/>
      <c r="FD575" s="789"/>
      <c r="FE575" s="789"/>
      <c r="FF575" s="789"/>
      <c r="FG575" s="789"/>
      <c r="FH575" s="789"/>
      <c r="FI575" s="789"/>
      <c r="FJ575" s="789"/>
      <c r="FK575" s="789"/>
      <c r="FL575" s="789"/>
      <c r="FM575" s="789"/>
      <c r="FN575" s="789"/>
      <c r="FO575" s="789"/>
      <c r="FP575" s="789"/>
      <c r="FQ575" s="789"/>
      <c r="FR575" s="789"/>
      <c r="FS575" s="789"/>
      <c r="FT575" s="789"/>
      <c r="FU575" s="789"/>
      <c r="FV575" s="789"/>
      <c r="FW575" s="789"/>
      <c r="FX575" s="789"/>
      <c r="FY575" s="789"/>
      <c r="FZ575" s="789"/>
      <c r="GA575" s="789"/>
      <c r="GB575" s="789"/>
      <c r="GC575" s="789"/>
      <c r="GD575" s="789"/>
      <c r="GE575" s="789"/>
      <c r="GF575" s="789"/>
      <c r="GG575" s="789"/>
      <c r="GH575" s="789"/>
      <c r="GI575" s="789"/>
      <c r="GJ575" s="789"/>
      <c r="GK575" s="789"/>
      <c r="GL575" s="789"/>
      <c r="GM575" s="789"/>
      <c r="GN575" s="789"/>
      <c r="GO575" s="789"/>
      <c r="GP575" s="789"/>
      <c r="GQ575" s="789"/>
      <c r="GR575" s="789"/>
      <c r="GS575" s="789"/>
      <c r="GT575" s="789"/>
      <c r="GU575" s="789"/>
      <c r="GV575" s="789"/>
      <c r="GW575" s="789"/>
      <c r="GX575" s="789"/>
      <c r="GY575" s="789"/>
      <c r="GZ575" s="789"/>
      <c r="HA575" s="789"/>
      <c r="HB575" s="789"/>
      <c r="HC575" s="789"/>
      <c r="HD575" s="789"/>
      <c r="HE575" s="789"/>
      <c r="HF575" s="789"/>
      <c r="HG575" s="789"/>
      <c r="HH575" s="789"/>
      <c r="HI575" s="789"/>
      <c r="HJ575" s="789"/>
    </row>
    <row r="576" spans="1:218" s="802" customFormat="1" ht="18.75" customHeight="1">
      <c r="A576" s="794">
        <v>574</v>
      </c>
      <c r="B576" s="812" t="s">
        <v>2406</v>
      </c>
      <c r="C576" s="854" t="s">
        <v>1278</v>
      </c>
      <c r="D576" s="792">
        <v>38919</v>
      </c>
      <c r="E576" s="792">
        <v>39903</v>
      </c>
      <c r="F576" s="857">
        <v>2006</v>
      </c>
      <c r="G576" s="836" t="s">
        <v>668</v>
      </c>
      <c r="H576" s="837" t="s">
        <v>1452</v>
      </c>
      <c r="I576" s="812" t="s">
        <v>667</v>
      </c>
      <c r="J576" s="812" t="s">
        <v>2438</v>
      </c>
      <c r="K576" s="842">
        <v>50000</v>
      </c>
      <c r="L576" s="842">
        <v>5037019</v>
      </c>
      <c r="M576" s="842">
        <v>4014458</v>
      </c>
      <c r="N576" s="842">
        <v>4014458</v>
      </c>
      <c r="O576" s="808">
        <f t="shared" si="35"/>
        <v>80.289159999999995</v>
      </c>
      <c r="P576" s="842">
        <v>80</v>
      </c>
      <c r="Q576" s="842" t="s">
        <v>75</v>
      </c>
      <c r="R576" s="842" t="s">
        <v>75</v>
      </c>
      <c r="S576" s="842" t="s">
        <v>75</v>
      </c>
      <c r="T576" s="842" t="s">
        <v>95</v>
      </c>
      <c r="U576" s="842" t="s">
        <v>75</v>
      </c>
      <c r="V576" s="842" t="s">
        <v>75</v>
      </c>
      <c r="W576" s="842">
        <v>86590</v>
      </c>
      <c r="X576" s="842">
        <v>85705</v>
      </c>
      <c r="Y576" s="842"/>
      <c r="Z576" s="842" t="s">
        <v>75</v>
      </c>
      <c r="AA576" s="842" t="s">
        <v>75</v>
      </c>
      <c r="AB576" s="842" t="s">
        <v>75</v>
      </c>
      <c r="AC576" s="842" t="s">
        <v>75</v>
      </c>
      <c r="AD576" s="842" t="s">
        <v>75</v>
      </c>
      <c r="AE576" s="842" t="s">
        <v>75</v>
      </c>
      <c r="AF576" s="842" t="s">
        <v>75</v>
      </c>
      <c r="AG576" s="842" t="s">
        <v>75</v>
      </c>
      <c r="AH576" s="842" t="s">
        <v>75</v>
      </c>
      <c r="AI576" s="842" t="s">
        <v>75</v>
      </c>
      <c r="AJ576" s="787">
        <f t="shared" si="34"/>
        <v>0</v>
      </c>
      <c r="AK576" s="842">
        <v>3607</v>
      </c>
      <c r="AL576" s="842">
        <v>222347</v>
      </c>
      <c r="AM576" s="842"/>
      <c r="AN576" s="842" t="s">
        <v>75</v>
      </c>
      <c r="AO576" s="842" t="s">
        <v>75</v>
      </c>
      <c r="AP576" s="842" t="s">
        <v>75</v>
      </c>
      <c r="AQ576" s="842" t="s">
        <v>75</v>
      </c>
      <c r="AR576" s="842" t="s">
        <v>75</v>
      </c>
      <c r="AS576" s="842" t="s">
        <v>75</v>
      </c>
      <c r="AT576" s="842" t="s">
        <v>75</v>
      </c>
      <c r="AU576" s="293" t="s">
        <v>666</v>
      </c>
      <c r="AV576" s="853"/>
      <c r="AW576" s="853"/>
      <c r="AX576" s="853"/>
      <c r="AY576" s="853"/>
      <c r="AZ576" s="853"/>
      <c r="BA576" s="853"/>
      <c r="BB576" s="853"/>
      <c r="BC576" s="853"/>
      <c r="BD576" s="853"/>
      <c r="BE576" s="853"/>
      <c r="BF576" s="853"/>
      <c r="BG576" s="853"/>
      <c r="BH576" s="853"/>
      <c r="BI576" s="853"/>
      <c r="BJ576" s="853"/>
      <c r="BK576" s="853"/>
      <c r="BL576" s="853"/>
      <c r="BM576" s="853"/>
      <c r="BN576" s="789"/>
      <c r="BO576" s="789"/>
      <c r="BP576" s="789"/>
      <c r="BQ576" s="789"/>
      <c r="BR576" s="789"/>
      <c r="BS576" s="789"/>
      <c r="BT576" s="789"/>
      <c r="BU576" s="789"/>
      <c r="BV576" s="789"/>
      <c r="BW576" s="789"/>
      <c r="BX576" s="789"/>
      <c r="BY576" s="789"/>
      <c r="BZ576" s="789"/>
      <c r="CA576" s="789"/>
      <c r="CB576" s="789"/>
      <c r="CC576" s="789"/>
      <c r="CD576" s="789"/>
      <c r="CE576" s="789"/>
      <c r="CF576" s="789"/>
      <c r="CG576" s="789"/>
      <c r="CH576" s="789"/>
      <c r="CI576" s="789"/>
      <c r="CJ576" s="789"/>
      <c r="CK576" s="789"/>
      <c r="CL576" s="789"/>
      <c r="CM576" s="789"/>
      <c r="CN576" s="789"/>
      <c r="CO576" s="789"/>
      <c r="CP576" s="789"/>
      <c r="CQ576" s="789"/>
      <c r="CR576" s="789"/>
      <c r="CS576" s="789"/>
      <c r="CT576" s="789"/>
      <c r="CU576" s="789"/>
      <c r="CV576" s="789"/>
      <c r="CW576" s="789"/>
      <c r="CX576" s="789"/>
      <c r="CY576" s="789"/>
      <c r="CZ576" s="789"/>
      <c r="DA576" s="789"/>
      <c r="DB576" s="789"/>
      <c r="DC576" s="789"/>
      <c r="DD576" s="789"/>
      <c r="DE576" s="789"/>
      <c r="DF576" s="789"/>
      <c r="DG576" s="789"/>
      <c r="DH576" s="789"/>
      <c r="DI576" s="789"/>
      <c r="DJ576" s="789"/>
      <c r="DK576" s="789"/>
      <c r="DL576" s="789"/>
      <c r="DM576" s="789"/>
      <c r="DN576" s="789"/>
      <c r="DO576" s="789"/>
      <c r="DP576" s="789"/>
      <c r="DQ576" s="789"/>
      <c r="DR576" s="789"/>
      <c r="DS576" s="789"/>
      <c r="DT576" s="789"/>
      <c r="DU576" s="789"/>
      <c r="DV576" s="789"/>
      <c r="DW576" s="789"/>
      <c r="DX576" s="789"/>
      <c r="DY576" s="789"/>
      <c r="DZ576" s="789"/>
      <c r="EA576" s="789"/>
      <c r="EB576" s="789"/>
      <c r="EC576" s="789"/>
      <c r="ED576" s="789"/>
      <c r="EE576" s="789"/>
      <c r="EF576" s="789"/>
      <c r="EG576" s="789"/>
      <c r="EH576" s="789"/>
      <c r="EI576" s="789"/>
      <c r="EJ576" s="789"/>
      <c r="EK576" s="789"/>
      <c r="EL576" s="789"/>
      <c r="EM576" s="789"/>
      <c r="EN576" s="789"/>
      <c r="EO576" s="789"/>
      <c r="EP576" s="789"/>
      <c r="EQ576" s="789"/>
      <c r="ER576" s="789"/>
      <c r="ES576" s="789"/>
      <c r="ET576" s="789"/>
      <c r="EU576" s="789"/>
      <c r="EV576" s="789"/>
      <c r="EW576" s="789"/>
      <c r="EX576" s="789"/>
      <c r="EY576" s="789"/>
      <c r="EZ576" s="789"/>
      <c r="FA576" s="789"/>
      <c r="FB576" s="789"/>
      <c r="FC576" s="789"/>
      <c r="FD576" s="789"/>
      <c r="FE576" s="789"/>
      <c r="FF576" s="789"/>
      <c r="FG576" s="789"/>
      <c r="FH576" s="789"/>
      <c r="FI576" s="789"/>
      <c r="FJ576" s="789"/>
      <c r="FK576" s="789"/>
      <c r="FL576" s="789"/>
      <c r="FM576" s="789"/>
      <c r="FN576" s="789"/>
      <c r="FO576" s="789"/>
      <c r="FP576" s="789"/>
      <c r="FQ576" s="789"/>
      <c r="FR576" s="789"/>
      <c r="FS576" s="789"/>
      <c r="FT576" s="789"/>
      <c r="FU576" s="789"/>
      <c r="FV576" s="789"/>
      <c r="FW576" s="789"/>
      <c r="FX576" s="789"/>
      <c r="FY576" s="789"/>
      <c r="FZ576" s="789"/>
      <c r="GA576" s="789"/>
      <c r="GB576" s="789"/>
      <c r="GC576" s="789"/>
      <c r="GD576" s="789"/>
      <c r="GE576" s="789"/>
      <c r="GF576" s="789"/>
      <c r="GG576" s="789"/>
      <c r="GH576" s="789"/>
      <c r="GI576" s="789"/>
      <c r="GJ576" s="789"/>
      <c r="GK576" s="789"/>
      <c r="GL576" s="789"/>
      <c r="GM576" s="789"/>
      <c r="GN576" s="789"/>
      <c r="GO576" s="789"/>
      <c r="GP576" s="789"/>
      <c r="GQ576" s="789"/>
      <c r="GR576" s="789"/>
      <c r="GS576" s="789"/>
      <c r="GT576" s="789"/>
      <c r="GU576" s="789"/>
      <c r="GV576" s="789"/>
      <c r="GW576" s="789"/>
      <c r="GX576" s="789"/>
      <c r="GY576" s="789"/>
      <c r="GZ576" s="789"/>
      <c r="HA576" s="789"/>
      <c r="HB576" s="789"/>
      <c r="HC576" s="789"/>
      <c r="HD576" s="789"/>
      <c r="HE576" s="789"/>
      <c r="HF576" s="789"/>
      <c r="HG576" s="789"/>
      <c r="HH576" s="789"/>
      <c r="HI576" s="789"/>
      <c r="HJ576" s="789"/>
    </row>
    <row r="577" spans="1:218" s="789" customFormat="1" ht="18.75" customHeight="1">
      <c r="A577" s="794">
        <v>575</v>
      </c>
      <c r="B577" s="804" t="s">
        <v>279</v>
      </c>
      <c r="C577" s="804" t="s">
        <v>1299</v>
      </c>
      <c r="D577" s="805">
        <v>38777</v>
      </c>
      <c r="E577" s="840">
        <v>38838</v>
      </c>
      <c r="F577" s="857">
        <v>2006</v>
      </c>
      <c r="G577" s="804" t="s">
        <v>296</v>
      </c>
      <c r="H577" s="837" t="s">
        <v>1451</v>
      </c>
      <c r="I577" s="836" t="s">
        <v>295</v>
      </c>
      <c r="J577" s="800" t="s">
        <v>2331</v>
      </c>
      <c r="K577" s="817">
        <v>2100</v>
      </c>
      <c r="L577" s="839">
        <v>89968</v>
      </c>
      <c r="M577" s="839">
        <v>83944</v>
      </c>
      <c r="N577" s="817">
        <v>83944</v>
      </c>
      <c r="O577" s="808">
        <f t="shared" si="35"/>
        <v>39.973333333333336</v>
      </c>
      <c r="P577" s="817">
        <v>93.3</v>
      </c>
      <c r="Q577" s="839">
        <v>14000</v>
      </c>
      <c r="R577" s="817" t="s">
        <v>75</v>
      </c>
      <c r="S577" s="817">
        <v>14000</v>
      </c>
      <c r="T577" s="817" t="s">
        <v>233</v>
      </c>
      <c r="U577" s="839">
        <v>20</v>
      </c>
      <c r="V577" s="817" t="s">
        <v>134</v>
      </c>
      <c r="W577" s="817">
        <v>6270</v>
      </c>
      <c r="X577" s="817">
        <v>22112</v>
      </c>
      <c r="Y577" s="808">
        <f>X577/S577</f>
        <v>1.5794285714285714</v>
      </c>
      <c r="Z577" s="817" t="s">
        <v>2</v>
      </c>
      <c r="AA577" s="817" t="s">
        <v>134</v>
      </c>
      <c r="AB577" s="839">
        <v>20</v>
      </c>
      <c r="AC577" s="817" t="s">
        <v>75</v>
      </c>
      <c r="AD577" s="817" t="s">
        <v>75</v>
      </c>
      <c r="AE577" s="839">
        <v>630</v>
      </c>
      <c r="AF577" s="817" t="s">
        <v>134</v>
      </c>
      <c r="AG577" s="839">
        <v>1440</v>
      </c>
      <c r="AH577" s="817" t="s">
        <v>134</v>
      </c>
      <c r="AI577" s="817" t="s">
        <v>75</v>
      </c>
      <c r="AJ577" s="787">
        <f t="shared" si="34"/>
        <v>0</v>
      </c>
      <c r="AK577" s="817" t="s">
        <v>66</v>
      </c>
      <c r="AL577" s="817" t="s">
        <v>66</v>
      </c>
      <c r="AM577" s="839"/>
      <c r="AN577" s="817" t="s">
        <v>75</v>
      </c>
      <c r="AO577" s="817" t="s">
        <v>75</v>
      </c>
      <c r="AP577" s="817" t="s">
        <v>75</v>
      </c>
      <c r="AQ577" s="817" t="s">
        <v>75</v>
      </c>
      <c r="AR577" s="817" t="s">
        <v>75</v>
      </c>
      <c r="AS577" s="817" t="s">
        <v>75</v>
      </c>
      <c r="AT577" s="817" t="s">
        <v>75</v>
      </c>
      <c r="AU577" s="965" t="s">
        <v>294</v>
      </c>
      <c r="AV577" s="802"/>
      <c r="AW577" s="802"/>
      <c r="AX577" s="802"/>
      <c r="AY577" s="802"/>
      <c r="AZ577" s="802"/>
      <c r="BA577" s="802"/>
      <c r="BB577" s="802"/>
      <c r="BC577" s="802"/>
      <c r="BD577" s="802"/>
      <c r="BE577" s="802"/>
      <c r="BF577" s="802"/>
      <c r="BG577" s="802"/>
      <c r="BH577" s="802"/>
      <c r="BI577" s="802"/>
      <c r="BJ577" s="802"/>
      <c r="BK577" s="802"/>
      <c r="BL577" s="802"/>
    </row>
    <row r="578" spans="1:218" s="802" customFormat="1" ht="18.75" customHeight="1">
      <c r="A578" s="794">
        <v>576</v>
      </c>
      <c r="B578" s="804" t="s">
        <v>145</v>
      </c>
      <c r="C578" s="804" t="s">
        <v>1299</v>
      </c>
      <c r="D578" s="805">
        <v>38749</v>
      </c>
      <c r="E578" s="805">
        <v>38991</v>
      </c>
      <c r="F578" s="857">
        <v>2006</v>
      </c>
      <c r="G578" s="804" t="s">
        <v>147</v>
      </c>
      <c r="H578" s="841" t="s">
        <v>1449</v>
      </c>
      <c r="I578" s="836" t="s">
        <v>146</v>
      </c>
      <c r="J578" s="800" t="s">
        <v>2331</v>
      </c>
      <c r="K578" s="817">
        <v>500000</v>
      </c>
      <c r="L578" s="839">
        <v>100000</v>
      </c>
      <c r="M578" s="839">
        <v>99899</v>
      </c>
      <c r="N578" s="817">
        <v>99899</v>
      </c>
      <c r="O578" s="808">
        <f t="shared" si="35"/>
        <v>0.199798</v>
      </c>
      <c r="P578" s="839">
        <v>100</v>
      </c>
      <c r="Q578" s="839"/>
      <c r="R578" s="839"/>
      <c r="S578" s="817"/>
      <c r="T578" s="817" t="s">
        <v>233</v>
      </c>
      <c r="U578" s="839"/>
      <c r="V578" s="817"/>
      <c r="W578" s="817" t="s">
        <v>66</v>
      </c>
      <c r="X578" s="817" t="s">
        <v>66</v>
      </c>
      <c r="Y578" s="817"/>
      <c r="Z578" s="817"/>
      <c r="AA578" s="817">
        <v>500000</v>
      </c>
      <c r="AB578" s="839">
        <v>30</v>
      </c>
      <c r="AC578" s="817"/>
      <c r="AD578" s="848"/>
      <c r="AE578" s="839"/>
      <c r="AF578" s="839" t="s">
        <v>75</v>
      </c>
      <c r="AG578" s="839" t="s">
        <v>75</v>
      </c>
      <c r="AH578" s="817">
        <v>50</v>
      </c>
      <c r="AI578" s="839"/>
      <c r="AJ578" s="787">
        <f t="shared" si="34"/>
        <v>500050</v>
      </c>
      <c r="AK578" s="817" t="s">
        <v>66</v>
      </c>
      <c r="AL578" s="817" t="s">
        <v>66</v>
      </c>
      <c r="AM578" s="839"/>
      <c r="AN578" s="817" t="s">
        <v>75</v>
      </c>
      <c r="AO578" s="817" t="s">
        <v>75</v>
      </c>
      <c r="AP578" s="817" t="s">
        <v>75</v>
      </c>
      <c r="AQ578" s="817" t="s">
        <v>75</v>
      </c>
      <c r="AR578" s="817" t="s">
        <v>75</v>
      </c>
      <c r="AS578" s="817" t="s">
        <v>75</v>
      </c>
      <c r="AT578" s="817" t="s">
        <v>75</v>
      </c>
      <c r="AU578" s="404" t="s">
        <v>150</v>
      </c>
      <c r="BM578" s="789"/>
      <c r="BN578" s="789"/>
      <c r="BO578" s="789"/>
      <c r="BP578" s="789"/>
      <c r="BQ578" s="789"/>
      <c r="BR578" s="789"/>
      <c r="BS578" s="789"/>
      <c r="BT578" s="789"/>
      <c r="BU578" s="789"/>
      <c r="BV578" s="789"/>
      <c r="BW578" s="789"/>
      <c r="BX578" s="789"/>
      <c r="BY578" s="789"/>
      <c r="BZ578" s="789"/>
      <c r="CA578" s="789"/>
      <c r="CB578" s="789"/>
      <c r="CC578" s="789"/>
      <c r="CD578" s="789"/>
      <c r="CE578" s="789"/>
      <c r="CF578" s="789"/>
      <c r="CG578" s="789"/>
      <c r="CH578" s="789"/>
      <c r="CI578" s="789"/>
      <c r="CJ578" s="789"/>
      <c r="CK578" s="789"/>
      <c r="CL578" s="789"/>
      <c r="CM578" s="789"/>
      <c r="CN578" s="789"/>
      <c r="CO578" s="789"/>
      <c r="CP578" s="789"/>
      <c r="CQ578" s="789"/>
      <c r="CR578" s="789"/>
      <c r="CS578" s="789"/>
      <c r="CT578" s="789"/>
      <c r="CU578" s="789"/>
      <c r="CV578" s="789"/>
      <c r="CW578" s="789"/>
      <c r="CX578" s="789"/>
      <c r="CY578" s="789"/>
      <c r="CZ578" s="789"/>
      <c r="DA578" s="789"/>
      <c r="DB578" s="789"/>
      <c r="DC578" s="789"/>
      <c r="DD578" s="789"/>
      <c r="DE578" s="789"/>
      <c r="DF578" s="789"/>
      <c r="DG578" s="789"/>
      <c r="DH578" s="789"/>
      <c r="DI578" s="789"/>
      <c r="DJ578" s="789"/>
      <c r="DK578" s="789"/>
      <c r="DL578" s="789"/>
      <c r="DM578" s="789"/>
      <c r="DN578" s="789"/>
      <c r="DO578" s="789"/>
      <c r="DP578" s="789"/>
      <c r="DQ578" s="789"/>
      <c r="DR578" s="789"/>
      <c r="DS578" s="789"/>
      <c r="DT578" s="789"/>
      <c r="DU578" s="789"/>
      <c r="DV578" s="789"/>
      <c r="DW578" s="789"/>
      <c r="DX578" s="789"/>
      <c r="DY578" s="789"/>
      <c r="DZ578" s="789"/>
      <c r="EA578" s="789"/>
      <c r="EB578" s="789"/>
      <c r="EC578" s="789"/>
      <c r="ED578" s="789"/>
      <c r="EE578" s="789"/>
      <c r="EF578" s="789"/>
      <c r="EG578" s="789"/>
      <c r="EH578" s="789"/>
      <c r="EI578" s="789"/>
      <c r="EJ578" s="789"/>
      <c r="EK578" s="789"/>
      <c r="EL578" s="789"/>
      <c r="EM578" s="789"/>
      <c r="EN578" s="789"/>
      <c r="EO578" s="789"/>
      <c r="EP578" s="789"/>
      <c r="EQ578" s="789"/>
      <c r="ER578" s="789"/>
      <c r="ES578" s="789"/>
      <c r="ET578" s="789"/>
      <c r="EU578" s="789"/>
      <c r="EV578" s="789"/>
      <c r="EW578" s="789"/>
      <c r="EX578" s="789"/>
      <c r="EY578" s="789"/>
      <c r="EZ578" s="789"/>
      <c r="FA578" s="789"/>
      <c r="FB578" s="789"/>
      <c r="FC578" s="789"/>
      <c r="FD578" s="789"/>
      <c r="FE578" s="789"/>
      <c r="FF578" s="789"/>
      <c r="FG578" s="789"/>
      <c r="FH578" s="789"/>
      <c r="FI578" s="789"/>
      <c r="FJ578" s="789"/>
      <c r="FK578" s="789"/>
      <c r="FL578" s="789"/>
      <c r="FM578" s="789"/>
      <c r="FN578" s="789"/>
      <c r="FO578" s="789"/>
      <c r="FP578" s="789"/>
      <c r="FQ578" s="789"/>
      <c r="FR578" s="789"/>
      <c r="FS578" s="789"/>
      <c r="FT578" s="789"/>
      <c r="FU578" s="789"/>
      <c r="FV578" s="789"/>
      <c r="FW578" s="789"/>
      <c r="FX578" s="789"/>
      <c r="FY578" s="789"/>
      <c r="FZ578" s="789"/>
      <c r="GA578" s="789"/>
      <c r="GB578" s="789"/>
      <c r="GC578" s="789"/>
      <c r="GD578" s="789"/>
      <c r="GE578" s="789"/>
      <c r="GF578" s="789"/>
      <c r="GG578" s="789"/>
      <c r="GH578" s="789"/>
      <c r="GI578" s="789"/>
      <c r="GJ578" s="789"/>
      <c r="GK578" s="789"/>
      <c r="GL578" s="789"/>
      <c r="GM578" s="789"/>
      <c r="GN578" s="789"/>
      <c r="GO578" s="789"/>
      <c r="GP578" s="789"/>
      <c r="GQ578" s="789"/>
      <c r="GR578" s="789"/>
      <c r="GS578" s="789"/>
      <c r="GT578" s="789"/>
      <c r="GU578" s="789"/>
      <c r="GV578" s="789"/>
      <c r="GW578" s="789"/>
      <c r="GX578" s="789"/>
      <c r="GY578" s="789"/>
      <c r="GZ578" s="789"/>
      <c r="HA578" s="789"/>
      <c r="HB578" s="789"/>
      <c r="HC578" s="789"/>
      <c r="HD578" s="789"/>
      <c r="HE578" s="789"/>
      <c r="HF578" s="789"/>
      <c r="HG578" s="789"/>
      <c r="HH578" s="789"/>
      <c r="HI578" s="789"/>
      <c r="HJ578" s="789"/>
    </row>
    <row r="579" spans="1:218" s="802" customFormat="1" ht="18.75" customHeight="1">
      <c r="A579" s="794">
        <v>577</v>
      </c>
      <c r="B579" s="802" t="s">
        <v>145</v>
      </c>
      <c r="C579" s="804" t="s">
        <v>1299</v>
      </c>
      <c r="D579" s="840">
        <v>39052</v>
      </c>
      <c r="E579" s="840">
        <v>39387</v>
      </c>
      <c r="F579" s="857">
        <v>2006</v>
      </c>
      <c r="G579" s="836" t="s">
        <v>280</v>
      </c>
      <c r="H579" s="837" t="s">
        <v>1461</v>
      </c>
      <c r="I579" s="789" t="s">
        <v>2052</v>
      </c>
      <c r="J579" s="800" t="s">
        <v>2331</v>
      </c>
      <c r="K579" s="817">
        <v>2000</v>
      </c>
      <c r="L579" s="817">
        <v>0</v>
      </c>
      <c r="M579" s="817">
        <v>94255</v>
      </c>
      <c r="N579" s="817">
        <v>94255</v>
      </c>
      <c r="O579" s="808">
        <f t="shared" si="35"/>
        <v>47.127499999999998</v>
      </c>
      <c r="P579" s="852" t="s">
        <v>66</v>
      </c>
      <c r="Q579" s="817" t="s">
        <v>75</v>
      </c>
      <c r="R579" s="817" t="s">
        <v>75</v>
      </c>
      <c r="S579" s="817" t="s">
        <v>75</v>
      </c>
      <c r="T579" s="817" t="s">
        <v>233</v>
      </c>
      <c r="U579" s="839" t="s">
        <v>75</v>
      </c>
      <c r="V579" s="817" t="s">
        <v>75</v>
      </c>
      <c r="W579" s="817" t="s">
        <v>66</v>
      </c>
      <c r="X579" s="817" t="s">
        <v>66</v>
      </c>
      <c r="Y579" s="817"/>
      <c r="Z579" s="817">
        <v>2000</v>
      </c>
      <c r="AA579" s="817" t="s">
        <v>134</v>
      </c>
      <c r="AB579" s="817" t="s">
        <v>134</v>
      </c>
      <c r="AC579" s="817" t="s">
        <v>75</v>
      </c>
      <c r="AD579" s="817" t="s">
        <v>75</v>
      </c>
      <c r="AE579" s="817" t="s">
        <v>75</v>
      </c>
      <c r="AF579" s="817" t="s">
        <v>75</v>
      </c>
      <c r="AG579" s="817" t="s">
        <v>75</v>
      </c>
      <c r="AH579" s="817" t="s">
        <v>134</v>
      </c>
      <c r="AI579" s="817" t="s">
        <v>75</v>
      </c>
      <c r="AJ579" s="787">
        <f t="shared" si="34"/>
        <v>2000</v>
      </c>
      <c r="AK579" s="817">
        <v>0</v>
      </c>
      <c r="AL579" s="817">
        <v>11542</v>
      </c>
      <c r="AM579" s="817"/>
      <c r="AN579" s="817" t="s">
        <v>75</v>
      </c>
      <c r="AO579" s="817" t="s">
        <v>75</v>
      </c>
      <c r="AP579" s="817" t="s">
        <v>75</v>
      </c>
      <c r="AQ579" s="817" t="s">
        <v>75</v>
      </c>
      <c r="AR579" s="817" t="s">
        <v>75</v>
      </c>
      <c r="AS579" s="817" t="s">
        <v>75</v>
      </c>
      <c r="AT579" s="817" t="s">
        <v>75</v>
      </c>
      <c r="AU579" s="415" t="s">
        <v>2051</v>
      </c>
      <c r="AV579" s="789"/>
      <c r="AW579" s="789"/>
      <c r="AX579" s="789"/>
      <c r="AY579" s="789"/>
      <c r="AZ579" s="789"/>
      <c r="BA579" s="789"/>
      <c r="BB579" s="789"/>
      <c r="BC579" s="789"/>
      <c r="BD579" s="789"/>
      <c r="BE579" s="789"/>
      <c r="BF579" s="789"/>
      <c r="BG579" s="789"/>
      <c r="BH579" s="789"/>
      <c r="BI579" s="789"/>
      <c r="BJ579" s="789"/>
      <c r="BK579" s="789"/>
      <c r="BL579" s="789"/>
      <c r="BM579" s="789"/>
      <c r="BN579" s="789"/>
      <c r="BO579" s="789"/>
      <c r="BP579" s="789"/>
      <c r="BQ579" s="789"/>
      <c r="BR579" s="789"/>
      <c r="BS579" s="789"/>
      <c r="BT579" s="789"/>
      <c r="BU579" s="789"/>
      <c r="BV579" s="789"/>
      <c r="BW579" s="789"/>
      <c r="BX579" s="789"/>
      <c r="BY579" s="789"/>
      <c r="BZ579" s="789"/>
      <c r="CA579" s="789"/>
      <c r="CB579" s="789"/>
      <c r="CC579" s="789"/>
      <c r="CD579" s="789"/>
      <c r="CE579" s="789"/>
      <c r="CF579" s="789"/>
      <c r="CG579" s="789"/>
      <c r="CH579" s="789"/>
      <c r="CI579" s="789"/>
      <c r="CJ579" s="789"/>
      <c r="CK579" s="789"/>
      <c r="CL579" s="789"/>
      <c r="CM579" s="789"/>
      <c r="CN579" s="789"/>
      <c r="CO579" s="789"/>
      <c r="CP579" s="789"/>
      <c r="CQ579" s="789"/>
      <c r="CR579" s="789"/>
      <c r="CS579" s="789"/>
      <c r="CT579" s="789"/>
      <c r="CU579" s="789"/>
      <c r="CV579" s="789"/>
      <c r="CW579" s="789"/>
      <c r="CX579" s="789"/>
      <c r="CY579" s="789"/>
      <c r="CZ579" s="789"/>
      <c r="DA579" s="789"/>
      <c r="DB579" s="789"/>
      <c r="DC579" s="789"/>
      <c r="DD579" s="789"/>
      <c r="DE579" s="789"/>
      <c r="DF579" s="789"/>
      <c r="DG579" s="789"/>
      <c r="DH579" s="789"/>
      <c r="DI579" s="789"/>
      <c r="DJ579" s="789"/>
      <c r="DK579" s="789"/>
      <c r="DL579" s="789"/>
      <c r="DM579" s="789"/>
      <c r="DN579" s="789"/>
      <c r="DO579" s="789"/>
      <c r="DP579" s="789"/>
      <c r="DQ579" s="789"/>
      <c r="DR579" s="789"/>
      <c r="DS579" s="789"/>
      <c r="DT579" s="789"/>
      <c r="DU579" s="789"/>
      <c r="DV579" s="789"/>
      <c r="DW579" s="789"/>
      <c r="DX579" s="789"/>
      <c r="DY579" s="789"/>
      <c r="DZ579" s="789"/>
      <c r="EA579" s="789"/>
      <c r="EB579" s="789"/>
      <c r="EC579" s="789"/>
      <c r="ED579" s="789"/>
      <c r="EE579" s="789"/>
      <c r="EF579" s="789"/>
      <c r="EG579" s="789"/>
      <c r="EH579" s="789"/>
      <c r="EI579" s="789"/>
      <c r="EJ579" s="789"/>
      <c r="EK579" s="789"/>
      <c r="EL579" s="789"/>
      <c r="EM579" s="789"/>
      <c r="EN579" s="789"/>
      <c r="EO579" s="789"/>
      <c r="EP579" s="789"/>
      <c r="EQ579" s="789"/>
      <c r="ER579" s="789"/>
      <c r="ES579" s="789"/>
      <c r="ET579" s="789"/>
      <c r="EU579" s="789"/>
      <c r="EV579" s="789"/>
      <c r="EW579" s="789"/>
      <c r="EX579" s="789"/>
      <c r="EY579" s="789"/>
      <c r="EZ579" s="789"/>
      <c r="FA579" s="789"/>
      <c r="FB579" s="789"/>
      <c r="FC579" s="789"/>
      <c r="FD579" s="789"/>
      <c r="FE579" s="789"/>
      <c r="FF579" s="789"/>
      <c r="FG579" s="789"/>
      <c r="FH579" s="789"/>
      <c r="FI579" s="789"/>
      <c r="FJ579" s="789"/>
      <c r="FK579" s="789"/>
      <c r="FL579" s="789"/>
      <c r="FM579" s="789"/>
      <c r="FN579" s="789"/>
      <c r="FO579" s="789"/>
      <c r="FP579" s="789"/>
      <c r="FQ579" s="789"/>
      <c r="FR579" s="789"/>
      <c r="FS579" s="789"/>
      <c r="FT579" s="789"/>
      <c r="FU579" s="789"/>
      <c r="FV579" s="789"/>
      <c r="FW579" s="789"/>
      <c r="FX579" s="789"/>
      <c r="FY579" s="789"/>
      <c r="FZ579" s="789"/>
      <c r="GA579" s="789"/>
      <c r="GB579" s="789"/>
      <c r="GC579" s="789"/>
      <c r="GD579" s="789"/>
      <c r="GE579" s="789"/>
      <c r="GF579" s="789"/>
      <c r="GG579" s="789"/>
      <c r="GH579" s="789"/>
      <c r="GI579" s="789"/>
      <c r="GJ579" s="789"/>
      <c r="GK579" s="789"/>
      <c r="GL579" s="789"/>
      <c r="GM579" s="789"/>
      <c r="GN579" s="789"/>
      <c r="GO579" s="789"/>
      <c r="GP579" s="789"/>
      <c r="GQ579" s="789"/>
      <c r="GR579" s="789"/>
      <c r="GS579" s="789"/>
      <c r="GT579" s="789"/>
      <c r="GU579" s="789"/>
      <c r="GV579" s="789"/>
      <c r="GW579" s="789"/>
      <c r="GX579" s="789"/>
      <c r="GY579" s="789"/>
      <c r="GZ579" s="789"/>
      <c r="HA579" s="789"/>
      <c r="HB579" s="789"/>
      <c r="HC579" s="789"/>
      <c r="HD579" s="789"/>
      <c r="HE579" s="789"/>
      <c r="HF579" s="789"/>
      <c r="HG579" s="789"/>
      <c r="HH579" s="789"/>
      <c r="HI579" s="789"/>
      <c r="HJ579" s="789"/>
    </row>
    <row r="580" spans="1:218" s="802" customFormat="1" ht="18.75" customHeight="1">
      <c r="A580" s="794">
        <v>578</v>
      </c>
      <c r="B580" s="857" t="s">
        <v>2011</v>
      </c>
      <c r="C580" s="857" t="s">
        <v>1286</v>
      </c>
      <c r="D580" s="840">
        <v>38718</v>
      </c>
      <c r="E580" s="840">
        <v>39417</v>
      </c>
      <c r="F580" s="857">
        <v>2006</v>
      </c>
      <c r="G580" s="857" t="s">
        <v>2159</v>
      </c>
      <c r="H580" s="859" t="s">
        <v>1450</v>
      </c>
      <c r="I580" s="857" t="s">
        <v>2012</v>
      </c>
      <c r="J580" s="800" t="s">
        <v>2331</v>
      </c>
      <c r="K580" s="817"/>
      <c r="L580" s="817">
        <v>98732</v>
      </c>
      <c r="M580" s="817">
        <v>98732</v>
      </c>
      <c r="N580" s="817">
        <v>98732</v>
      </c>
      <c r="O580" s="808"/>
      <c r="P580" s="817">
        <v>100</v>
      </c>
      <c r="Q580" s="817"/>
      <c r="R580" s="817"/>
      <c r="S580" s="817"/>
      <c r="T580" s="817" t="s">
        <v>233</v>
      </c>
      <c r="U580" s="817"/>
      <c r="V580" s="817"/>
      <c r="W580" s="817"/>
      <c r="X580" s="817"/>
      <c r="Y580" s="817"/>
      <c r="Z580" s="817"/>
      <c r="AA580" s="817"/>
      <c r="AB580" s="817"/>
      <c r="AC580" s="817"/>
      <c r="AD580" s="817"/>
      <c r="AE580" s="817"/>
      <c r="AF580" s="817"/>
      <c r="AG580" s="817"/>
      <c r="AH580" s="817"/>
      <c r="AI580" s="817"/>
      <c r="AJ580" s="787">
        <f t="shared" si="34"/>
        <v>0</v>
      </c>
      <c r="AK580" s="817"/>
      <c r="AL580" s="817"/>
      <c r="AM580" s="817"/>
      <c r="AN580" s="817"/>
      <c r="AO580" s="817"/>
      <c r="AP580" s="817"/>
      <c r="AQ580" s="817"/>
      <c r="AR580" s="817"/>
      <c r="AS580" s="817"/>
      <c r="AT580" s="817"/>
      <c r="AU580" s="322" t="s">
        <v>2013</v>
      </c>
      <c r="AV580" s="857"/>
      <c r="AW580" s="857"/>
      <c r="AX580" s="857"/>
      <c r="AY580" s="857"/>
      <c r="AZ580" s="857"/>
      <c r="BA580" s="857"/>
      <c r="BB580" s="857"/>
      <c r="BC580" s="857"/>
      <c r="BD580" s="857"/>
      <c r="BE580" s="857"/>
      <c r="BF580" s="857"/>
      <c r="BG580" s="857"/>
      <c r="BH580" s="857"/>
      <c r="BI580" s="857"/>
      <c r="BJ580" s="857"/>
      <c r="BK580" s="857"/>
      <c r="BL580" s="857"/>
      <c r="BM580" s="857"/>
      <c r="BN580" s="789"/>
      <c r="BO580" s="789"/>
      <c r="BP580" s="789"/>
      <c r="BQ580" s="789"/>
      <c r="BR580" s="789"/>
      <c r="BS580" s="789"/>
      <c r="BT580" s="789"/>
      <c r="BU580" s="789"/>
      <c r="BV580" s="789"/>
      <c r="BW580" s="789"/>
      <c r="BX580" s="789"/>
      <c r="BY580" s="789"/>
      <c r="BZ580" s="789"/>
      <c r="CA580" s="789"/>
      <c r="CB580" s="789"/>
      <c r="CC580" s="789"/>
      <c r="CD580" s="789"/>
      <c r="CE580" s="789"/>
      <c r="CF580" s="789"/>
      <c r="CG580" s="789"/>
      <c r="CH580" s="789"/>
      <c r="CI580" s="789"/>
      <c r="CJ580" s="789"/>
      <c r="CK580" s="789"/>
      <c r="CL580" s="789"/>
      <c r="CM580" s="789"/>
      <c r="CN580" s="789"/>
      <c r="CO580" s="789"/>
      <c r="CP580" s="789"/>
      <c r="CQ580" s="789"/>
      <c r="CR580" s="789"/>
      <c r="CS580" s="789"/>
      <c r="CT580" s="789"/>
      <c r="CU580" s="789"/>
      <c r="CV580" s="789"/>
      <c r="CW580" s="789"/>
      <c r="CX580" s="789"/>
      <c r="CY580" s="789"/>
      <c r="CZ580" s="789"/>
      <c r="DA580" s="789"/>
      <c r="DB580" s="789"/>
      <c r="DC580" s="789"/>
      <c r="DD580" s="789"/>
      <c r="DE580" s="789"/>
      <c r="DF580" s="789"/>
      <c r="DG580" s="789"/>
      <c r="DH580" s="789"/>
      <c r="DI580" s="789"/>
      <c r="DJ580" s="789"/>
      <c r="DK580" s="789"/>
      <c r="DL580" s="789"/>
      <c r="DM580" s="789"/>
      <c r="DN580" s="789"/>
      <c r="DO580" s="789"/>
      <c r="DP580" s="789"/>
      <c r="DQ580" s="789"/>
      <c r="DR580" s="789"/>
      <c r="DS580" s="789"/>
      <c r="DT580" s="789"/>
      <c r="DU580" s="789"/>
      <c r="DV580" s="789"/>
      <c r="DW580" s="789"/>
      <c r="DX580" s="789"/>
      <c r="DY580" s="789"/>
      <c r="DZ580" s="789"/>
      <c r="EA580" s="789"/>
      <c r="EB580" s="789"/>
      <c r="EC580" s="789"/>
      <c r="ED580" s="789"/>
      <c r="EE580" s="789"/>
      <c r="EF580" s="789"/>
      <c r="EG580" s="789"/>
      <c r="EH580" s="789"/>
      <c r="EI580" s="789"/>
      <c r="EJ580" s="789"/>
      <c r="EK580" s="789"/>
      <c r="EL580" s="789"/>
      <c r="EM580" s="789"/>
      <c r="EN580" s="789"/>
      <c r="EO580" s="789"/>
      <c r="EP580" s="789"/>
      <c r="EQ580" s="789"/>
      <c r="ER580" s="789"/>
      <c r="ES580" s="789"/>
      <c r="ET580" s="789"/>
      <c r="EU580" s="789"/>
      <c r="EV580" s="789"/>
      <c r="EW580" s="789"/>
      <c r="EX580" s="789"/>
      <c r="EY580" s="789"/>
      <c r="EZ580" s="789"/>
      <c r="FA580" s="789"/>
      <c r="FB580" s="789"/>
      <c r="FC580" s="789"/>
      <c r="FD580" s="789"/>
      <c r="FE580" s="789"/>
      <c r="FF580" s="789"/>
      <c r="FG580" s="789"/>
      <c r="FH580" s="789"/>
      <c r="FI580" s="789"/>
      <c r="FJ580" s="789"/>
      <c r="FK580" s="789"/>
      <c r="FL580" s="789"/>
      <c r="FM580" s="789"/>
      <c r="FN580" s="789"/>
      <c r="FO580" s="789"/>
      <c r="FP580" s="789"/>
      <c r="FQ580" s="789"/>
      <c r="FR580" s="789"/>
      <c r="FS580" s="789"/>
      <c r="FT580" s="789"/>
      <c r="FU580" s="789"/>
      <c r="FV580" s="789"/>
      <c r="FW580" s="789"/>
      <c r="FX580" s="789"/>
      <c r="FY580" s="789"/>
      <c r="FZ580" s="789"/>
      <c r="GA580" s="789"/>
      <c r="GB580" s="789"/>
      <c r="GC580" s="789"/>
      <c r="GD580" s="789"/>
      <c r="GE580" s="789"/>
      <c r="GF580" s="789"/>
      <c r="GG580" s="789"/>
      <c r="GH580" s="789"/>
      <c r="GI580" s="789"/>
      <c r="GJ580" s="789"/>
      <c r="GK580" s="789"/>
      <c r="GL580" s="789"/>
      <c r="GM580" s="789"/>
      <c r="GN580" s="789"/>
      <c r="GO580" s="789"/>
      <c r="GP580" s="789"/>
      <c r="GQ580" s="789"/>
      <c r="GR580" s="789"/>
      <c r="GS580" s="789"/>
      <c r="GT580" s="789"/>
      <c r="GU580" s="789"/>
      <c r="GV580" s="789"/>
      <c r="GW580" s="789"/>
      <c r="GX580" s="789"/>
      <c r="GY580" s="789"/>
      <c r="GZ580" s="789"/>
      <c r="HA580" s="789"/>
      <c r="HB580" s="789"/>
      <c r="HC580" s="789"/>
      <c r="HD580" s="789"/>
      <c r="HE580" s="789"/>
      <c r="HF580" s="789"/>
      <c r="HG580" s="789"/>
      <c r="HH580" s="789"/>
      <c r="HI580" s="789"/>
      <c r="HJ580" s="789"/>
    </row>
    <row r="581" spans="1:218" s="802" customFormat="1" ht="18.75" customHeight="1">
      <c r="A581" s="794">
        <v>579</v>
      </c>
      <c r="B581" s="804" t="s">
        <v>124</v>
      </c>
      <c r="C581" s="854" t="s">
        <v>1278</v>
      </c>
      <c r="D581" s="805">
        <v>38838</v>
      </c>
      <c r="E581" s="805">
        <v>39142</v>
      </c>
      <c r="F581" s="857">
        <v>2006</v>
      </c>
      <c r="G581" s="804" t="s">
        <v>227</v>
      </c>
      <c r="H581" s="837" t="s">
        <v>1449</v>
      </c>
      <c r="I581" s="836" t="s">
        <v>225</v>
      </c>
      <c r="J581" s="812" t="s">
        <v>2438</v>
      </c>
      <c r="K581" s="817">
        <v>1000000</v>
      </c>
      <c r="L581" s="839">
        <v>6589593</v>
      </c>
      <c r="M581" s="839">
        <v>4532513</v>
      </c>
      <c r="N581" s="817">
        <v>4532513</v>
      </c>
      <c r="O581" s="808">
        <f t="shared" ref="O581:O591" si="36">N581/K581</f>
        <v>4.5325129999999998</v>
      </c>
      <c r="P581" s="817">
        <v>69</v>
      </c>
      <c r="Q581" s="839" t="s">
        <v>75</v>
      </c>
      <c r="R581" s="839" t="s">
        <v>75</v>
      </c>
      <c r="S581" s="817" t="s">
        <v>75</v>
      </c>
      <c r="T581" s="817" t="s">
        <v>233</v>
      </c>
      <c r="U581" s="839" t="s">
        <v>75</v>
      </c>
      <c r="V581" s="817" t="s">
        <v>75</v>
      </c>
      <c r="W581" s="817" t="s">
        <v>66</v>
      </c>
      <c r="X581" s="817" t="s">
        <v>66</v>
      </c>
      <c r="Y581" s="817"/>
      <c r="Z581" s="817">
        <v>2794</v>
      </c>
      <c r="AA581" s="817" t="s">
        <v>134</v>
      </c>
      <c r="AB581" s="817" t="s">
        <v>134</v>
      </c>
      <c r="AC581" s="817" t="s">
        <v>75</v>
      </c>
      <c r="AD581" s="817" t="s">
        <v>75</v>
      </c>
      <c r="AE581" s="817" t="s">
        <v>75</v>
      </c>
      <c r="AF581" s="817" t="s">
        <v>75</v>
      </c>
      <c r="AG581" s="817" t="s">
        <v>75</v>
      </c>
      <c r="AH581" s="817" t="s">
        <v>134</v>
      </c>
      <c r="AI581" s="839" t="s">
        <v>75</v>
      </c>
      <c r="AJ581" s="787">
        <f t="shared" si="34"/>
        <v>2794</v>
      </c>
      <c r="AK581" s="838" t="s">
        <v>66</v>
      </c>
      <c r="AL581" s="817" t="s">
        <v>66</v>
      </c>
      <c r="AM581" s="839"/>
      <c r="AN581" s="817" t="s">
        <v>75</v>
      </c>
      <c r="AO581" s="817" t="s">
        <v>75</v>
      </c>
      <c r="AP581" s="817" t="s">
        <v>75</v>
      </c>
      <c r="AQ581" s="817" t="s">
        <v>75</v>
      </c>
      <c r="AR581" s="817" t="s">
        <v>75</v>
      </c>
      <c r="AS581" s="817" t="s">
        <v>75</v>
      </c>
      <c r="AT581" s="817" t="s">
        <v>75</v>
      </c>
      <c r="AU581" s="964" t="s">
        <v>224</v>
      </c>
      <c r="BM581" s="789"/>
      <c r="BN581" s="789"/>
      <c r="BO581" s="789"/>
      <c r="BP581" s="789"/>
      <c r="BQ581" s="789"/>
      <c r="BR581" s="789"/>
      <c r="BS581" s="789"/>
      <c r="BT581" s="789"/>
      <c r="BU581" s="789"/>
      <c r="BV581" s="789"/>
      <c r="BW581" s="789"/>
      <c r="BX581" s="789"/>
      <c r="BY581" s="789"/>
      <c r="BZ581" s="789"/>
      <c r="CA581" s="789"/>
      <c r="CB581" s="789"/>
      <c r="CC581" s="789"/>
      <c r="CD581" s="789"/>
      <c r="CE581" s="789"/>
      <c r="CF581" s="789"/>
      <c r="CG581" s="789"/>
      <c r="CH581" s="789"/>
      <c r="CI581" s="789"/>
      <c r="CJ581" s="789"/>
      <c r="CK581" s="789"/>
      <c r="CL581" s="789"/>
      <c r="CM581" s="789"/>
      <c r="CN581" s="789"/>
      <c r="CO581" s="789"/>
      <c r="CP581" s="789"/>
      <c r="CQ581" s="789"/>
      <c r="CR581" s="789"/>
      <c r="CS581" s="789"/>
      <c r="CT581" s="789"/>
      <c r="CU581" s="789"/>
      <c r="CV581" s="789"/>
      <c r="CW581" s="789"/>
      <c r="CX581" s="789"/>
      <c r="CY581" s="789"/>
      <c r="CZ581" s="789"/>
      <c r="DA581" s="789"/>
      <c r="DB581" s="789"/>
      <c r="DC581" s="789"/>
      <c r="DD581" s="789"/>
      <c r="DE581" s="789"/>
      <c r="DF581" s="789"/>
      <c r="DG581" s="789"/>
      <c r="DH581" s="789"/>
      <c r="DI581" s="789"/>
      <c r="DJ581" s="789"/>
      <c r="DK581" s="789"/>
      <c r="DL581" s="789"/>
      <c r="DM581" s="789"/>
      <c r="DN581" s="789"/>
      <c r="DO581" s="789"/>
      <c r="DP581" s="789"/>
      <c r="DQ581" s="789"/>
      <c r="DR581" s="789"/>
      <c r="DS581" s="789"/>
      <c r="DT581" s="789"/>
      <c r="DU581" s="789"/>
      <c r="DV581" s="789"/>
      <c r="DW581" s="789"/>
      <c r="DX581" s="789"/>
      <c r="DY581" s="789"/>
      <c r="DZ581" s="789"/>
      <c r="EA581" s="789"/>
      <c r="EB581" s="789"/>
      <c r="EC581" s="789"/>
      <c r="ED581" s="789"/>
      <c r="EE581" s="789"/>
      <c r="EF581" s="789"/>
      <c r="EG581" s="789"/>
      <c r="EH581" s="789"/>
      <c r="EI581" s="789"/>
      <c r="EJ581" s="789"/>
      <c r="EK581" s="789"/>
      <c r="EL581" s="789"/>
      <c r="EM581" s="789"/>
      <c r="EN581" s="789"/>
      <c r="EO581" s="789"/>
      <c r="EP581" s="789"/>
      <c r="EQ581" s="789"/>
      <c r="ER581" s="789"/>
      <c r="ES581" s="789"/>
      <c r="ET581" s="789"/>
      <c r="EU581" s="789"/>
      <c r="EV581" s="789"/>
      <c r="EW581" s="789"/>
      <c r="EX581" s="789"/>
      <c r="EY581" s="789"/>
      <c r="EZ581" s="789"/>
      <c r="FA581" s="789"/>
      <c r="FB581" s="789"/>
      <c r="FC581" s="789"/>
      <c r="FD581" s="789"/>
      <c r="FE581" s="789"/>
      <c r="FF581" s="789"/>
      <c r="FG581" s="789"/>
      <c r="FH581" s="789"/>
      <c r="FI581" s="789"/>
      <c r="FJ581" s="789"/>
      <c r="FK581" s="789"/>
      <c r="FL581" s="789"/>
      <c r="FM581" s="789"/>
      <c r="FN581" s="789"/>
      <c r="FO581" s="789"/>
      <c r="FP581" s="789"/>
      <c r="FQ581" s="789"/>
      <c r="FR581" s="789"/>
      <c r="FS581" s="789"/>
      <c r="FT581" s="789"/>
      <c r="FU581" s="789"/>
      <c r="FV581" s="789"/>
      <c r="FW581" s="789"/>
      <c r="FX581" s="789"/>
      <c r="FY581" s="789"/>
      <c r="FZ581" s="789"/>
      <c r="GA581" s="789"/>
      <c r="GB581" s="789"/>
      <c r="GC581" s="789"/>
      <c r="GD581" s="789"/>
      <c r="GE581" s="789"/>
      <c r="GF581" s="789"/>
      <c r="GG581" s="789"/>
      <c r="GH581" s="789"/>
      <c r="GI581" s="789"/>
      <c r="GJ581" s="789"/>
      <c r="GK581" s="789"/>
      <c r="GL581" s="789"/>
      <c r="GM581" s="789"/>
      <c r="GN581" s="789"/>
      <c r="GO581" s="789"/>
      <c r="GP581" s="789"/>
      <c r="GQ581" s="789"/>
      <c r="GR581" s="789"/>
      <c r="GS581" s="789"/>
      <c r="GT581" s="789"/>
      <c r="GU581" s="789"/>
      <c r="GV581" s="789"/>
      <c r="GW581" s="789"/>
      <c r="GX581" s="789"/>
      <c r="GY581" s="789"/>
      <c r="GZ581" s="789"/>
      <c r="HA581" s="789"/>
      <c r="HB581" s="789"/>
      <c r="HC581" s="789"/>
      <c r="HD581" s="789"/>
      <c r="HE581" s="789"/>
      <c r="HF581" s="789"/>
      <c r="HG581" s="789"/>
      <c r="HH581" s="789"/>
      <c r="HI581" s="789"/>
      <c r="HJ581" s="789"/>
    </row>
    <row r="582" spans="1:218" s="796" customFormat="1" ht="15.75" customHeight="1">
      <c r="A582" s="794">
        <v>580</v>
      </c>
      <c r="B582" s="812" t="s">
        <v>550</v>
      </c>
      <c r="C582" s="785" t="s">
        <v>1286</v>
      </c>
      <c r="D582" s="799">
        <v>38777</v>
      </c>
      <c r="E582" s="792">
        <v>39203</v>
      </c>
      <c r="F582" s="857">
        <v>2006</v>
      </c>
      <c r="G582" s="812" t="s">
        <v>5</v>
      </c>
      <c r="H582" s="837" t="s">
        <v>1451</v>
      </c>
      <c r="I582" s="812" t="s">
        <v>551</v>
      </c>
      <c r="J582" s="800" t="s">
        <v>2331</v>
      </c>
      <c r="K582" s="842">
        <v>180000</v>
      </c>
      <c r="L582" s="842">
        <v>53299</v>
      </c>
      <c r="M582" s="842">
        <v>53299</v>
      </c>
      <c r="N582" s="842">
        <v>53299</v>
      </c>
      <c r="O582" s="808">
        <f t="shared" si="36"/>
        <v>0.29610555555555557</v>
      </c>
      <c r="P582" s="842">
        <v>106.5</v>
      </c>
      <c r="Q582" s="842">
        <v>5980</v>
      </c>
      <c r="R582" s="842" t="s">
        <v>75</v>
      </c>
      <c r="S582" s="842">
        <v>5980</v>
      </c>
      <c r="T582" s="842" t="s">
        <v>233</v>
      </c>
      <c r="U582" s="842">
        <v>12</v>
      </c>
      <c r="V582" s="842">
        <v>3270</v>
      </c>
      <c r="W582" s="842">
        <v>15630</v>
      </c>
      <c r="X582" s="842">
        <v>15630</v>
      </c>
      <c r="Y582" s="808">
        <f>X582/S582</f>
        <v>2.6137123745819397</v>
      </c>
      <c r="Z582" s="842" t="s">
        <v>75</v>
      </c>
      <c r="AA582" s="842">
        <v>3270</v>
      </c>
      <c r="AB582" s="842">
        <v>12</v>
      </c>
      <c r="AC582" s="842" t="s">
        <v>75</v>
      </c>
      <c r="AD582" s="842" t="s">
        <v>75</v>
      </c>
      <c r="AE582" s="842">
        <v>931</v>
      </c>
      <c r="AF582" s="842" t="s">
        <v>75</v>
      </c>
      <c r="AG582" s="842" t="s">
        <v>75</v>
      </c>
      <c r="AH582" s="842" t="s">
        <v>75</v>
      </c>
      <c r="AI582" s="842" t="s">
        <v>75</v>
      </c>
      <c r="AJ582" s="787">
        <f t="shared" si="34"/>
        <v>3270</v>
      </c>
      <c r="AK582" s="842">
        <v>62</v>
      </c>
      <c r="AL582" s="842">
        <v>62</v>
      </c>
      <c r="AM582" s="842"/>
      <c r="AN582" s="842"/>
      <c r="AO582" s="842"/>
      <c r="AP582" s="842"/>
      <c r="AQ582" s="842"/>
      <c r="AR582" s="842"/>
      <c r="AS582" s="842" t="s">
        <v>2</v>
      </c>
      <c r="AT582" s="842" t="s">
        <v>2</v>
      </c>
      <c r="AU582" s="276" t="s">
        <v>552</v>
      </c>
      <c r="AV582" s="785"/>
      <c r="AW582" s="785"/>
      <c r="AX582" s="785"/>
      <c r="AY582" s="785"/>
      <c r="AZ582" s="785"/>
      <c r="BA582" s="785"/>
      <c r="BB582" s="785"/>
      <c r="BC582" s="785"/>
      <c r="BD582" s="785"/>
      <c r="BE582" s="785"/>
      <c r="BF582" s="785"/>
      <c r="BG582" s="785"/>
      <c r="BH582" s="785"/>
      <c r="BI582" s="785"/>
      <c r="BJ582" s="785"/>
      <c r="BK582" s="785"/>
      <c r="BL582" s="785"/>
      <c r="BM582" s="785"/>
      <c r="BN582" s="785"/>
      <c r="BO582" s="785"/>
      <c r="BP582" s="785"/>
      <c r="BQ582" s="785"/>
      <c r="BR582" s="785"/>
      <c r="BS582" s="785"/>
      <c r="BT582" s="785"/>
      <c r="BU582" s="785"/>
      <c r="BV582" s="785"/>
      <c r="BW582" s="785"/>
      <c r="BX582" s="785"/>
      <c r="BY582" s="785"/>
      <c r="BZ582" s="785"/>
      <c r="CA582" s="785"/>
      <c r="CB582" s="785"/>
      <c r="CC582" s="785"/>
      <c r="CD582" s="785"/>
      <c r="CE582" s="785"/>
      <c r="CF582" s="785"/>
      <c r="CG582" s="785"/>
      <c r="CH582" s="785"/>
      <c r="CI582" s="785"/>
      <c r="CJ582" s="785"/>
      <c r="CK582" s="785"/>
      <c r="CL582" s="785"/>
      <c r="CM582" s="785"/>
      <c r="CN582" s="785"/>
      <c r="CO582" s="785"/>
      <c r="CP582" s="785"/>
      <c r="CQ582" s="785"/>
      <c r="CR582" s="785"/>
      <c r="CS582" s="785"/>
      <c r="CT582" s="785"/>
      <c r="CU582" s="785"/>
      <c r="CV582" s="785"/>
      <c r="CW582" s="785"/>
      <c r="CX582" s="785"/>
      <c r="CY582" s="785"/>
      <c r="CZ582" s="785"/>
      <c r="DA582" s="785"/>
      <c r="DB582" s="785"/>
      <c r="DC582" s="785"/>
      <c r="DD582" s="785"/>
      <c r="DE582" s="785"/>
      <c r="DF582" s="785"/>
      <c r="DG582" s="785"/>
      <c r="DH582" s="785"/>
      <c r="DI582" s="785"/>
      <c r="DJ582" s="785"/>
      <c r="DK582" s="785"/>
      <c r="DL582" s="785"/>
      <c r="DM582" s="785"/>
      <c r="DN582" s="785"/>
      <c r="DO582" s="785"/>
      <c r="DP582" s="785"/>
      <c r="DQ582" s="785"/>
      <c r="DR582" s="785"/>
      <c r="DS582" s="785"/>
      <c r="DT582" s="785"/>
      <c r="DU582" s="785"/>
      <c r="DV582" s="785"/>
      <c r="DW582" s="785"/>
      <c r="DX582" s="785"/>
      <c r="DY582" s="785"/>
      <c r="DZ582" s="785"/>
      <c r="EA582" s="785"/>
      <c r="EB582" s="785"/>
      <c r="EC582" s="785"/>
      <c r="ED582" s="785"/>
      <c r="EE582" s="785"/>
      <c r="EF582" s="785"/>
      <c r="EG582" s="785"/>
      <c r="EH582" s="785"/>
      <c r="EI582" s="785"/>
      <c r="EJ582" s="785"/>
      <c r="EK582" s="785"/>
      <c r="EL582" s="785"/>
      <c r="EM582" s="785"/>
      <c r="EN582" s="785"/>
      <c r="EO582" s="785"/>
      <c r="EP582" s="785"/>
      <c r="EQ582" s="785"/>
      <c r="ER582" s="785"/>
      <c r="ES582" s="785"/>
      <c r="ET582" s="785"/>
      <c r="EU582" s="785"/>
      <c r="EV582" s="785"/>
      <c r="EW582" s="785"/>
      <c r="EX582" s="785"/>
      <c r="EY582" s="785"/>
      <c r="EZ582" s="785"/>
      <c r="FA582" s="785"/>
      <c r="FB582" s="785"/>
      <c r="FC582" s="785"/>
      <c r="FD582" s="785"/>
      <c r="FE582" s="785"/>
      <c r="FF582" s="785"/>
      <c r="FG582" s="785"/>
      <c r="FH582" s="785"/>
      <c r="FI582" s="785"/>
      <c r="FJ582" s="785"/>
      <c r="FK582" s="785"/>
      <c r="FL582" s="785"/>
      <c r="FM582" s="785"/>
      <c r="FN582" s="785"/>
      <c r="FO582" s="785"/>
      <c r="FP582" s="785"/>
      <c r="FQ582" s="785"/>
      <c r="FR582" s="785"/>
      <c r="FS582" s="785"/>
      <c r="FT582" s="785"/>
      <c r="FU582" s="785"/>
      <c r="FV582" s="785"/>
      <c r="FW582" s="785"/>
      <c r="FX582" s="785"/>
      <c r="FY582" s="785"/>
      <c r="FZ582" s="785"/>
      <c r="GA582" s="785"/>
      <c r="GB582" s="785"/>
      <c r="GC582" s="785"/>
      <c r="GD582" s="785"/>
      <c r="GE582" s="785"/>
      <c r="GF582" s="785"/>
      <c r="GG582" s="785"/>
      <c r="GH582" s="785"/>
      <c r="GI582" s="785"/>
      <c r="GJ582" s="785"/>
      <c r="GK582" s="785"/>
      <c r="GL582" s="785"/>
      <c r="GM582" s="785"/>
      <c r="GN582" s="785"/>
      <c r="GO582" s="785"/>
      <c r="GP582" s="785"/>
      <c r="GQ582" s="785"/>
      <c r="GR582" s="785"/>
      <c r="GS582" s="785"/>
      <c r="GT582" s="785"/>
      <c r="GU582" s="785"/>
      <c r="GV582" s="785"/>
      <c r="GW582" s="785"/>
      <c r="GX582" s="785"/>
      <c r="GY582" s="785"/>
      <c r="GZ582" s="785"/>
      <c r="HA582" s="785"/>
      <c r="HB582" s="785"/>
      <c r="HC582" s="785"/>
      <c r="HD582" s="785"/>
      <c r="HE582" s="785"/>
      <c r="HF582" s="785"/>
      <c r="HG582" s="785"/>
      <c r="HH582" s="785"/>
      <c r="HI582" s="785"/>
      <c r="HJ582" s="785"/>
    </row>
    <row r="583" spans="1:218" s="785" customFormat="1" ht="17.25" customHeight="1">
      <c r="A583" s="794">
        <v>581</v>
      </c>
      <c r="B583" s="812" t="s">
        <v>8</v>
      </c>
      <c r="C583" s="785" t="s">
        <v>1261</v>
      </c>
      <c r="D583" s="792">
        <v>38991</v>
      </c>
      <c r="E583" s="792">
        <v>39783</v>
      </c>
      <c r="F583" s="857">
        <v>2006</v>
      </c>
      <c r="G583" s="836" t="s">
        <v>587</v>
      </c>
      <c r="H583" s="841" t="s">
        <v>1450</v>
      </c>
      <c r="I583" s="812" t="s">
        <v>586</v>
      </c>
      <c r="J583" s="812" t="s">
        <v>2438</v>
      </c>
      <c r="K583" s="842">
        <v>126000</v>
      </c>
      <c r="L583" s="842">
        <v>9878867</v>
      </c>
      <c r="M583" s="842">
        <v>8500039</v>
      </c>
      <c r="N583" s="842">
        <v>8500039</v>
      </c>
      <c r="O583" s="808">
        <f t="shared" si="36"/>
        <v>67.460626984126989</v>
      </c>
      <c r="P583" s="842">
        <v>86</v>
      </c>
      <c r="Q583" s="842" t="s">
        <v>2294</v>
      </c>
      <c r="R583" s="842">
        <f>1300*5</f>
        <v>6500</v>
      </c>
      <c r="S583" s="842">
        <f>1300*5</f>
        <v>6500</v>
      </c>
      <c r="T583" s="842" t="s">
        <v>95</v>
      </c>
      <c r="U583" s="842" t="s">
        <v>75</v>
      </c>
      <c r="V583" s="842">
        <v>75000</v>
      </c>
      <c r="W583" s="842">
        <v>82532</v>
      </c>
      <c r="X583" s="842">
        <v>82532</v>
      </c>
      <c r="Y583" s="808">
        <f>X583/S583</f>
        <v>12.697230769230769</v>
      </c>
      <c r="Z583" s="842" t="s">
        <v>339</v>
      </c>
      <c r="AA583" s="842">
        <v>75000</v>
      </c>
      <c r="AB583" s="842" t="s">
        <v>75</v>
      </c>
      <c r="AC583" s="842" t="s">
        <v>75</v>
      </c>
      <c r="AD583" s="842" t="s">
        <v>75</v>
      </c>
      <c r="AE583" s="842">
        <v>20000</v>
      </c>
      <c r="AF583" s="842" t="s">
        <v>75</v>
      </c>
      <c r="AG583" s="842" t="s">
        <v>75</v>
      </c>
      <c r="AH583" s="842" t="s">
        <v>75</v>
      </c>
      <c r="AI583" s="842" t="s">
        <v>75</v>
      </c>
      <c r="AJ583" s="808">
        <f t="shared" si="34"/>
        <v>75000</v>
      </c>
      <c r="AK583" s="842">
        <v>82301</v>
      </c>
      <c r="AL583" s="842">
        <v>82301</v>
      </c>
      <c r="AM583" s="842"/>
      <c r="AN583" s="842" t="s">
        <v>75</v>
      </c>
      <c r="AO583" s="842" t="s">
        <v>75</v>
      </c>
      <c r="AP583" s="842" t="s">
        <v>75</v>
      </c>
      <c r="AQ583" s="842" t="s">
        <v>75</v>
      </c>
      <c r="AR583" s="842" t="s">
        <v>75</v>
      </c>
      <c r="AS583" s="842" t="s">
        <v>75</v>
      </c>
      <c r="AT583" s="842" t="s">
        <v>75</v>
      </c>
      <c r="AU583" s="293" t="s">
        <v>585</v>
      </c>
      <c r="AV583" s="853"/>
      <c r="AW583" s="853"/>
      <c r="AX583" s="853"/>
      <c r="AY583" s="853"/>
      <c r="AZ583" s="853"/>
      <c r="BA583" s="853"/>
      <c r="BB583" s="853"/>
      <c r="BC583" s="853"/>
      <c r="BD583" s="853"/>
      <c r="BE583" s="853"/>
      <c r="BF583" s="853"/>
      <c r="BG583" s="853"/>
      <c r="BH583" s="853"/>
      <c r="BI583" s="853"/>
      <c r="BJ583" s="853"/>
      <c r="BK583" s="853"/>
      <c r="BL583" s="853"/>
      <c r="BM583" s="853"/>
    </row>
    <row r="584" spans="1:218" s="785" customFormat="1" ht="18" customHeight="1">
      <c r="A584" s="794">
        <v>582</v>
      </c>
      <c r="B584" s="836" t="s">
        <v>8</v>
      </c>
      <c r="C584" s="836" t="s">
        <v>1261</v>
      </c>
      <c r="D584" s="840">
        <v>38749</v>
      </c>
      <c r="E584" s="840">
        <v>39539</v>
      </c>
      <c r="F584" s="857">
        <v>2006</v>
      </c>
      <c r="G584" s="836" t="s">
        <v>812</v>
      </c>
      <c r="H584" s="841" t="s">
        <v>1451</v>
      </c>
      <c r="I584" s="836" t="s">
        <v>811</v>
      </c>
      <c r="J584" s="812" t="s">
        <v>2438</v>
      </c>
      <c r="K584" s="817">
        <v>8000</v>
      </c>
      <c r="L584" s="817">
        <v>2800437</v>
      </c>
      <c r="M584" s="817">
        <v>2523513</v>
      </c>
      <c r="N584" s="817">
        <v>2523513</v>
      </c>
      <c r="O584" s="808">
        <f t="shared" si="36"/>
        <v>315.43912499999999</v>
      </c>
      <c r="P584" s="817">
        <v>90</v>
      </c>
      <c r="Q584" s="817">
        <f>191*5</f>
        <v>955</v>
      </c>
      <c r="R584" s="817">
        <f>191*5</f>
        <v>955</v>
      </c>
      <c r="S584" s="817">
        <f>191*5</f>
        <v>955</v>
      </c>
      <c r="T584" s="817" t="s">
        <v>849</v>
      </c>
      <c r="U584" s="817" t="s">
        <v>75</v>
      </c>
      <c r="V584" s="817" t="s">
        <v>75</v>
      </c>
      <c r="W584" s="817" t="s">
        <v>75</v>
      </c>
      <c r="X584" s="817" t="s">
        <v>75</v>
      </c>
      <c r="Y584" s="808"/>
      <c r="Z584" s="817">
        <v>915</v>
      </c>
      <c r="AA584" s="817" t="s">
        <v>75</v>
      </c>
      <c r="AB584" s="817">
        <v>114</v>
      </c>
      <c r="AC584" s="817" t="s">
        <v>75</v>
      </c>
      <c r="AD584" s="817" t="s">
        <v>75</v>
      </c>
      <c r="AE584" s="817">
        <v>3000</v>
      </c>
      <c r="AF584" s="817" t="s">
        <v>75</v>
      </c>
      <c r="AG584" s="817" t="s">
        <v>75</v>
      </c>
      <c r="AH584" s="817" t="s">
        <v>75</v>
      </c>
      <c r="AI584" s="817" t="s">
        <v>75</v>
      </c>
      <c r="AJ584" s="808">
        <f t="shared" si="34"/>
        <v>915</v>
      </c>
      <c r="AK584" s="817" t="s">
        <v>75</v>
      </c>
      <c r="AL584" s="817" t="s">
        <v>75</v>
      </c>
      <c r="AM584" s="817"/>
      <c r="AN584" s="817" t="s">
        <v>75</v>
      </c>
      <c r="AO584" s="817" t="s">
        <v>75</v>
      </c>
      <c r="AP584" s="817" t="s">
        <v>75</v>
      </c>
      <c r="AQ584" s="817" t="s">
        <v>75</v>
      </c>
      <c r="AR584" s="817" t="s">
        <v>75</v>
      </c>
      <c r="AS584" s="817" t="s">
        <v>75</v>
      </c>
      <c r="AT584" s="817" t="s">
        <v>75</v>
      </c>
      <c r="AU584" s="356" t="s">
        <v>810</v>
      </c>
      <c r="AV584" s="845"/>
      <c r="AW584" s="845"/>
      <c r="AX584" s="845"/>
      <c r="AY584" s="845"/>
      <c r="AZ584" s="845"/>
      <c r="BA584" s="845"/>
      <c r="BB584" s="845"/>
      <c r="BC584" s="845"/>
      <c r="BD584" s="845"/>
      <c r="BE584" s="845"/>
      <c r="BF584" s="845"/>
      <c r="BG584" s="845"/>
      <c r="BH584" s="845"/>
      <c r="BI584" s="845"/>
      <c r="BJ584" s="845"/>
      <c r="BK584" s="845"/>
      <c r="BL584" s="845"/>
      <c r="BM584" s="845"/>
    </row>
    <row r="585" spans="1:218" s="796" customFormat="1" ht="12" customHeight="1">
      <c r="A585" s="794">
        <v>583</v>
      </c>
      <c r="B585" s="804" t="s">
        <v>170</v>
      </c>
      <c r="C585" s="804" t="s">
        <v>1299</v>
      </c>
      <c r="D585" s="805">
        <v>39022</v>
      </c>
      <c r="E585" s="805">
        <v>39114</v>
      </c>
      <c r="F585" s="857">
        <v>2006</v>
      </c>
      <c r="G585" s="804" t="s">
        <v>172</v>
      </c>
      <c r="H585" s="837" t="s">
        <v>1451</v>
      </c>
      <c r="I585" s="836" t="s">
        <v>175</v>
      </c>
      <c r="J585" s="800" t="s">
        <v>2331</v>
      </c>
      <c r="K585" s="839">
        <v>60000</v>
      </c>
      <c r="L585" s="839">
        <v>0</v>
      </c>
      <c r="M585" s="839">
        <v>145912</v>
      </c>
      <c r="N585" s="817">
        <v>145912</v>
      </c>
      <c r="O585" s="808">
        <f t="shared" si="36"/>
        <v>2.4318666666666666</v>
      </c>
      <c r="P585" s="817">
        <v>100</v>
      </c>
      <c r="Q585" s="839">
        <v>60000</v>
      </c>
      <c r="R585" s="839">
        <v>5000</v>
      </c>
      <c r="S585" s="817">
        <v>60000</v>
      </c>
      <c r="T585" s="817" t="s">
        <v>2</v>
      </c>
      <c r="U585" s="839">
        <v>60</v>
      </c>
      <c r="V585" s="817">
        <v>3500</v>
      </c>
      <c r="W585" s="817" t="s">
        <v>66</v>
      </c>
      <c r="X585" s="817" t="s">
        <v>66</v>
      </c>
      <c r="Y585" s="808"/>
      <c r="Z585" s="817"/>
      <c r="AA585" s="817"/>
      <c r="AB585" s="839"/>
      <c r="AC585" s="817">
        <v>10</v>
      </c>
      <c r="AD585" s="817"/>
      <c r="AE585" s="839">
        <v>1100</v>
      </c>
      <c r="AF585" s="839" t="s">
        <v>75</v>
      </c>
      <c r="AG585" s="839" t="s">
        <v>75</v>
      </c>
      <c r="AH585" s="817"/>
      <c r="AI585" s="839"/>
      <c r="AJ585" s="787">
        <f t="shared" si="34"/>
        <v>0</v>
      </c>
      <c r="AK585" s="817" t="s">
        <v>66</v>
      </c>
      <c r="AL585" s="817" t="s">
        <v>66</v>
      </c>
      <c r="AM585" s="839"/>
      <c r="AN585" s="817" t="s">
        <v>75</v>
      </c>
      <c r="AO585" s="817" t="s">
        <v>75</v>
      </c>
      <c r="AP585" s="817" t="s">
        <v>75</v>
      </c>
      <c r="AQ585" s="817" t="s">
        <v>75</v>
      </c>
      <c r="AR585" s="817" t="s">
        <v>75</v>
      </c>
      <c r="AS585" s="817" t="s">
        <v>75</v>
      </c>
      <c r="AT585" s="817" t="s">
        <v>75</v>
      </c>
      <c r="AU585" s="404" t="s">
        <v>176</v>
      </c>
      <c r="AV585" s="802"/>
      <c r="AW585" s="802"/>
      <c r="AX585" s="802"/>
      <c r="AY585" s="802"/>
      <c r="AZ585" s="802"/>
      <c r="BA585" s="802"/>
      <c r="BB585" s="802"/>
      <c r="BC585" s="802"/>
      <c r="BD585" s="802"/>
      <c r="BE585" s="802"/>
      <c r="BF585" s="802"/>
      <c r="BG585" s="802"/>
      <c r="BH585" s="802"/>
      <c r="BI585" s="802"/>
      <c r="BJ585" s="802"/>
      <c r="BK585" s="802"/>
      <c r="BL585" s="802"/>
      <c r="BM585" s="789"/>
      <c r="BN585" s="785"/>
      <c r="BO585" s="785"/>
      <c r="BP585" s="785"/>
      <c r="BQ585" s="785"/>
      <c r="BR585" s="785"/>
      <c r="BS585" s="785"/>
      <c r="BT585" s="785"/>
      <c r="BU585" s="785"/>
      <c r="BV585" s="785"/>
      <c r="BW585" s="785"/>
      <c r="BX585" s="785"/>
      <c r="BY585" s="785"/>
      <c r="BZ585" s="785"/>
      <c r="CA585" s="785"/>
      <c r="CB585" s="785"/>
      <c r="CC585" s="785"/>
      <c r="CD585" s="785"/>
      <c r="CE585" s="785"/>
      <c r="CF585" s="785"/>
      <c r="CG585" s="785"/>
      <c r="CH585" s="785"/>
      <c r="CI585" s="785"/>
      <c r="CJ585" s="785"/>
      <c r="CK585" s="785"/>
      <c r="CL585" s="785"/>
      <c r="CM585" s="785"/>
      <c r="CN585" s="785"/>
      <c r="CO585" s="785"/>
      <c r="CP585" s="785"/>
      <c r="CQ585" s="785"/>
      <c r="CR585" s="785"/>
      <c r="CS585" s="785"/>
      <c r="CT585" s="785"/>
      <c r="CU585" s="785"/>
      <c r="CV585" s="785"/>
      <c r="CW585" s="785"/>
      <c r="CX585" s="785"/>
      <c r="CY585" s="785"/>
      <c r="CZ585" s="785"/>
      <c r="DA585" s="785"/>
      <c r="DB585" s="785"/>
      <c r="DC585" s="785"/>
      <c r="DD585" s="785"/>
      <c r="DE585" s="785"/>
      <c r="DF585" s="785"/>
      <c r="DG585" s="785"/>
      <c r="DH585" s="785"/>
      <c r="DI585" s="785"/>
      <c r="DJ585" s="785"/>
      <c r="DK585" s="785"/>
      <c r="DL585" s="785"/>
      <c r="DM585" s="785"/>
      <c r="DN585" s="785"/>
      <c r="DO585" s="785"/>
      <c r="DP585" s="785"/>
      <c r="DQ585" s="785"/>
      <c r="DR585" s="785"/>
      <c r="DS585" s="785"/>
      <c r="DT585" s="785"/>
      <c r="DU585" s="785"/>
      <c r="DV585" s="785"/>
      <c r="DW585" s="785"/>
      <c r="DX585" s="785"/>
      <c r="DY585" s="785"/>
      <c r="DZ585" s="785"/>
      <c r="EA585" s="785"/>
      <c r="EB585" s="785"/>
      <c r="EC585" s="785"/>
      <c r="ED585" s="785"/>
      <c r="EE585" s="785"/>
      <c r="EF585" s="785"/>
      <c r="EG585" s="785"/>
      <c r="EH585" s="785"/>
      <c r="EI585" s="785"/>
      <c r="EJ585" s="785"/>
      <c r="EK585" s="785"/>
      <c r="EL585" s="785"/>
      <c r="EM585" s="785"/>
      <c r="EN585" s="785"/>
      <c r="EO585" s="785"/>
      <c r="EP585" s="785"/>
      <c r="EQ585" s="785"/>
      <c r="ER585" s="785"/>
      <c r="ES585" s="785"/>
      <c r="ET585" s="785"/>
      <c r="EU585" s="785"/>
      <c r="EV585" s="785"/>
      <c r="EW585" s="785"/>
      <c r="EX585" s="785"/>
      <c r="EY585" s="785"/>
      <c r="EZ585" s="785"/>
      <c r="FA585" s="785"/>
      <c r="FB585" s="785"/>
      <c r="FC585" s="785"/>
      <c r="FD585" s="785"/>
      <c r="FE585" s="785"/>
      <c r="FF585" s="785"/>
      <c r="FG585" s="785"/>
      <c r="FH585" s="785"/>
      <c r="FI585" s="785"/>
      <c r="FJ585" s="785"/>
      <c r="FK585" s="785"/>
      <c r="FL585" s="785"/>
      <c r="FM585" s="785"/>
      <c r="FN585" s="785"/>
      <c r="FO585" s="785"/>
      <c r="FP585" s="785"/>
      <c r="FQ585" s="785"/>
      <c r="FR585" s="785"/>
      <c r="FS585" s="785"/>
      <c r="FT585" s="785"/>
      <c r="FU585" s="785"/>
      <c r="FV585" s="785"/>
      <c r="FW585" s="785"/>
      <c r="FX585" s="785"/>
      <c r="FY585" s="785"/>
      <c r="FZ585" s="785"/>
      <c r="GA585" s="785"/>
      <c r="GB585" s="785"/>
      <c r="GC585" s="785"/>
      <c r="GD585" s="785"/>
      <c r="GE585" s="785"/>
      <c r="GF585" s="785"/>
      <c r="GG585" s="785"/>
      <c r="GH585" s="785"/>
      <c r="GI585" s="785"/>
      <c r="GJ585" s="785"/>
      <c r="GK585" s="785"/>
      <c r="GL585" s="785"/>
      <c r="GM585" s="785"/>
      <c r="GN585" s="785"/>
      <c r="GO585" s="785"/>
      <c r="GP585" s="785"/>
      <c r="GQ585" s="785"/>
      <c r="GR585" s="785"/>
      <c r="GS585" s="785"/>
      <c r="GT585" s="785"/>
      <c r="GU585" s="785"/>
      <c r="GV585" s="785"/>
      <c r="GW585" s="785"/>
      <c r="GX585" s="785"/>
      <c r="GY585" s="785"/>
      <c r="GZ585" s="785"/>
      <c r="HA585" s="785"/>
      <c r="HB585" s="785"/>
      <c r="HC585" s="785"/>
      <c r="HD585" s="785"/>
      <c r="HE585" s="785"/>
      <c r="HF585" s="785"/>
      <c r="HG585" s="785"/>
      <c r="HH585" s="785"/>
      <c r="HI585" s="785"/>
      <c r="HJ585" s="785"/>
    </row>
    <row r="586" spans="1:218" s="796" customFormat="1" ht="15.75" customHeight="1">
      <c r="A586" s="794">
        <v>584</v>
      </c>
      <c r="B586" s="804" t="s">
        <v>189</v>
      </c>
      <c r="C586" s="802" t="s">
        <v>1260</v>
      </c>
      <c r="D586" s="805">
        <v>38808</v>
      </c>
      <c r="E586" s="805">
        <v>39173</v>
      </c>
      <c r="F586" s="857">
        <v>2006</v>
      </c>
      <c r="G586" s="804" t="s">
        <v>5</v>
      </c>
      <c r="H586" s="837" t="s">
        <v>1451</v>
      </c>
      <c r="I586" s="836" t="s">
        <v>191</v>
      </c>
      <c r="J586" s="812" t="s">
        <v>2438</v>
      </c>
      <c r="K586" s="817">
        <v>13000</v>
      </c>
      <c r="L586" s="839">
        <v>631853</v>
      </c>
      <c r="M586" s="839">
        <v>631896</v>
      </c>
      <c r="N586" s="817">
        <v>619003</v>
      </c>
      <c r="O586" s="808">
        <f t="shared" si="36"/>
        <v>47.615615384615381</v>
      </c>
      <c r="P586" s="817">
        <v>100</v>
      </c>
      <c r="Q586" s="839" t="s">
        <v>134</v>
      </c>
      <c r="R586" s="839">
        <v>1040</v>
      </c>
      <c r="S586" s="817">
        <v>1040</v>
      </c>
      <c r="T586" s="817" t="s">
        <v>2</v>
      </c>
      <c r="U586" s="839"/>
      <c r="V586" s="817" t="s">
        <v>2</v>
      </c>
      <c r="W586" s="817">
        <v>7733</v>
      </c>
      <c r="X586" s="817">
        <v>7733</v>
      </c>
      <c r="Y586" s="808">
        <f>X586/S586</f>
        <v>7.4355769230769226</v>
      </c>
      <c r="Z586" s="817"/>
      <c r="AA586" s="817"/>
      <c r="AB586" s="839"/>
      <c r="AC586" s="817"/>
      <c r="AD586" s="817"/>
      <c r="AE586" s="839"/>
      <c r="AF586" s="839" t="s">
        <v>75</v>
      </c>
      <c r="AG586" s="839" t="s">
        <v>75</v>
      </c>
      <c r="AH586" s="817"/>
      <c r="AI586" s="839"/>
      <c r="AJ586" s="787">
        <f t="shared" ref="AJ586:AJ649" si="37">SUM(Z586,AA586,AH586)</f>
        <v>0</v>
      </c>
      <c r="AK586" s="817" t="s">
        <v>66</v>
      </c>
      <c r="AL586" s="817" t="s">
        <v>66</v>
      </c>
      <c r="AM586" s="839"/>
      <c r="AN586" s="817" t="s">
        <v>75</v>
      </c>
      <c r="AO586" s="817" t="s">
        <v>75</v>
      </c>
      <c r="AP586" s="817" t="s">
        <v>75</v>
      </c>
      <c r="AQ586" s="817" t="s">
        <v>75</v>
      </c>
      <c r="AR586" s="817" t="s">
        <v>75</v>
      </c>
      <c r="AS586" s="817" t="s">
        <v>2</v>
      </c>
      <c r="AT586" s="817"/>
      <c r="AU586" s="804" t="s">
        <v>190</v>
      </c>
      <c r="AV586" s="802"/>
      <c r="AW586" s="802"/>
      <c r="AX586" s="802"/>
      <c r="AY586" s="802"/>
      <c r="AZ586" s="802"/>
      <c r="BA586" s="802"/>
      <c r="BB586" s="802"/>
      <c r="BC586" s="802"/>
      <c r="BD586" s="802"/>
      <c r="BE586" s="802"/>
      <c r="BF586" s="802"/>
      <c r="BG586" s="802"/>
      <c r="BH586" s="802"/>
      <c r="BI586" s="802"/>
      <c r="BJ586" s="802"/>
      <c r="BK586" s="802"/>
      <c r="BL586" s="802"/>
      <c r="BM586" s="789"/>
      <c r="BN586" s="785"/>
      <c r="BO586" s="785"/>
      <c r="BP586" s="785"/>
      <c r="BQ586" s="785"/>
      <c r="BR586" s="785"/>
      <c r="BS586" s="785"/>
      <c r="BT586" s="785"/>
      <c r="BU586" s="785"/>
      <c r="BV586" s="785"/>
      <c r="BW586" s="785"/>
      <c r="BX586" s="785"/>
      <c r="BY586" s="785"/>
      <c r="BZ586" s="785"/>
      <c r="CA586" s="785"/>
      <c r="CB586" s="785"/>
      <c r="CC586" s="785"/>
      <c r="CD586" s="785"/>
      <c r="CE586" s="785"/>
      <c r="CF586" s="785"/>
      <c r="CG586" s="785"/>
      <c r="CH586" s="785"/>
      <c r="CI586" s="785"/>
      <c r="CJ586" s="785"/>
      <c r="CK586" s="785"/>
      <c r="CL586" s="785"/>
      <c r="CM586" s="785"/>
      <c r="CN586" s="785"/>
      <c r="CO586" s="785"/>
      <c r="CP586" s="785"/>
      <c r="CQ586" s="785"/>
      <c r="CR586" s="785"/>
      <c r="CS586" s="785"/>
      <c r="CT586" s="785"/>
      <c r="CU586" s="785"/>
      <c r="CV586" s="785"/>
      <c r="CW586" s="785"/>
      <c r="CX586" s="785"/>
      <c r="CY586" s="785"/>
      <c r="CZ586" s="785"/>
      <c r="DA586" s="785"/>
      <c r="DB586" s="785"/>
      <c r="DC586" s="785"/>
      <c r="DD586" s="785"/>
      <c r="DE586" s="785"/>
      <c r="DF586" s="785"/>
      <c r="DG586" s="785"/>
      <c r="DH586" s="785"/>
      <c r="DI586" s="785"/>
      <c r="DJ586" s="785"/>
      <c r="DK586" s="785"/>
      <c r="DL586" s="785"/>
      <c r="DM586" s="785"/>
      <c r="DN586" s="785"/>
      <c r="DO586" s="785"/>
      <c r="DP586" s="785"/>
      <c r="DQ586" s="785"/>
      <c r="DR586" s="785"/>
      <c r="DS586" s="785"/>
      <c r="DT586" s="785"/>
      <c r="DU586" s="785"/>
      <c r="DV586" s="785"/>
      <c r="DW586" s="785"/>
      <c r="DX586" s="785"/>
      <c r="DY586" s="785"/>
      <c r="DZ586" s="785"/>
      <c r="EA586" s="785"/>
      <c r="EB586" s="785"/>
      <c r="EC586" s="785"/>
      <c r="ED586" s="785"/>
      <c r="EE586" s="785"/>
      <c r="EF586" s="785"/>
      <c r="EG586" s="785"/>
      <c r="EH586" s="785"/>
      <c r="EI586" s="785"/>
      <c r="EJ586" s="785"/>
      <c r="EK586" s="785"/>
      <c r="EL586" s="785"/>
      <c r="EM586" s="785"/>
      <c r="EN586" s="785"/>
      <c r="EO586" s="785"/>
      <c r="EP586" s="785"/>
      <c r="EQ586" s="785"/>
      <c r="ER586" s="785"/>
      <c r="ES586" s="785"/>
      <c r="ET586" s="785"/>
      <c r="EU586" s="785"/>
      <c r="EV586" s="785"/>
      <c r="EW586" s="785"/>
      <c r="EX586" s="785"/>
      <c r="EY586" s="785"/>
      <c r="EZ586" s="785"/>
      <c r="FA586" s="785"/>
      <c r="FB586" s="785"/>
      <c r="FC586" s="785"/>
      <c r="FD586" s="785"/>
      <c r="FE586" s="785"/>
      <c r="FF586" s="785"/>
      <c r="FG586" s="785"/>
      <c r="FH586" s="785"/>
      <c r="FI586" s="785"/>
      <c r="FJ586" s="785"/>
      <c r="FK586" s="785"/>
      <c r="FL586" s="785"/>
      <c r="FM586" s="785"/>
      <c r="FN586" s="785"/>
      <c r="FO586" s="785"/>
      <c r="FP586" s="785"/>
      <c r="FQ586" s="785"/>
      <c r="FR586" s="785"/>
      <c r="FS586" s="785"/>
      <c r="FT586" s="785"/>
      <c r="FU586" s="785"/>
      <c r="FV586" s="785"/>
      <c r="FW586" s="785"/>
      <c r="FX586" s="785"/>
      <c r="FY586" s="785"/>
      <c r="FZ586" s="785"/>
      <c r="GA586" s="785"/>
      <c r="GB586" s="785"/>
      <c r="GC586" s="785"/>
      <c r="GD586" s="785"/>
      <c r="GE586" s="785"/>
      <c r="GF586" s="785"/>
      <c r="GG586" s="785"/>
      <c r="GH586" s="785"/>
      <c r="GI586" s="785"/>
      <c r="GJ586" s="785"/>
      <c r="GK586" s="785"/>
      <c r="GL586" s="785"/>
      <c r="GM586" s="785"/>
      <c r="GN586" s="785"/>
      <c r="GO586" s="785"/>
      <c r="GP586" s="785"/>
      <c r="GQ586" s="785"/>
      <c r="GR586" s="785"/>
      <c r="GS586" s="785"/>
      <c r="GT586" s="785"/>
      <c r="GU586" s="785"/>
      <c r="GV586" s="785"/>
      <c r="GW586" s="785"/>
      <c r="GX586" s="785"/>
      <c r="GY586" s="785"/>
      <c r="GZ586" s="785"/>
      <c r="HA586" s="785"/>
      <c r="HB586" s="785"/>
      <c r="HC586" s="785"/>
      <c r="HD586" s="785"/>
      <c r="HE586" s="785"/>
      <c r="HF586" s="785"/>
      <c r="HG586" s="785"/>
      <c r="HH586" s="785"/>
      <c r="HI586" s="785"/>
      <c r="HJ586" s="785"/>
    </row>
    <row r="587" spans="1:218" s="796" customFormat="1" ht="14.25" customHeight="1">
      <c r="A587" s="794">
        <v>585</v>
      </c>
      <c r="B587" s="870" t="s">
        <v>871</v>
      </c>
      <c r="C587" s="796" t="s">
        <v>1260</v>
      </c>
      <c r="D587" s="799">
        <v>38808</v>
      </c>
      <c r="E587" s="799">
        <v>38930</v>
      </c>
      <c r="F587" s="857">
        <v>2006</v>
      </c>
      <c r="G587" s="870" t="s">
        <v>315</v>
      </c>
      <c r="H587" s="837" t="s">
        <v>1454</v>
      </c>
      <c r="I587" s="812" t="s">
        <v>406</v>
      </c>
      <c r="J587" s="800" t="s">
        <v>2331</v>
      </c>
      <c r="K587" s="842">
        <v>4126</v>
      </c>
      <c r="L587" s="843">
        <v>149984</v>
      </c>
      <c r="M587" s="843">
        <v>150000</v>
      </c>
      <c r="N587" s="843">
        <v>150000</v>
      </c>
      <c r="O587" s="808">
        <f t="shared" si="36"/>
        <v>36.354823073194375</v>
      </c>
      <c r="P587" s="843">
        <v>100</v>
      </c>
      <c r="Q587" s="843" t="s">
        <v>75</v>
      </c>
      <c r="R587" s="843" t="s">
        <v>75</v>
      </c>
      <c r="S587" s="843" t="s">
        <v>75</v>
      </c>
      <c r="T587" s="843" t="s">
        <v>233</v>
      </c>
      <c r="U587" s="843" t="s">
        <v>75</v>
      </c>
      <c r="V587" s="843" t="s">
        <v>75</v>
      </c>
      <c r="W587" s="842" t="s">
        <v>66</v>
      </c>
      <c r="X587" s="843" t="s">
        <v>66</v>
      </c>
      <c r="Y587" s="842"/>
      <c r="Z587" s="843" t="s">
        <v>75</v>
      </c>
      <c r="AA587" s="843" t="s">
        <v>75</v>
      </c>
      <c r="AB587" s="843" t="s">
        <v>75</v>
      </c>
      <c r="AC587" s="843" t="s">
        <v>75</v>
      </c>
      <c r="AD587" s="843" t="s">
        <v>75</v>
      </c>
      <c r="AE587" s="843" t="s">
        <v>75</v>
      </c>
      <c r="AF587" s="843" t="s">
        <v>75</v>
      </c>
      <c r="AG587" s="843" t="s">
        <v>75</v>
      </c>
      <c r="AH587" s="842" t="s">
        <v>75</v>
      </c>
      <c r="AI587" s="843" t="s">
        <v>75</v>
      </c>
      <c r="AJ587" s="787">
        <f t="shared" si="37"/>
        <v>0</v>
      </c>
      <c r="AK587" s="842">
        <v>900</v>
      </c>
      <c r="AL587" s="843">
        <v>834</v>
      </c>
      <c r="AM587" s="843"/>
      <c r="AN587" s="843" t="s">
        <v>75</v>
      </c>
      <c r="AO587" s="843" t="s">
        <v>75</v>
      </c>
      <c r="AP587" s="843" t="s">
        <v>75</v>
      </c>
      <c r="AQ587" s="843" t="s">
        <v>75</v>
      </c>
      <c r="AR587" s="843" t="s">
        <v>75</v>
      </c>
      <c r="AS587" s="843" t="s">
        <v>75</v>
      </c>
      <c r="AT587" s="843" t="s">
        <v>75</v>
      </c>
      <c r="AU587" s="796" t="s">
        <v>316</v>
      </c>
      <c r="BM587" s="785"/>
      <c r="BN587" s="785"/>
      <c r="BO587" s="785"/>
      <c r="BP587" s="785"/>
      <c r="BQ587" s="785"/>
      <c r="BR587" s="785"/>
      <c r="BS587" s="785"/>
      <c r="BT587" s="785"/>
      <c r="BU587" s="785"/>
      <c r="BV587" s="785"/>
      <c r="BW587" s="785"/>
      <c r="BX587" s="785"/>
      <c r="BY587" s="785"/>
      <c r="BZ587" s="785"/>
      <c r="CA587" s="785"/>
      <c r="CB587" s="785"/>
      <c r="CC587" s="785"/>
      <c r="CD587" s="785"/>
      <c r="CE587" s="785"/>
      <c r="CF587" s="785"/>
      <c r="CG587" s="785"/>
      <c r="CH587" s="785"/>
      <c r="CI587" s="785"/>
      <c r="CJ587" s="785"/>
      <c r="CK587" s="785"/>
      <c r="CL587" s="785"/>
      <c r="CM587" s="785"/>
      <c r="CN587" s="785"/>
      <c r="CO587" s="785"/>
      <c r="CP587" s="785"/>
      <c r="CQ587" s="785"/>
      <c r="CR587" s="785"/>
      <c r="CS587" s="785"/>
      <c r="CT587" s="785"/>
      <c r="CU587" s="785"/>
      <c r="CV587" s="785"/>
      <c r="CW587" s="785"/>
      <c r="CX587" s="785"/>
      <c r="CY587" s="785"/>
      <c r="CZ587" s="785"/>
      <c r="DA587" s="785"/>
      <c r="DB587" s="785"/>
      <c r="DC587" s="785"/>
      <c r="DD587" s="785"/>
      <c r="DE587" s="785"/>
      <c r="DF587" s="785"/>
      <c r="DG587" s="785"/>
      <c r="DH587" s="785"/>
      <c r="DI587" s="785"/>
      <c r="DJ587" s="785"/>
      <c r="DK587" s="785"/>
      <c r="DL587" s="785"/>
      <c r="DM587" s="785"/>
      <c r="DN587" s="785"/>
      <c r="DO587" s="785"/>
      <c r="DP587" s="785"/>
      <c r="DQ587" s="785"/>
      <c r="DR587" s="785"/>
      <c r="DS587" s="785"/>
      <c r="DT587" s="785"/>
      <c r="DU587" s="785"/>
      <c r="DV587" s="785"/>
      <c r="DW587" s="785"/>
      <c r="DX587" s="785"/>
      <c r="DY587" s="785"/>
      <c r="DZ587" s="785"/>
      <c r="EA587" s="785"/>
      <c r="EB587" s="785"/>
      <c r="EC587" s="785"/>
      <c r="ED587" s="785"/>
      <c r="EE587" s="785"/>
      <c r="EF587" s="785"/>
      <c r="EG587" s="785"/>
      <c r="EH587" s="785"/>
      <c r="EI587" s="785"/>
      <c r="EJ587" s="785"/>
      <c r="EK587" s="785"/>
      <c r="EL587" s="785"/>
      <c r="EM587" s="785"/>
      <c r="EN587" s="785"/>
      <c r="EO587" s="785"/>
      <c r="EP587" s="785"/>
      <c r="EQ587" s="785"/>
      <c r="ER587" s="785"/>
      <c r="ES587" s="785"/>
      <c r="ET587" s="785"/>
      <c r="EU587" s="785"/>
      <c r="EV587" s="785"/>
      <c r="EW587" s="785"/>
      <c r="EX587" s="785"/>
      <c r="EY587" s="785"/>
      <c r="EZ587" s="785"/>
      <c r="FA587" s="785"/>
      <c r="FB587" s="785"/>
      <c r="FC587" s="785"/>
      <c r="FD587" s="785"/>
      <c r="FE587" s="785"/>
      <c r="FF587" s="785"/>
      <c r="FG587" s="785"/>
      <c r="FH587" s="785"/>
      <c r="FI587" s="785"/>
      <c r="FJ587" s="785"/>
      <c r="FK587" s="785"/>
      <c r="FL587" s="785"/>
      <c r="FM587" s="785"/>
      <c r="FN587" s="785"/>
      <c r="FO587" s="785"/>
      <c r="FP587" s="785"/>
      <c r="FQ587" s="785"/>
      <c r="FR587" s="785"/>
      <c r="FS587" s="785"/>
      <c r="FT587" s="785"/>
      <c r="FU587" s="785"/>
      <c r="FV587" s="785"/>
      <c r="FW587" s="785"/>
      <c r="FX587" s="785"/>
      <c r="FY587" s="785"/>
      <c r="FZ587" s="785"/>
      <c r="GA587" s="785"/>
      <c r="GB587" s="785"/>
      <c r="GC587" s="785"/>
      <c r="GD587" s="785"/>
      <c r="GE587" s="785"/>
      <c r="GF587" s="785"/>
      <c r="GG587" s="785"/>
      <c r="GH587" s="785"/>
      <c r="GI587" s="785"/>
      <c r="GJ587" s="785"/>
      <c r="GK587" s="785"/>
      <c r="GL587" s="785"/>
      <c r="GM587" s="785"/>
      <c r="GN587" s="785"/>
      <c r="GO587" s="785"/>
      <c r="GP587" s="785"/>
      <c r="GQ587" s="785"/>
      <c r="GR587" s="785"/>
      <c r="GS587" s="785"/>
      <c r="GT587" s="785"/>
      <c r="GU587" s="785"/>
      <c r="GV587" s="785"/>
      <c r="GW587" s="785"/>
      <c r="GX587" s="785"/>
      <c r="GY587" s="785"/>
      <c r="GZ587" s="785"/>
      <c r="HA587" s="785"/>
      <c r="HB587" s="785"/>
      <c r="HC587" s="785"/>
      <c r="HD587" s="785"/>
      <c r="HE587" s="785"/>
      <c r="HF587" s="785"/>
      <c r="HG587" s="785"/>
      <c r="HH587" s="785"/>
      <c r="HI587" s="785"/>
      <c r="HJ587" s="785"/>
    </row>
    <row r="588" spans="1:218" s="785" customFormat="1" ht="16.5" customHeight="1">
      <c r="A588" s="794">
        <v>586</v>
      </c>
      <c r="B588" s="836" t="s">
        <v>153</v>
      </c>
      <c r="C588" s="836" t="s">
        <v>1299</v>
      </c>
      <c r="D588" s="840">
        <v>38991</v>
      </c>
      <c r="E588" s="840">
        <v>39326</v>
      </c>
      <c r="F588" s="857">
        <v>2006</v>
      </c>
      <c r="G588" s="836" t="s">
        <v>512</v>
      </c>
      <c r="H588" s="841" t="s">
        <v>1452</v>
      </c>
      <c r="I588" s="836" t="s">
        <v>820</v>
      </c>
      <c r="J588" s="812" t="s">
        <v>2438</v>
      </c>
      <c r="K588" s="817">
        <v>30000</v>
      </c>
      <c r="L588" s="817">
        <v>1545713</v>
      </c>
      <c r="M588" s="817">
        <v>157404</v>
      </c>
      <c r="N588" s="817">
        <v>157404</v>
      </c>
      <c r="O588" s="808">
        <f t="shared" si="36"/>
        <v>5.2468000000000004</v>
      </c>
      <c r="P588" s="817">
        <v>10</v>
      </c>
      <c r="Q588" s="817">
        <v>10000</v>
      </c>
      <c r="R588" s="817">
        <v>10000</v>
      </c>
      <c r="S588" s="817">
        <v>10000</v>
      </c>
      <c r="T588" s="817" t="s">
        <v>849</v>
      </c>
      <c r="U588" s="817" t="s">
        <v>75</v>
      </c>
      <c r="V588" s="817">
        <v>10000</v>
      </c>
      <c r="W588" s="817">
        <v>275357</v>
      </c>
      <c r="X588" s="817">
        <v>27535.7</v>
      </c>
      <c r="Y588" s="808">
        <f>X588/S588</f>
        <v>2.7535699999999999</v>
      </c>
      <c r="Z588" s="817" t="s">
        <v>75</v>
      </c>
      <c r="AA588" s="817">
        <v>10000</v>
      </c>
      <c r="AB588" s="817">
        <v>25</v>
      </c>
      <c r="AC588" s="817" t="s">
        <v>75</v>
      </c>
      <c r="AD588" s="817" t="s">
        <v>75</v>
      </c>
      <c r="AE588" s="817" t="s">
        <v>75</v>
      </c>
      <c r="AF588" s="817" t="s">
        <v>75</v>
      </c>
      <c r="AG588" s="817" t="s">
        <v>75</v>
      </c>
      <c r="AH588" s="817" t="s">
        <v>75</v>
      </c>
      <c r="AI588" s="817" t="s">
        <v>75</v>
      </c>
      <c r="AJ588" s="808">
        <f t="shared" si="37"/>
        <v>10000</v>
      </c>
      <c r="AK588" s="817">
        <v>2340</v>
      </c>
      <c r="AL588" s="817">
        <v>234</v>
      </c>
      <c r="AM588" s="817"/>
      <c r="AN588" s="817" t="s">
        <v>75</v>
      </c>
      <c r="AO588" s="817" t="s">
        <v>75</v>
      </c>
      <c r="AP588" s="817" t="s">
        <v>75</v>
      </c>
      <c r="AQ588" s="817" t="s">
        <v>75</v>
      </c>
      <c r="AR588" s="817" t="s">
        <v>75</v>
      </c>
      <c r="AS588" s="817" t="s">
        <v>75</v>
      </c>
      <c r="AT588" s="817" t="s">
        <v>75</v>
      </c>
      <c r="AU588" s="356" t="s">
        <v>819</v>
      </c>
      <c r="AV588" s="845"/>
      <c r="AW588" s="845"/>
      <c r="AX588" s="845"/>
      <c r="AY588" s="845"/>
      <c r="AZ588" s="845"/>
      <c r="BA588" s="845"/>
      <c r="BB588" s="845"/>
      <c r="BC588" s="845"/>
      <c r="BD588" s="845"/>
      <c r="BE588" s="845"/>
      <c r="BF588" s="845"/>
      <c r="BG588" s="845"/>
      <c r="BH588" s="845"/>
      <c r="BI588" s="845"/>
      <c r="BJ588" s="845"/>
      <c r="BK588" s="845"/>
      <c r="BL588" s="845"/>
      <c r="BM588" s="845"/>
    </row>
    <row r="589" spans="1:218" s="796" customFormat="1" ht="15" customHeight="1">
      <c r="A589" s="794">
        <v>587</v>
      </c>
      <c r="B589" s="804" t="s">
        <v>153</v>
      </c>
      <c r="C589" s="804" t="s">
        <v>1299</v>
      </c>
      <c r="D589" s="805">
        <v>38777</v>
      </c>
      <c r="E589" s="805">
        <v>38961</v>
      </c>
      <c r="F589" s="857">
        <v>2006</v>
      </c>
      <c r="G589" s="804" t="s">
        <v>79</v>
      </c>
      <c r="H589" s="837" t="s">
        <v>1453</v>
      </c>
      <c r="I589" s="836" t="s">
        <v>152</v>
      </c>
      <c r="J589" s="812" t="s">
        <v>2438</v>
      </c>
      <c r="K589" s="817">
        <v>114075</v>
      </c>
      <c r="L589" s="839">
        <v>902799</v>
      </c>
      <c r="M589" s="839">
        <v>601024</v>
      </c>
      <c r="N589" s="817">
        <v>601024</v>
      </c>
      <c r="O589" s="808">
        <f t="shared" si="36"/>
        <v>5.2686741179048875</v>
      </c>
      <c r="P589" s="839">
        <v>66.599999999999994</v>
      </c>
      <c r="Q589" s="839">
        <v>38100</v>
      </c>
      <c r="R589" s="839">
        <v>9000</v>
      </c>
      <c r="S589" s="817">
        <v>38100</v>
      </c>
      <c r="T589" s="817" t="s">
        <v>2</v>
      </c>
      <c r="U589" s="839">
        <v>80</v>
      </c>
      <c r="V589" s="817"/>
      <c r="W589" s="817">
        <v>182028</v>
      </c>
      <c r="X589" s="817">
        <v>121958</v>
      </c>
      <c r="Y589" s="808">
        <f>X589/S589</f>
        <v>3.2009973753280838</v>
      </c>
      <c r="Z589" s="817"/>
      <c r="AA589" s="817"/>
      <c r="AB589" s="839"/>
      <c r="AC589" s="817"/>
      <c r="AD589" s="817"/>
      <c r="AE589" s="839"/>
      <c r="AF589" s="839" t="s">
        <v>75</v>
      </c>
      <c r="AG589" s="839" t="s">
        <v>75</v>
      </c>
      <c r="AH589" s="817"/>
      <c r="AI589" s="839"/>
      <c r="AJ589" s="787">
        <f t="shared" si="37"/>
        <v>0</v>
      </c>
      <c r="AK589" s="817">
        <v>9420</v>
      </c>
      <c r="AL589" s="817">
        <v>6311.4</v>
      </c>
      <c r="AM589" s="839"/>
      <c r="AN589" s="817" t="s">
        <v>75</v>
      </c>
      <c r="AO589" s="817" t="s">
        <v>75</v>
      </c>
      <c r="AP589" s="817" t="s">
        <v>75</v>
      </c>
      <c r="AQ589" s="817" t="s">
        <v>75</v>
      </c>
      <c r="AR589" s="817" t="s">
        <v>75</v>
      </c>
      <c r="AS589" s="817" t="s">
        <v>75</v>
      </c>
      <c r="AT589" s="817" t="s">
        <v>75</v>
      </c>
      <c r="AU589" s="404" t="s">
        <v>154</v>
      </c>
      <c r="AV589" s="802"/>
      <c r="AW589" s="802"/>
      <c r="AX589" s="802"/>
      <c r="AY589" s="802"/>
      <c r="AZ589" s="802"/>
      <c r="BA589" s="802"/>
      <c r="BB589" s="802"/>
      <c r="BC589" s="802"/>
      <c r="BD589" s="802"/>
      <c r="BE589" s="802"/>
      <c r="BF589" s="802"/>
      <c r="BG589" s="802"/>
      <c r="BH589" s="802"/>
      <c r="BI589" s="802"/>
      <c r="BJ589" s="802"/>
      <c r="BK589" s="802"/>
      <c r="BL589" s="802"/>
      <c r="BM589" s="789"/>
      <c r="BN589" s="785"/>
      <c r="BO589" s="785"/>
      <c r="BP589" s="785"/>
      <c r="BQ589" s="785"/>
      <c r="BR589" s="785"/>
      <c r="BS589" s="785"/>
      <c r="BT589" s="785"/>
      <c r="BU589" s="785"/>
      <c r="BV589" s="785"/>
      <c r="BW589" s="785"/>
      <c r="BX589" s="785"/>
      <c r="BY589" s="785"/>
      <c r="BZ589" s="785"/>
      <c r="CA589" s="785"/>
      <c r="CB589" s="785"/>
      <c r="CC589" s="785"/>
      <c r="CD589" s="785"/>
      <c r="CE589" s="785"/>
      <c r="CF589" s="785"/>
      <c r="CG589" s="785"/>
      <c r="CH589" s="785"/>
      <c r="CI589" s="785"/>
      <c r="CJ589" s="785"/>
      <c r="CK589" s="785"/>
      <c r="CL589" s="785"/>
      <c r="CM589" s="785"/>
      <c r="CN589" s="785"/>
      <c r="CO589" s="785"/>
      <c r="CP589" s="785"/>
      <c r="CQ589" s="785"/>
      <c r="CR589" s="785"/>
      <c r="CS589" s="785"/>
      <c r="CT589" s="785"/>
      <c r="CU589" s="785"/>
      <c r="CV589" s="785"/>
      <c r="CW589" s="785"/>
      <c r="CX589" s="785"/>
      <c r="CY589" s="785"/>
      <c r="CZ589" s="785"/>
      <c r="DA589" s="785"/>
      <c r="DB589" s="785"/>
      <c r="DC589" s="785"/>
      <c r="DD589" s="785"/>
      <c r="DE589" s="785"/>
      <c r="DF589" s="785"/>
      <c r="DG589" s="785"/>
      <c r="DH589" s="785"/>
      <c r="DI589" s="785"/>
      <c r="DJ589" s="785"/>
      <c r="DK589" s="785"/>
      <c r="DL589" s="785"/>
      <c r="DM589" s="785"/>
      <c r="DN589" s="785"/>
      <c r="DO589" s="785"/>
      <c r="DP589" s="785"/>
      <c r="DQ589" s="785"/>
      <c r="DR589" s="785"/>
      <c r="DS589" s="785"/>
      <c r="DT589" s="785"/>
      <c r="DU589" s="785"/>
      <c r="DV589" s="785"/>
      <c r="DW589" s="785"/>
      <c r="DX589" s="785"/>
      <c r="DY589" s="785"/>
      <c r="DZ589" s="785"/>
      <c r="EA589" s="785"/>
      <c r="EB589" s="785"/>
      <c r="EC589" s="785"/>
      <c r="ED589" s="785"/>
      <c r="EE589" s="785"/>
      <c r="EF589" s="785"/>
      <c r="EG589" s="785"/>
      <c r="EH589" s="785"/>
      <c r="EI589" s="785"/>
      <c r="EJ589" s="785"/>
      <c r="EK589" s="785"/>
      <c r="EL589" s="785"/>
      <c r="EM589" s="785"/>
      <c r="EN589" s="785"/>
      <c r="EO589" s="785"/>
      <c r="EP589" s="785"/>
      <c r="EQ589" s="785"/>
      <c r="ER589" s="785"/>
      <c r="ES589" s="785"/>
      <c r="ET589" s="785"/>
      <c r="EU589" s="785"/>
      <c r="EV589" s="785"/>
      <c r="EW589" s="785"/>
      <c r="EX589" s="785"/>
      <c r="EY589" s="785"/>
      <c r="EZ589" s="785"/>
      <c r="FA589" s="785"/>
      <c r="FB589" s="785"/>
      <c r="FC589" s="785"/>
      <c r="FD589" s="785"/>
      <c r="FE589" s="785"/>
      <c r="FF589" s="785"/>
      <c r="FG589" s="785"/>
      <c r="FH589" s="785"/>
      <c r="FI589" s="785"/>
      <c r="FJ589" s="785"/>
      <c r="FK589" s="785"/>
      <c r="FL589" s="785"/>
      <c r="FM589" s="785"/>
      <c r="FN589" s="785"/>
      <c r="FO589" s="785"/>
      <c r="FP589" s="785"/>
      <c r="FQ589" s="785"/>
      <c r="FR589" s="785"/>
      <c r="FS589" s="785"/>
      <c r="FT589" s="785"/>
      <c r="FU589" s="785"/>
      <c r="FV589" s="785"/>
      <c r="FW589" s="785"/>
      <c r="FX589" s="785"/>
      <c r="FY589" s="785"/>
      <c r="FZ589" s="785"/>
      <c r="GA589" s="785"/>
      <c r="GB589" s="785"/>
      <c r="GC589" s="785"/>
      <c r="GD589" s="785"/>
      <c r="GE589" s="785"/>
      <c r="GF589" s="785"/>
      <c r="GG589" s="785"/>
      <c r="GH589" s="785"/>
      <c r="GI589" s="785"/>
      <c r="GJ589" s="785"/>
      <c r="GK589" s="785"/>
      <c r="GL589" s="785"/>
      <c r="GM589" s="785"/>
      <c r="GN589" s="785"/>
      <c r="GO589" s="785"/>
      <c r="GP589" s="785"/>
      <c r="GQ589" s="785"/>
      <c r="GR589" s="785"/>
      <c r="GS589" s="785"/>
      <c r="GT589" s="785"/>
      <c r="GU589" s="785"/>
      <c r="GV589" s="785"/>
      <c r="GW589" s="785"/>
      <c r="GX589" s="785"/>
      <c r="GY589" s="785"/>
      <c r="GZ589" s="785"/>
      <c r="HA589" s="785"/>
      <c r="HB589" s="785"/>
      <c r="HC589" s="785"/>
      <c r="HD589" s="785"/>
      <c r="HE589" s="785"/>
      <c r="HF589" s="785"/>
      <c r="HG589" s="785"/>
      <c r="HH589" s="785"/>
      <c r="HI589" s="785"/>
      <c r="HJ589" s="785"/>
    </row>
    <row r="590" spans="1:218" s="785" customFormat="1" ht="24" customHeight="1">
      <c r="A590" s="794">
        <v>588</v>
      </c>
      <c r="B590" s="870" t="s">
        <v>377</v>
      </c>
      <c r="C590" s="796" t="s">
        <v>1260</v>
      </c>
      <c r="D590" s="799">
        <v>38808</v>
      </c>
      <c r="E590" s="799">
        <v>38899</v>
      </c>
      <c r="F590" s="857">
        <v>2006</v>
      </c>
      <c r="G590" s="870" t="s">
        <v>376</v>
      </c>
      <c r="H590" s="837" t="s">
        <v>1451</v>
      </c>
      <c r="I590" s="812" t="s">
        <v>379</v>
      </c>
      <c r="J590" s="800" t="s">
        <v>2331</v>
      </c>
      <c r="K590" s="842">
        <v>20000</v>
      </c>
      <c r="L590" s="843">
        <v>0</v>
      </c>
      <c r="M590" s="843">
        <v>128150</v>
      </c>
      <c r="N590" s="843">
        <v>128150</v>
      </c>
      <c r="O590" s="808">
        <f t="shared" si="36"/>
        <v>6.4074999999999998</v>
      </c>
      <c r="P590" s="843" t="s">
        <v>66</v>
      </c>
      <c r="Q590" s="843" t="s">
        <v>75</v>
      </c>
      <c r="R590" s="843" t="s">
        <v>75</v>
      </c>
      <c r="S590" s="843" t="s">
        <v>75</v>
      </c>
      <c r="T590" s="843" t="s">
        <v>233</v>
      </c>
      <c r="U590" s="843" t="s">
        <v>75</v>
      </c>
      <c r="V590" s="843" t="s">
        <v>75</v>
      </c>
      <c r="W590" s="842" t="s">
        <v>66</v>
      </c>
      <c r="X590" s="843" t="s">
        <v>66</v>
      </c>
      <c r="Y590" s="842"/>
      <c r="Z590" s="843" t="s">
        <v>75</v>
      </c>
      <c r="AA590" s="843" t="s">
        <v>75</v>
      </c>
      <c r="AB590" s="843" t="s">
        <v>75</v>
      </c>
      <c r="AC590" s="843" t="s">
        <v>75</v>
      </c>
      <c r="AD590" s="843" t="s">
        <v>75</v>
      </c>
      <c r="AE590" s="843" t="s">
        <v>75</v>
      </c>
      <c r="AF590" s="843" t="s">
        <v>75</v>
      </c>
      <c r="AG590" s="843" t="s">
        <v>75</v>
      </c>
      <c r="AH590" s="842" t="s">
        <v>75</v>
      </c>
      <c r="AI590" s="843" t="s">
        <v>75</v>
      </c>
      <c r="AJ590" s="787">
        <f t="shared" si="37"/>
        <v>0</v>
      </c>
      <c r="AK590" s="842" t="s">
        <v>66</v>
      </c>
      <c r="AL590" s="843" t="s">
        <v>66</v>
      </c>
      <c r="AM590" s="843"/>
      <c r="AN590" s="843" t="s">
        <v>75</v>
      </c>
      <c r="AO590" s="843" t="s">
        <v>75</v>
      </c>
      <c r="AP590" s="843" t="s">
        <v>75</v>
      </c>
      <c r="AQ590" s="843" t="s">
        <v>75</v>
      </c>
      <c r="AR590" s="843" t="s">
        <v>75</v>
      </c>
      <c r="AS590" s="843" t="s">
        <v>75</v>
      </c>
      <c r="AT590" s="843" t="s">
        <v>75</v>
      </c>
      <c r="AU590" s="796" t="s">
        <v>378</v>
      </c>
      <c r="AV590" s="796"/>
      <c r="AW590" s="796"/>
      <c r="AX590" s="796"/>
      <c r="AY590" s="796"/>
      <c r="AZ590" s="796"/>
      <c r="BA590" s="796"/>
      <c r="BB590" s="796"/>
      <c r="BC590" s="796"/>
      <c r="BD590" s="796"/>
      <c r="BE590" s="796"/>
      <c r="BF590" s="796"/>
      <c r="BG590" s="796"/>
      <c r="BH590" s="796"/>
      <c r="BI590" s="796"/>
      <c r="BJ590" s="796"/>
      <c r="BK590" s="796"/>
      <c r="BL590" s="796"/>
    </row>
    <row r="591" spans="1:218" s="785" customFormat="1" ht="15" customHeight="1">
      <c r="A591" s="794">
        <v>589</v>
      </c>
      <c r="B591" s="870" t="s">
        <v>385</v>
      </c>
      <c r="C591" s="796" t="s">
        <v>1260</v>
      </c>
      <c r="D591" s="799">
        <v>38749</v>
      </c>
      <c r="E591" s="799">
        <v>38808</v>
      </c>
      <c r="F591" s="857">
        <v>2006</v>
      </c>
      <c r="G591" s="870" t="s">
        <v>5</v>
      </c>
      <c r="H591" s="837" t="s">
        <v>1451</v>
      </c>
      <c r="I591" s="812" t="s">
        <v>389</v>
      </c>
      <c r="J591" s="800" t="s">
        <v>2331</v>
      </c>
      <c r="K591" s="842">
        <v>1624</v>
      </c>
      <c r="L591" s="843">
        <v>131250</v>
      </c>
      <c r="M591" s="843">
        <v>121463</v>
      </c>
      <c r="N591" s="843">
        <v>121463</v>
      </c>
      <c r="O591" s="808">
        <f t="shared" si="36"/>
        <v>74.792487684729068</v>
      </c>
      <c r="P591" s="843">
        <v>92.5</v>
      </c>
      <c r="Q591" s="843" t="s">
        <v>134</v>
      </c>
      <c r="R591" s="869" t="s">
        <v>134</v>
      </c>
      <c r="S591" s="843"/>
      <c r="T591" s="843" t="s">
        <v>233</v>
      </c>
      <c r="U591" s="843" t="s">
        <v>75</v>
      </c>
      <c r="V591" s="843" t="s">
        <v>75</v>
      </c>
      <c r="W591" s="842">
        <v>18000</v>
      </c>
      <c r="X591" s="843">
        <v>13908</v>
      </c>
      <c r="Y591" s="842"/>
      <c r="Z591" s="843" t="s">
        <v>75</v>
      </c>
      <c r="AA591" s="843" t="s">
        <v>75</v>
      </c>
      <c r="AB591" s="843" t="s">
        <v>75</v>
      </c>
      <c r="AC591" s="843" t="s">
        <v>75</v>
      </c>
      <c r="AD591" s="843" t="s">
        <v>75</v>
      </c>
      <c r="AE591" s="843" t="s">
        <v>75</v>
      </c>
      <c r="AF591" s="843" t="s">
        <v>75</v>
      </c>
      <c r="AG591" s="843" t="s">
        <v>75</v>
      </c>
      <c r="AH591" s="842" t="s">
        <v>75</v>
      </c>
      <c r="AI591" s="843" t="s">
        <v>75</v>
      </c>
      <c r="AJ591" s="787">
        <f t="shared" si="37"/>
        <v>0</v>
      </c>
      <c r="AK591" s="842" t="s">
        <v>66</v>
      </c>
      <c r="AL591" s="843" t="s">
        <v>66</v>
      </c>
      <c r="AM591" s="843"/>
      <c r="AN591" s="843" t="s">
        <v>75</v>
      </c>
      <c r="AO591" s="843" t="s">
        <v>75</v>
      </c>
      <c r="AP591" s="843" t="s">
        <v>75</v>
      </c>
      <c r="AQ591" s="843" t="s">
        <v>75</v>
      </c>
      <c r="AR591" s="843" t="s">
        <v>75</v>
      </c>
      <c r="AS591" s="843" t="s">
        <v>75</v>
      </c>
      <c r="AT591" s="843" t="s">
        <v>75</v>
      </c>
      <c r="AU591" s="403" t="s">
        <v>390</v>
      </c>
      <c r="AV591" s="796"/>
      <c r="AW591" s="796"/>
      <c r="AX591" s="796"/>
      <c r="AY591" s="796"/>
      <c r="AZ591" s="796"/>
      <c r="BA591" s="796"/>
      <c r="BB591" s="796"/>
      <c r="BC591" s="796"/>
      <c r="BD591" s="796"/>
      <c r="BE591" s="796"/>
      <c r="BF591" s="796"/>
      <c r="BG591" s="796"/>
      <c r="BH591" s="796"/>
      <c r="BI591" s="796"/>
      <c r="BJ591" s="796"/>
      <c r="BK591" s="796"/>
      <c r="BL591" s="796"/>
    </row>
    <row r="592" spans="1:218" s="785" customFormat="1" ht="14.25" customHeight="1">
      <c r="A592" s="794">
        <v>590</v>
      </c>
      <c r="B592" s="804" t="s">
        <v>211</v>
      </c>
      <c r="C592" s="804" t="s">
        <v>1299</v>
      </c>
      <c r="D592" s="805">
        <v>38777</v>
      </c>
      <c r="E592" s="805">
        <v>38869</v>
      </c>
      <c r="F592" s="857">
        <v>2006</v>
      </c>
      <c r="G592" s="804" t="s">
        <v>220</v>
      </c>
      <c r="H592" s="837" t="s">
        <v>1449</v>
      </c>
      <c r="I592" s="836" t="s">
        <v>219</v>
      </c>
      <c r="J592" s="800" t="s">
        <v>2331</v>
      </c>
      <c r="K592" s="817" t="s">
        <v>134</v>
      </c>
      <c r="L592" s="839">
        <v>35518</v>
      </c>
      <c r="M592" s="839">
        <v>34820</v>
      </c>
      <c r="N592" s="817">
        <v>34820</v>
      </c>
      <c r="O592" s="808"/>
      <c r="P592" s="817">
        <v>98</v>
      </c>
      <c r="Q592" s="839" t="s">
        <v>75</v>
      </c>
      <c r="R592" s="839" t="s">
        <v>75</v>
      </c>
      <c r="S592" s="817" t="s">
        <v>75</v>
      </c>
      <c r="T592" s="817" t="s">
        <v>233</v>
      </c>
      <c r="U592" s="839" t="s">
        <v>75</v>
      </c>
      <c r="V592" s="817" t="s">
        <v>75</v>
      </c>
      <c r="W592" s="817" t="s">
        <v>66</v>
      </c>
      <c r="X592" s="817" t="s">
        <v>66</v>
      </c>
      <c r="Y592" s="817"/>
      <c r="Z592" s="817" t="s">
        <v>75</v>
      </c>
      <c r="AA592" s="817" t="s">
        <v>134</v>
      </c>
      <c r="AB592" s="817" t="s">
        <v>134</v>
      </c>
      <c r="AC592" s="817" t="s">
        <v>75</v>
      </c>
      <c r="AD592" s="817" t="s">
        <v>134</v>
      </c>
      <c r="AE592" s="839">
        <v>2100</v>
      </c>
      <c r="AF592" s="839" t="s">
        <v>75</v>
      </c>
      <c r="AG592" s="839" t="s">
        <v>75</v>
      </c>
      <c r="AH592" s="817" t="s">
        <v>75</v>
      </c>
      <c r="AI592" s="839" t="s">
        <v>75</v>
      </c>
      <c r="AJ592" s="787">
        <f t="shared" si="37"/>
        <v>0</v>
      </c>
      <c r="AK592" s="817">
        <v>6585</v>
      </c>
      <c r="AL592" s="817">
        <v>6453.3</v>
      </c>
      <c r="AM592" s="839"/>
      <c r="AN592" s="817" t="s">
        <v>75</v>
      </c>
      <c r="AO592" s="817" t="s">
        <v>75</v>
      </c>
      <c r="AP592" s="817" t="s">
        <v>75</v>
      </c>
      <c r="AQ592" s="817" t="s">
        <v>75</v>
      </c>
      <c r="AR592" s="817" t="s">
        <v>75</v>
      </c>
      <c r="AS592" s="817" t="s">
        <v>75</v>
      </c>
      <c r="AT592" s="817" t="s">
        <v>75</v>
      </c>
      <c r="AU592" s="404" t="s">
        <v>221</v>
      </c>
      <c r="AV592" s="802"/>
      <c r="AW592" s="802"/>
      <c r="AX592" s="802"/>
      <c r="AY592" s="802"/>
      <c r="AZ592" s="802"/>
      <c r="BA592" s="802"/>
      <c r="BB592" s="802"/>
      <c r="BC592" s="802"/>
      <c r="BD592" s="802"/>
      <c r="BE592" s="802"/>
      <c r="BF592" s="802"/>
      <c r="BG592" s="802"/>
      <c r="BH592" s="802"/>
      <c r="BI592" s="802"/>
      <c r="BJ592" s="802"/>
      <c r="BK592" s="802"/>
      <c r="BL592" s="802"/>
      <c r="BM592" s="789"/>
    </row>
    <row r="593" spans="1:65" s="853" customFormat="1" ht="18.75" customHeight="1">
      <c r="A593" s="794">
        <v>591</v>
      </c>
      <c r="B593" s="836" t="s">
        <v>2367</v>
      </c>
      <c r="C593" s="836" t="s">
        <v>1299</v>
      </c>
      <c r="D593" s="840">
        <v>38991</v>
      </c>
      <c r="E593" s="840">
        <v>39448</v>
      </c>
      <c r="F593" s="857">
        <v>2006</v>
      </c>
      <c r="G593" s="836" t="s">
        <v>168</v>
      </c>
      <c r="H593" s="837" t="s">
        <v>1449</v>
      </c>
      <c r="I593" s="836" t="s">
        <v>778</v>
      </c>
      <c r="J593" s="800" t="s">
        <v>2331</v>
      </c>
      <c r="K593" s="842">
        <v>313765</v>
      </c>
      <c r="L593" s="817">
        <v>148442</v>
      </c>
      <c r="M593" s="817">
        <v>124833</v>
      </c>
      <c r="N593" s="817">
        <v>124833</v>
      </c>
      <c r="O593" s="808">
        <f t="shared" ref="O593:O610" si="38">N593/K593</f>
        <v>0.39785508262553182</v>
      </c>
      <c r="P593" s="817">
        <v>84</v>
      </c>
      <c r="Q593" s="817" t="s">
        <v>75</v>
      </c>
      <c r="R593" s="817" t="s">
        <v>75</v>
      </c>
      <c r="S593" s="817" t="s">
        <v>75</v>
      </c>
      <c r="T593" s="817" t="s">
        <v>94</v>
      </c>
      <c r="U593" s="817">
        <v>355</v>
      </c>
      <c r="V593" s="817" t="s">
        <v>339</v>
      </c>
      <c r="W593" s="817">
        <v>14750</v>
      </c>
      <c r="X593" s="817">
        <v>12390</v>
      </c>
      <c r="Y593" s="817"/>
      <c r="Z593" s="817" t="s">
        <v>75</v>
      </c>
      <c r="AA593" s="842">
        <v>313765</v>
      </c>
      <c r="AB593" s="817">
        <v>355</v>
      </c>
      <c r="AC593" s="817" t="s">
        <v>75</v>
      </c>
      <c r="AD593" s="817" t="s">
        <v>75</v>
      </c>
      <c r="AE593" s="817" t="s">
        <v>75</v>
      </c>
      <c r="AF593" s="817" t="s">
        <v>75</v>
      </c>
      <c r="AG593" s="817" t="s">
        <v>75</v>
      </c>
      <c r="AH593" s="817">
        <v>554</v>
      </c>
      <c r="AI593" s="817" t="s">
        <v>75</v>
      </c>
      <c r="AJ593" s="787">
        <f t="shared" si="37"/>
        <v>314319</v>
      </c>
      <c r="AK593" s="817">
        <v>66399</v>
      </c>
      <c r="AL593" s="817">
        <v>20174</v>
      </c>
      <c r="AM593" s="817"/>
      <c r="AN593" s="817" t="s">
        <v>75</v>
      </c>
      <c r="AO593" s="817" t="s">
        <v>75</v>
      </c>
      <c r="AP593" s="817" t="s">
        <v>75</v>
      </c>
      <c r="AQ593" s="817" t="s">
        <v>75</v>
      </c>
      <c r="AR593" s="817" t="s">
        <v>75</v>
      </c>
      <c r="AS593" s="817" t="s">
        <v>75</v>
      </c>
      <c r="AT593" s="817" t="s">
        <v>75</v>
      </c>
      <c r="AU593" s="356" t="s">
        <v>777</v>
      </c>
      <c r="AV593" s="845"/>
      <c r="AW593" s="845"/>
      <c r="AX593" s="845"/>
      <c r="AY593" s="845"/>
      <c r="AZ593" s="845"/>
      <c r="BA593" s="845"/>
      <c r="BB593" s="845"/>
      <c r="BC593" s="845"/>
      <c r="BD593" s="845"/>
      <c r="BE593" s="845"/>
      <c r="BF593" s="845"/>
      <c r="BG593" s="845"/>
      <c r="BH593" s="845"/>
      <c r="BI593" s="845"/>
      <c r="BJ593" s="845"/>
      <c r="BK593" s="845"/>
      <c r="BL593" s="845"/>
      <c r="BM593" s="845"/>
    </row>
    <row r="594" spans="1:65" s="789" customFormat="1" ht="18.75" customHeight="1">
      <c r="A594" s="794">
        <v>592</v>
      </c>
      <c r="B594" s="836" t="s">
        <v>26</v>
      </c>
      <c r="C594" s="836" t="s">
        <v>1299</v>
      </c>
      <c r="D594" s="840">
        <v>38718</v>
      </c>
      <c r="E594" s="840">
        <v>39661</v>
      </c>
      <c r="F594" s="857">
        <v>2006</v>
      </c>
      <c r="G594" s="836" t="s">
        <v>168</v>
      </c>
      <c r="H594" s="837" t="s">
        <v>1449</v>
      </c>
      <c r="I594" s="836" t="s">
        <v>803</v>
      </c>
      <c r="J594" s="812" t="s">
        <v>2438</v>
      </c>
      <c r="K594" s="817">
        <v>90000</v>
      </c>
      <c r="L594" s="817">
        <v>1015000</v>
      </c>
      <c r="M594" s="817">
        <v>313509</v>
      </c>
      <c r="N594" s="817">
        <v>313509</v>
      </c>
      <c r="O594" s="808">
        <f t="shared" si="38"/>
        <v>3.4834333333333332</v>
      </c>
      <c r="P594" s="817">
        <v>31</v>
      </c>
      <c r="Q594" s="817">
        <v>30000</v>
      </c>
      <c r="R594" s="838">
        <v>54847</v>
      </c>
      <c r="S594" s="838">
        <v>54847</v>
      </c>
      <c r="T594" s="817" t="s">
        <v>94</v>
      </c>
      <c r="U594" s="817">
        <v>15</v>
      </c>
      <c r="V594" s="817">
        <v>54847</v>
      </c>
      <c r="W594" s="817">
        <v>484000</v>
      </c>
      <c r="X594" s="817">
        <v>2313</v>
      </c>
      <c r="Y594" s="808">
        <f>X594/S594</f>
        <v>4.2171859901179644E-2</v>
      </c>
      <c r="Z594" s="817" t="s">
        <v>75</v>
      </c>
      <c r="AA594" s="817">
        <v>40000</v>
      </c>
      <c r="AB594" s="817">
        <v>225</v>
      </c>
      <c r="AC594" s="817" t="s">
        <v>75</v>
      </c>
      <c r="AD594" s="817" t="s">
        <v>75</v>
      </c>
      <c r="AE594" s="817" t="s">
        <v>75</v>
      </c>
      <c r="AF594" s="817" t="s">
        <v>75</v>
      </c>
      <c r="AG594" s="817" t="s">
        <v>75</v>
      </c>
      <c r="AH594" s="817" t="s">
        <v>75</v>
      </c>
      <c r="AI594" s="817" t="s">
        <v>75</v>
      </c>
      <c r="AJ594" s="787">
        <f t="shared" si="37"/>
        <v>40000</v>
      </c>
      <c r="AK594" s="817">
        <v>45000</v>
      </c>
      <c r="AL594" s="817">
        <v>357</v>
      </c>
      <c r="AM594" s="817"/>
      <c r="AN594" s="817" t="s">
        <v>75</v>
      </c>
      <c r="AO594" s="817" t="s">
        <v>75</v>
      </c>
      <c r="AP594" s="817" t="s">
        <v>75</v>
      </c>
      <c r="AQ594" s="817" t="s">
        <v>75</v>
      </c>
      <c r="AR594" s="817" t="s">
        <v>75</v>
      </c>
      <c r="AS594" s="817" t="s">
        <v>75</v>
      </c>
      <c r="AT594" s="817" t="s">
        <v>75</v>
      </c>
      <c r="AU594" s="356" t="s">
        <v>802</v>
      </c>
      <c r="AV594" s="845"/>
      <c r="AW594" s="845"/>
      <c r="AX594" s="845"/>
      <c r="AY594" s="845"/>
      <c r="AZ594" s="845"/>
      <c r="BA594" s="845"/>
      <c r="BB594" s="845"/>
      <c r="BC594" s="845"/>
      <c r="BD594" s="845"/>
      <c r="BE594" s="845"/>
      <c r="BF594" s="845"/>
      <c r="BG594" s="845"/>
      <c r="BH594" s="845"/>
      <c r="BI594" s="845"/>
      <c r="BJ594" s="845"/>
      <c r="BK594" s="845"/>
      <c r="BL594" s="845"/>
      <c r="BM594" s="845"/>
    </row>
    <row r="595" spans="1:65" s="857" customFormat="1" ht="18.75" customHeight="1">
      <c r="A595" s="794">
        <v>593</v>
      </c>
      <c r="B595" s="836" t="s">
        <v>26</v>
      </c>
      <c r="C595" s="836" t="s">
        <v>1299</v>
      </c>
      <c r="D595" s="840">
        <v>38930</v>
      </c>
      <c r="E595" s="840">
        <v>39173</v>
      </c>
      <c r="F595" s="857">
        <v>2006</v>
      </c>
      <c r="G595" s="836" t="s">
        <v>5</v>
      </c>
      <c r="H595" s="837" t="s">
        <v>1451</v>
      </c>
      <c r="I595" s="836" t="s">
        <v>746</v>
      </c>
      <c r="J595" s="812" t="s">
        <v>2438</v>
      </c>
      <c r="K595" s="817">
        <v>15000</v>
      </c>
      <c r="L595" s="817">
        <v>1512497</v>
      </c>
      <c r="M595" s="817">
        <v>1170264</v>
      </c>
      <c r="N595" s="817">
        <v>1170264</v>
      </c>
      <c r="O595" s="808">
        <f t="shared" si="38"/>
        <v>78.017600000000002</v>
      </c>
      <c r="P595" s="817">
        <v>77</v>
      </c>
      <c r="Q595" s="817" t="s">
        <v>339</v>
      </c>
      <c r="R595" s="817">
        <v>2600</v>
      </c>
      <c r="S595" s="817">
        <v>2600</v>
      </c>
      <c r="T595" s="817" t="s">
        <v>2</v>
      </c>
      <c r="U595" s="817">
        <v>183</v>
      </c>
      <c r="V595" s="817">
        <v>17500</v>
      </c>
      <c r="W595" s="817">
        <v>323438</v>
      </c>
      <c r="X595" s="817">
        <v>159147</v>
      </c>
      <c r="Y595" s="808">
        <f>X595/S595</f>
        <v>61.210384615384612</v>
      </c>
      <c r="Z595" s="817" t="s">
        <v>75</v>
      </c>
      <c r="AA595" s="817">
        <v>17500</v>
      </c>
      <c r="AB595" s="817">
        <v>98</v>
      </c>
      <c r="AC595" s="817" t="s">
        <v>75</v>
      </c>
      <c r="AD595" s="817" t="s">
        <v>75</v>
      </c>
      <c r="AE595" s="817">
        <v>22913</v>
      </c>
      <c r="AF595" s="817" t="s">
        <v>75</v>
      </c>
      <c r="AG595" s="817" t="s">
        <v>75</v>
      </c>
      <c r="AH595" s="817" t="s">
        <v>75</v>
      </c>
      <c r="AI595" s="817" t="s">
        <v>75</v>
      </c>
      <c r="AJ595" s="787">
        <f t="shared" si="37"/>
        <v>17500</v>
      </c>
      <c r="AK595" s="817">
        <v>74293</v>
      </c>
      <c r="AL595" s="817">
        <v>9546</v>
      </c>
      <c r="AM595" s="817"/>
      <c r="AN595" s="817" t="s">
        <v>75</v>
      </c>
      <c r="AO595" s="817" t="s">
        <v>75</v>
      </c>
      <c r="AP595" s="817" t="s">
        <v>75</v>
      </c>
      <c r="AQ595" s="817" t="s">
        <v>75</v>
      </c>
      <c r="AR595" s="817" t="s">
        <v>75</v>
      </c>
      <c r="AS595" s="817" t="s">
        <v>75</v>
      </c>
      <c r="AT595" s="817" t="s">
        <v>75</v>
      </c>
      <c r="AU595" s="356" t="s">
        <v>745</v>
      </c>
      <c r="AV595" s="845"/>
      <c r="AW595" s="845"/>
      <c r="AX595" s="845"/>
      <c r="AY595" s="845"/>
      <c r="AZ595" s="845"/>
      <c r="BA595" s="845"/>
      <c r="BB595" s="845"/>
      <c r="BC595" s="845"/>
      <c r="BD595" s="845"/>
      <c r="BE595" s="845"/>
      <c r="BF595" s="845"/>
      <c r="BG595" s="845"/>
      <c r="BH595" s="845"/>
      <c r="BI595" s="845"/>
      <c r="BJ595" s="845"/>
      <c r="BK595" s="845"/>
      <c r="BL595" s="845"/>
      <c r="BM595" s="845"/>
    </row>
    <row r="596" spans="1:65" s="857" customFormat="1" ht="13.5" customHeight="1">
      <c r="A596" s="794">
        <v>594</v>
      </c>
      <c r="B596" s="836" t="s">
        <v>273</v>
      </c>
      <c r="C596" s="789" t="s">
        <v>1286</v>
      </c>
      <c r="D596" s="840">
        <v>38838</v>
      </c>
      <c r="E596" s="840">
        <v>39022</v>
      </c>
      <c r="F596" s="857">
        <v>2006</v>
      </c>
      <c r="G596" s="836" t="s">
        <v>5</v>
      </c>
      <c r="H596" s="841" t="s">
        <v>1451</v>
      </c>
      <c r="I596" s="836" t="s">
        <v>275</v>
      </c>
      <c r="J596" s="812" t="s">
        <v>2438</v>
      </c>
      <c r="K596" s="817">
        <v>20000</v>
      </c>
      <c r="L596" s="817">
        <v>854305</v>
      </c>
      <c r="M596" s="817">
        <v>904349</v>
      </c>
      <c r="N596" s="817">
        <v>904349</v>
      </c>
      <c r="O596" s="808">
        <f t="shared" si="38"/>
        <v>45.217449999999999</v>
      </c>
      <c r="P596" s="817">
        <v>105.85</v>
      </c>
      <c r="Q596" s="817"/>
      <c r="R596" s="817"/>
      <c r="S596" s="817"/>
      <c r="T596" s="817" t="s">
        <v>267</v>
      </c>
      <c r="U596" s="817">
        <v>20</v>
      </c>
      <c r="V596" s="817">
        <v>2270</v>
      </c>
      <c r="W596" s="817">
        <v>30000</v>
      </c>
      <c r="X596" s="817">
        <v>6652</v>
      </c>
      <c r="Y596" s="817"/>
      <c r="Z596" s="817" t="s">
        <v>75</v>
      </c>
      <c r="AA596" s="817" t="s">
        <v>134</v>
      </c>
      <c r="AB596" s="817" t="s">
        <v>134</v>
      </c>
      <c r="AC596" s="817" t="s">
        <v>134</v>
      </c>
      <c r="AD596" s="817" t="s">
        <v>75</v>
      </c>
      <c r="AE596" s="817" t="s">
        <v>75</v>
      </c>
      <c r="AF596" s="817" t="s">
        <v>75</v>
      </c>
      <c r="AG596" s="817" t="s">
        <v>75</v>
      </c>
      <c r="AH596" s="817" t="s">
        <v>75</v>
      </c>
      <c r="AI596" s="817" t="s">
        <v>75</v>
      </c>
      <c r="AJ596" s="808">
        <f t="shared" si="37"/>
        <v>0</v>
      </c>
      <c r="AK596" s="817">
        <v>0</v>
      </c>
      <c r="AL596" s="817">
        <v>479</v>
      </c>
      <c r="AM596" s="817"/>
      <c r="AN596" s="817" t="s">
        <v>75</v>
      </c>
      <c r="AO596" s="817" t="s">
        <v>75</v>
      </c>
      <c r="AP596" s="817" t="s">
        <v>75</v>
      </c>
      <c r="AQ596" s="817" t="s">
        <v>75</v>
      </c>
      <c r="AR596" s="817" t="s">
        <v>75</v>
      </c>
      <c r="AS596" s="817" t="s">
        <v>2</v>
      </c>
      <c r="AT596" s="817" t="s">
        <v>2</v>
      </c>
      <c r="AU596" s="415" t="s">
        <v>274</v>
      </c>
      <c r="AV596" s="789"/>
      <c r="AW596" s="789"/>
      <c r="AX596" s="789"/>
      <c r="AY596" s="789"/>
      <c r="AZ596" s="789"/>
      <c r="BA596" s="789"/>
      <c r="BB596" s="789"/>
      <c r="BC596" s="789"/>
      <c r="BD596" s="789"/>
      <c r="BE596" s="789"/>
      <c r="BF596" s="789"/>
      <c r="BG596" s="789"/>
      <c r="BH596" s="789"/>
      <c r="BI596" s="789"/>
      <c r="BJ596" s="789"/>
      <c r="BK596" s="789"/>
      <c r="BL596" s="789"/>
      <c r="BM596" s="789"/>
    </row>
    <row r="597" spans="1:65" s="857" customFormat="1" ht="18.75" customHeight="1">
      <c r="A597" s="794">
        <v>595</v>
      </c>
      <c r="B597" s="804" t="s">
        <v>196</v>
      </c>
      <c r="C597" s="802" t="s">
        <v>1260</v>
      </c>
      <c r="D597" s="840">
        <v>38899</v>
      </c>
      <c r="E597" s="805">
        <v>38991</v>
      </c>
      <c r="F597" s="857">
        <v>2006</v>
      </c>
      <c r="G597" s="836" t="s">
        <v>24</v>
      </c>
      <c r="H597" s="837" t="s">
        <v>1454</v>
      </c>
      <c r="I597" s="836" t="s">
        <v>288</v>
      </c>
      <c r="J597" s="800" t="s">
        <v>2331</v>
      </c>
      <c r="K597" s="817">
        <v>21057</v>
      </c>
      <c r="L597" s="839">
        <v>100000</v>
      </c>
      <c r="M597" s="839">
        <v>79167</v>
      </c>
      <c r="N597" s="817">
        <v>79167</v>
      </c>
      <c r="O597" s="808">
        <f t="shared" si="38"/>
        <v>3.7596523721327824</v>
      </c>
      <c r="P597" s="817">
        <v>79</v>
      </c>
      <c r="Q597" s="817" t="s">
        <v>134</v>
      </c>
      <c r="R597" s="838" t="s">
        <v>134</v>
      </c>
      <c r="S597" s="817" t="s">
        <v>134</v>
      </c>
      <c r="T597" s="817" t="s">
        <v>290</v>
      </c>
      <c r="U597" s="817" t="s">
        <v>75</v>
      </c>
      <c r="V597" s="817">
        <v>1000</v>
      </c>
      <c r="W597" s="817" t="s">
        <v>66</v>
      </c>
      <c r="X597" s="817" t="s">
        <v>66</v>
      </c>
      <c r="Y597" s="817"/>
      <c r="Z597" s="817" t="s">
        <v>75</v>
      </c>
      <c r="AA597" s="817">
        <v>1000</v>
      </c>
      <c r="AB597" s="817" t="s">
        <v>206</v>
      </c>
      <c r="AC597" s="817" t="s">
        <v>75</v>
      </c>
      <c r="AD597" s="817" t="s">
        <v>75</v>
      </c>
      <c r="AE597" s="817" t="s">
        <v>75</v>
      </c>
      <c r="AF597" s="817" t="s">
        <v>75</v>
      </c>
      <c r="AG597" s="817" t="s">
        <v>75</v>
      </c>
      <c r="AH597" s="817" t="s">
        <v>75</v>
      </c>
      <c r="AI597" s="817" t="s">
        <v>75</v>
      </c>
      <c r="AJ597" s="787">
        <f t="shared" si="37"/>
        <v>1000</v>
      </c>
      <c r="AK597" s="817" t="s">
        <v>66</v>
      </c>
      <c r="AL597" s="817" t="s">
        <v>66</v>
      </c>
      <c r="AM597" s="839"/>
      <c r="AN597" s="817" t="s">
        <v>75</v>
      </c>
      <c r="AO597" s="817" t="s">
        <v>75</v>
      </c>
      <c r="AP597" s="817" t="s">
        <v>75</v>
      </c>
      <c r="AQ597" s="817" t="s">
        <v>75</v>
      </c>
      <c r="AR597" s="817" t="s">
        <v>75</v>
      </c>
      <c r="AS597" s="817" t="s">
        <v>75</v>
      </c>
      <c r="AT597" s="817" t="s">
        <v>75</v>
      </c>
      <c r="AU597" s="404" t="s">
        <v>289</v>
      </c>
      <c r="AV597" s="802"/>
      <c r="AW597" s="802"/>
      <c r="AX597" s="802"/>
      <c r="AY597" s="802"/>
      <c r="AZ597" s="802"/>
      <c r="BA597" s="802"/>
      <c r="BB597" s="802"/>
      <c r="BC597" s="802"/>
      <c r="BD597" s="802"/>
      <c r="BE597" s="802"/>
      <c r="BF597" s="802"/>
      <c r="BG597" s="802"/>
      <c r="BH597" s="802"/>
      <c r="BI597" s="802"/>
      <c r="BJ597" s="802"/>
      <c r="BK597" s="802"/>
      <c r="BL597" s="802"/>
      <c r="BM597" s="789"/>
    </row>
    <row r="598" spans="1:65" s="857" customFormat="1" ht="13.5" customHeight="1">
      <c r="A598" s="794">
        <v>596</v>
      </c>
      <c r="B598" s="812" t="s">
        <v>171</v>
      </c>
      <c r="C598" s="785" t="s">
        <v>1299</v>
      </c>
      <c r="D598" s="792">
        <v>38791</v>
      </c>
      <c r="E598" s="792">
        <v>38911</v>
      </c>
      <c r="F598" s="857">
        <v>2006</v>
      </c>
      <c r="G598" s="836" t="s">
        <v>79</v>
      </c>
      <c r="H598" s="837" t="s">
        <v>1453</v>
      </c>
      <c r="I598" s="812" t="s">
        <v>687</v>
      </c>
      <c r="J598" s="812" t="s">
        <v>2438</v>
      </c>
      <c r="K598" s="842">
        <v>74000</v>
      </c>
      <c r="L598" s="842">
        <v>1862590</v>
      </c>
      <c r="M598" s="842">
        <v>525182</v>
      </c>
      <c r="N598" s="842">
        <v>525182</v>
      </c>
      <c r="O598" s="808">
        <f t="shared" si="38"/>
        <v>7.0970540540540537</v>
      </c>
      <c r="P598" s="842">
        <v>28</v>
      </c>
      <c r="Q598" s="842" t="s">
        <v>75</v>
      </c>
      <c r="R598" s="842" t="s">
        <v>75</v>
      </c>
      <c r="S598" s="842">
        <v>74000</v>
      </c>
      <c r="T598" s="842" t="s">
        <v>95</v>
      </c>
      <c r="U598" s="842" t="s">
        <v>75</v>
      </c>
      <c r="V598" s="842"/>
      <c r="W598" s="842" t="s">
        <v>75</v>
      </c>
      <c r="X598" s="842" t="s">
        <v>75</v>
      </c>
      <c r="Y598" s="808"/>
      <c r="Z598" s="842" t="s">
        <v>75</v>
      </c>
      <c r="AA598" s="842" t="s">
        <v>75</v>
      </c>
      <c r="AB598" s="842" t="s">
        <v>75</v>
      </c>
      <c r="AC598" s="842" t="s">
        <v>75</v>
      </c>
      <c r="AD598" s="842" t="s">
        <v>75</v>
      </c>
      <c r="AE598" s="842" t="s">
        <v>75</v>
      </c>
      <c r="AF598" s="842" t="s">
        <v>75</v>
      </c>
      <c r="AG598" s="842" t="s">
        <v>75</v>
      </c>
      <c r="AH598" s="842" t="s">
        <v>75</v>
      </c>
      <c r="AI598" s="842" t="s">
        <v>75</v>
      </c>
      <c r="AJ598" s="787">
        <f t="shared" si="37"/>
        <v>0</v>
      </c>
      <c r="AK598" s="842" t="s">
        <v>75</v>
      </c>
      <c r="AL598" s="842" t="s">
        <v>75</v>
      </c>
      <c r="AM598" s="842"/>
      <c r="AN598" s="842" t="s">
        <v>75</v>
      </c>
      <c r="AO598" s="842" t="s">
        <v>75</v>
      </c>
      <c r="AP598" s="842" t="s">
        <v>75</v>
      </c>
      <c r="AQ598" s="842" t="s">
        <v>75</v>
      </c>
      <c r="AR598" s="842" t="s">
        <v>75</v>
      </c>
      <c r="AS598" s="842" t="s">
        <v>75</v>
      </c>
      <c r="AT598" s="842" t="s">
        <v>75</v>
      </c>
      <c r="AU598" s="344" t="s">
        <v>686</v>
      </c>
      <c r="AV598" s="853"/>
      <c r="AW598" s="853"/>
      <c r="AX598" s="853"/>
      <c r="AY598" s="853"/>
      <c r="AZ598" s="853"/>
      <c r="BA598" s="853"/>
      <c r="BB598" s="853"/>
      <c r="BC598" s="853"/>
      <c r="BD598" s="853"/>
      <c r="BE598" s="853"/>
      <c r="BF598" s="853"/>
      <c r="BG598" s="853"/>
      <c r="BH598" s="853"/>
      <c r="BI598" s="853"/>
      <c r="BJ598" s="853"/>
      <c r="BK598" s="853"/>
      <c r="BL598" s="853"/>
      <c r="BM598" s="853"/>
    </row>
    <row r="599" spans="1:65" s="854" customFormat="1" ht="18" customHeight="1">
      <c r="A599" s="794">
        <v>597</v>
      </c>
      <c r="B599" s="804" t="s">
        <v>171</v>
      </c>
      <c r="C599" s="804" t="s">
        <v>1299</v>
      </c>
      <c r="D599" s="805">
        <v>39022</v>
      </c>
      <c r="E599" s="805">
        <v>39114</v>
      </c>
      <c r="F599" s="857">
        <v>2006</v>
      </c>
      <c r="G599" s="804" t="s">
        <v>173</v>
      </c>
      <c r="H599" s="837" t="s">
        <v>1451</v>
      </c>
      <c r="I599" s="836" t="s">
        <v>177</v>
      </c>
      <c r="J599" s="800" t="s">
        <v>2331</v>
      </c>
      <c r="K599" s="817">
        <v>2500</v>
      </c>
      <c r="L599" s="839">
        <v>30470</v>
      </c>
      <c r="M599" s="839">
        <v>30469</v>
      </c>
      <c r="N599" s="817">
        <v>30469</v>
      </c>
      <c r="O599" s="808">
        <f t="shared" si="38"/>
        <v>12.1876</v>
      </c>
      <c r="P599" s="817">
        <v>100</v>
      </c>
      <c r="Q599" s="839"/>
      <c r="R599" s="839"/>
      <c r="S599" s="817"/>
      <c r="T599" s="817" t="s">
        <v>233</v>
      </c>
      <c r="U599" s="839"/>
      <c r="V599" s="817"/>
      <c r="W599" s="817"/>
      <c r="X599" s="817"/>
      <c r="Y599" s="817"/>
      <c r="Z599" s="817"/>
      <c r="AA599" s="817"/>
      <c r="AB599" s="839">
        <v>25</v>
      </c>
      <c r="AC599" s="817"/>
      <c r="AD599" s="817"/>
      <c r="AE599" s="839">
        <v>1000</v>
      </c>
      <c r="AF599" s="839" t="s">
        <v>75</v>
      </c>
      <c r="AG599" s="839" t="s">
        <v>75</v>
      </c>
      <c r="AH599" s="817"/>
      <c r="AI599" s="839"/>
      <c r="AJ599" s="787">
        <f t="shared" si="37"/>
        <v>0</v>
      </c>
      <c r="AK599" s="817"/>
      <c r="AL599" s="817"/>
      <c r="AM599" s="839"/>
      <c r="AN599" s="817" t="s">
        <v>75</v>
      </c>
      <c r="AO599" s="817" t="s">
        <v>75</v>
      </c>
      <c r="AP599" s="817" t="s">
        <v>75</v>
      </c>
      <c r="AQ599" s="817" t="s">
        <v>75</v>
      </c>
      <c r="AR599" s="817" t="s">
        <v>75</v>
      </c>
      <c r="AS599" s="817" t="s">
        <v>75</v>
      </c>
      <c r="AT599" s="817" t="s">
        <v>75</v>
      </c>
      <c r="AU599" s="404" t="s">
        <v>178</v>
      </c>
      <c r="AV599" s="802"/>
      <c r="AW599" s="802"/>
      <c r="AX599" s="802"/>
      <c r="AY599" s="802"/>
      <c r="AZ599" s="802"/>
      <c r="BA599" s="802"/>
      <c r="BB599" s="802"/>
      <c r="BC599" s="802"/>
      <c r="BD599" s="802"/>
      <c r="BE599" s="802"/>
      <c r="BF599" s="802"/>
      <c r="BG599" s="802"/>
      <c r="BH599" s="802"/>
      <c r="BI599" s="802"/>
      <c r="BJ599" s="802"/>
      <c r="BK599" s="802"/>
      <c r="BL599" s="802"/>
      <c r="BM599" s="789"/>
    </row>
    <row r="600" spans="1:65" s="854" customFormat="1" ht="16.5" customHeight="1">
      <c r="A600" s="794">
        <v>598</v>
      </c>
      <c r="B600" s="804" t="s">
        <v>171</v>
      </c>
      <c r="C600" s="804" t="s">
        <v>1299</v>
      </c>
      <c r="D600" s="805">
        <v>38838</v>
      </c>
      <c r="E600" s="805">
        <v>39022</v>
      </c>
      <c r="F600" s="857">
        <v>2006</v>
      </c>
      <c r="G600" s="804" t="s">
        <v>5</v>
      </c>
      <c r="H600" s="837" t="s">
        <v>1451</v>
      </c>
      <c r="I600" s="836" t="s">
        <v>232</v>
      </c>
      <c r="J600" s="800" t="s">
        <v>2331</v>
      </c>
      <c r="K600" s="817">
        <v>3000</v>
      </c>
      <c r="L600" s="839">
        <v>73000</v>
      </c>
      <c r="M600" s="839">
        <v>72771</v>
      </c>
      <c r="N600" s="817">
        <v>72771</v>
      </c>
      <c r="O600" s="808">
        <f t="shared" si="38"/>
        <v>24.257000000000001</v>
      </c>
      <c r="P600" s="817">
        <v>100</v>
      </c>
      <c r="Q600" s="839">
        <v>3000</v>
      </c>
      <c r="R600" s="852" t="s">
        <v>134</v>
      </c>
      <c r="S600" s="817">
        <v>3000</v>
      </c>
      <c r="T600" s="817" t="s">
        <v>233</v>
      </c>
      <c r="U600" s="852" t="s">
        <v>134</v>
      </c>
      <c r="V600" s="817" t="s">
        <v>134</v>
      </c>
      <c r="W600" s="817" t="s">
        <v>66</v>
      </c>
      <c r="X600" s="817" t="s">
        <v>66</v>
      </c>
      <c r="Y600" s="808"/>
      <c r="Z600" s="817" t="s">
        <v>75</v>
      </c>
      <c r="AA600" s="817" t="s">
        <v>75</v>
      </c>
      <c r="AB600" s="817" t="s">
        <v>75</v>
      </c>
      <c r="AC600" s="817" t="s">
        <v>75</v>
      </c>
      <c r="AD600" s="817" t="s">
        <v>75</v>
      </c>
      <c r="AE600" s="839">
        <v>1200</v>
      </c>
      <c r="AF600" s="817" t="s">
        <v>75</v>
      </c>
      <c r="AG600" s="817" t="s">
        <v>75</v>
      </c>
      <c r="AH600" s="817" t="s">
        <v>75</v>
      </c>
      <c r="AI600" s="839" t="s">
        <v>75</v>
      </c>
      <c r="AJ600" s="787">
        <f t="shared" si="37"/>
        <v>0</v>
      </c>
      <c r="AK600" s="838" t="s">
        <v>66</v>
      </c>
      <c r="AL600" s="817" t="s">
        <v>66</v>
      </c>
      <c r="AM600" s="839"/>
      <c r="AN600" s="817" t="s">
        <v>75</v>
      </c>
      <c r="AO600" s="817" t="s">
        <v>75</v>
      </c>
      <c r="AP600" s="817" t="s">
        <v>75</v>
      </c>
      <c r="AQ600" s="817" t="s">
        <v>75</v>
      </c>
      <c r="AR600" s="817" t="s">
        <v>75</v>
      </c>
      <c r="AS600" s="817" t="s">
        <v>75</v>
      </c>
      <c r="AT600" s="817" t="s">
        <v>75</v>
      </c>
      <c r="AU600" s="404" t="s">
        <v>234</v>
      </c>
      <c r="AV600" s="802"/>
      <c r="AW600" s="802"/>
      <c r="AX600" s="802"/>
      <c r="AY600" s="802"/>
      <c r="AZ600" s="802"/>
      <c r="BA600" s="802"/>
      <c r="BB600" s="802"/>
      <c r="BC600" s="802"/>
      <c r="BD600" s="802"/>
      <c r="BE600" s="802"/>
      <c r="BF600" s="802"/>
      <c r="BG600" s="802"/>
      <c r="BH600" s="802"/>
      <c r="BI600" s="802"/>
      <c r="BJ600" s="802"/>
      <c r="BK600" s="802"/>
      <c r="BL600" s="802"/>
      <c r="BM600" s="789"/>
    </row>
    <row r="601" spans="1:65" s="854" customFormat="1" ht="15.75" customHeight="1">
      <c r="A601" s="794">
        <v>599</v>
      </c>
      <c r="B601" s="804" t="s">
        <v>171</v>
      </c>
      <c r="C601" s="804" t="s">
        <v>1299</v>
      </c>
      <c r="D601" s="805">
        <v>38869</v>
      </c>
      <c r="E601" s="805">
        <v>38991</v>
      </c>
      <c r="F601" s="857">
        <v>2006</v>
      </c>
      <c r="G601" s="804" t="s">
        <v>237</v>
      </c>
      <c r="H601" s="837" t="s">
        <v>1449</v>
      </c>
      <c r="I601" s="836" t="s">
        <v>235</v>
      </c>
      <c r="J601" s="800" t="s">
        <v>2331</v>
      </c>
      <c r="K601" s="817">
        <v>2330</v>
      </c>
      <c r="L601" s="839">
        <v>42500</v>
      </c>
      <c r="M601" s="839">
        <v>25760</v>
      </c>
      <c r="N601" s="817">
        <v>25760</v>
      </c>
      <c r="O601" s="808">
        <f t="shared" si="38"/>
        <v>11.055793991416309</v>
      </c>
      <c r="P601" s="817">
        <v>60.6</v>
      </c>
      <c r="Q601" s="839" t="s">
        <v>75</v>
      </c>
      <c r="R601" s="839" t="s">
        <v>75</v>
      </c>
      <c r="S601" s="817" t="s">
        <v>75</v>
      </c>
      <c r="T601" s="817" t="s">
        <v>233</v>
      </c>
      <c r="U601" s="839" t="s">
        <v>75</v>
      </c>
      <c r="V601" s="817" t="s">
        <v>75</v>
      </c>
      <c r="W601" s="817" t="s">
        <v>66</v>
      </c>
      <c r="X601" s="817" t="s">
        <v>66</v>
      </c>
      <c r="Y601" s="817"/>
      <c r="Z601" s="817" t="s">
        <v>75</v>
      </c>
      <c r="AA601" s="817">
        <v>2330</v>
      </c>
      <c r="AB601" s="817" t="s">
        <v>134</v>
      </c>
      <c r="AC601" s="817" t="s">
        <v>75</v>
      </c>
      <c r="AD601" s="817" t="s">
        <v>75</v>
      </c>
      <c r="AE601" s="839">
        <v>3000</v>
      </c>
      <c r="AF601" s="817" t="s">
        <v>75</v>
      </c>
      <c r="AG601" s="817" t="s">
        <v>75</v>
      </c>
      <c r="AH601" s="817" t="s">
        <v>75</v>
      </c>
      <c r="AI601" s="839" t="s">
        <v>75</v>
      </c>
      <c r="AJ601" s="787">
        <f t="shared" si="37"/>
        <v>2330</v>
      </c>
      <c r="AK601" s="838" t="s">
        <v>66</v>
      </c>
      <c r="AL601" s="817" t="s">
        <v>66</v>
      </c>
      <c r="AM601" s="839"/>
      <c r="AN601" s="817" t="s">
        <v>75</v>
      </c>
      <c r="AO601" s="817" t="s">
        <v>75</v>
      </c>
      <c r="AP601" s="817" t="s">
        <v>75</v>
      </c>
      <c r="AQ601" s="817" t="s">
        <v>75</v>
      </c>
      <c r="AR601" s="817" t="s">
        <v>75</v>
      </c>
      <c r="AS601" s="817" t="s">
        <v>75</v>
      </c>
      <c r="AT601" s="817" t="s">
        <v>75</v>
      </c>
      <c r="AU601" s="404" t="s">
        <v>236</v>
      </c>
      <c r="AV601" s="802"/>
      <c r="AW601" s="802"/>
      <c r="AX601" s="802"/>
      <c r="AY601" s="802"/>
      <c r="AZ601" s="802"/>
      <c r="BA601" s="802"/>
      <c r="BB601" s="802"/>
      <c r="BC601" s="802"/>
      <c r="BD601" s="802"/>
      <c r="BE601" s="802"/>
      <c r="BF601" s="802"/>
      <c r="BG601" s="802"/>
      <c r="BH601" s="802"/>
      <c r="BI601" s="802"/>
      <c r="BJ601" s="802"/>
      <c r="BK601" s="802"/>
      <c r="BL601" s="802"/>
      <c r="BM601" s="789"/>
    </row>
    <row r="602" spans="1:65" s="854" customFormat="1" ht="15.75" customHeight="1">
      <c r="A602" s="794">
        <v>600</v>
      </c>
      <c r="B602" s="836" t="s">
        <v>171</v>
      </c>
      <c r="C602" s="836" t="s">
        <v>1299</v>
      </c>
      <c r="D602" s="840">
        <v>39203</v>
      </c>
      <c r="E602" s="840">
        <v>39568</v>
      </c>
      <c r="F602" s="857">
        <v>2007</v>
      </c>
      <c r="G602" s="836" t="s">
        <v>5</v>
      </c>
      <c r="H602" s="837" t="s">
        <v>1451</v>
      </c>
      <c r="I602" s="789" t="s">
        <v>796</v>
      </c>
      <c r="J602" s="812" t="s">
        <v>2438</v>
      </c>
      <c r="K602" s="817">
        <v>53000</v>
      </c>
      <c r="L602" s="817">
        <v>980269</v>
      </c>
      <c r="M602" s="817">
        <v>164301</v>
      </c>
      <c r="N602" s="817">
        <v>164301</v>
      </c>
      <c r="O602" s="808">
        <f t="shared" si="38"/>
        <v>3.1000188679245282</v>
      </c>
      <c r="P602" s="817">
        <v>20</v>
      </c>
      <c r="Q602" s="817" t="s">
        <v>75</v>
      </c>
      <c r="R602" s="817" t="s">
        <v>75</v>
      </c>
      <c r="S602" s="817" t="s">
        <v>75</v>
      </c>
      <c r="T602" s="817" t="s">
        <v>849</v>
      </c>
      <c r="U602" s="817" t="s">
        <v>75</v>
      </c>
      <c r="V602" s="817">
        <v>15000</v>
      </c>
      <c r="W602" s="817">
        <v>15650</v>
      </c>
      <c r="X602" s="817">
        <v>4696</v>
      </c>
      <c r="Y602" s="817"/>
      <c r="Z602" s="817" t="s">
        <v>75</v>
      </c>
      <c r="AA602" s="817">
        <v>50000</v>
      </c>
      <c r="AB602" s="817">
        <v>160</v>
      </c>
      <c r="AC602" s="817" t="s">
        <v>2</v>
      </c>
      <c r="AD602" s="817" t="s">
        <v>75</v>
      </c>
      <c r="AE602" s="817">
        <v>12000</v>
      </c>
      <c r="AF602" s="817" t="s">
        <v>75</v>
      </c>
      <c r="AG602" s="817" t="s">
        <v>75</v>
      </c>
      <c r="AH602" s="817" t="s">
        <v>75</v>
      </c>
      <c r="AI602" s="817" t="s">
        <v>75</v>
      </c>
      <c r="AJ602" s="787">
        <f t="shared" si="37"/>
        <v>50000</v>
      </c>
      <c r="AK602" s="817" t="s">
        <v>75</v>
      </c>
      <c r="AL602" s="817" t="s">
        <v>75</v>
      </c>
      <c r="AM602" s="817"/>
      <c r="AN602" s="817" t="s">
        <v>75</v>
      </c>
      <c r="AO602" s="817" t="s">
        <v>75</v>
      </c>
      <c r="AP602" s="817" t="s">
        <v>75</v>
      </c>
      <c r="AQ602" s="817" t="s">
        <v>75</v>
      </c>
      <c r="AR602" s="817" t="s">
        <v>75</v>
      </c>
      <c r="AS602" s="817" t="s">
        <v>75</v>
      </c>
      <c r="AT602" s="817" t="s">
        <v>75</v>
      </c>
      <c r="AU602" s="416" t="s">
        <v>795</v>
      </c>
      <c r="AV602" s="845"/>
      <c r="AW602" s="845"/>
      <c r="AX602" s="845"/>
      <c r="AY602" s="845"/>
      <c r="AZ602" s="845"/>
      <c r="BA602" s="845"/>
      <c r="BB602" s="845"/>
      <c r="BC602" s="845"/>
      <c r="BD602" s="845"/>
      <c r="BE602" s="845"/>
      <c r="BF602" s="845"/>
      <c r="BG602" s="845"/>
      <c r="BH602" s="845"/>
      <c r="BI602" s="845"/>
      <c r="BJ602" s="845"/>
      <c r="BK602" s="845"/>
      <c r="BL602" s="845"/>
      <c r="BM602" s="845"/>
    </row>
    <row r="603" spans="1:65" s="854" customFormat="1" ht="16.5" customHeight="1">
      <c r="A603" s="794">
        <v>601</v>
      </c>
      <c r="B603" s="804" t="s">
        <v>201</v>
      </c>
      <c r="C603" s="802" t="s">
        <v>1261</v>
      </c>
      <c r="D603" s="805">
        <v>38749</v>
      </c>
      <c r="E603" s="805">
        <v>39114</v>
      </c>
      <c r="F603" s="857">
        <v>2006</v>
      </c>
      <c r="G603" s="804" t="s">
        <v>203</v>
      </c>
      <c r="H603" s="837" t="s">
        <v>1458</v>
      </c>
      <c r="I603" s="836" t="s">
        <v>200</v>
      </c>
      <c r="J603" s="812" t="s">
        <v>2438</v>
      </c>
      <c r="K603" s="817">
        <v>8400</v>
      </c>
      <c r="L603" s="839">
        <v>709842</v>
      </c>
      <c r="M603" s="839">
        <v>631674</v>
      </c>
      <c r="N603" s="817">
        <v>631674</v>
      </c>
      <c r="O603" s="808">
        <f t="shared" si="38"/>
        <v>75.199285714285708</v>
      </c>
      <c r="P603" s="817">
        <v>88.9</v>
      </c>
      <c r="Q603" s="839">
        <v>3000</v>
      </c>
      <c r="R603" s="839" t="s">
        <v>75</v>
      </c>
      <c r="S603" s="817">
        <v>3000</v>
      </c>
      <c r="T603" s="817" t="s">
        <v>233</v>
      </c>
      <c r="U603" s="839" t="s">
        <v>75</v>
      </c>
      <c r="V603" s="817" t="s">
        <v>75</v>
      </c>
      <c r="W603" s="817" t="s">
        <v>66</v>
      </c>
      <c r="X603" s="817" t="s">
        <v>66</v>
      </c>
      <c r="Y603" s="808"/>
      <c r="Z603" s="817" t="s">
        <v>75</v>
      </c>
      <c r="AA603" s="817" t="s">
        <v>134</v>
      </c>
      <c r="AB603" s="817" t="s">
        <v>134</v>
      </c>
      <c r="AC603" s="817" t="s">
        <v>134</v>
      </c>
      <c r="AD603" s="817" t="s">
        <v>134</v>
      </c>
      <c r="AE603" s="839">
        <v>2000</v>
      </c>
      <c r="AF603" s="839" t="s">
        <v>75</v>
      </c>
      <c r="AG603" s="839" t="s">
        <v>75</v>
      </c>
      <c r="AH603" s="817" t="s">
        <v>75</v>
      </c>
      <c r="AI603" s="839" t="s">
        <v>75</v>
      </c>
      <c r="AJ603" s="787">
        <f t="shared" si="37"/>
        <v>0</v>
      </c>
      <c r="AK603" s="817" t="s">
        <v>66</v>
      </c>
      <c r="AL603" s="817" t="s">
        <v>66</v>
      </c>
      <c r="AM603" s="839"/>
      <c r="AN603" s="817" t="s">
        <v>75</v>
      </c>
      <c r="AO603" s="817" t="s">
        <v>75</v>
      </c>
      <c r="AP603" s="817" t="s">
        <v>75</v>
      </c>
      <c r="AQ603" s="817" t="s">
        <v>75</v>
      </c>
      <c r="AR603" s="817" t="s">
        <v>75</v>
      </c>
      <c r="AS603" s="817" t="s">
        <v>204</v>
      </c>
      <c r="AT603" s="817" t="s">
        <v>204</v>
      </c>
      <c r="AU603" s="804" t="s">
        <v>202</v>
      </c>
      <c r="AV603" s="802"/>
      <c r="AW603" s="802"/>
      <c r="AX603" s="802"/>
      <c r="AY603" s="802"/>
      <c r="AZ603" s="802"/>
      <c r="BA603" s="802"/>
      <c r="BB603" s="802"/>
      <c r="BC603" s="802"/>
      <c r="BD603" s="802"/>
      <c r="BE603" s="802"/>
      <c r="BF603" s="802"/>
      <c r="BG603" s="802"/>
      <c r="BH603" s="802"/>
      <c r="BI603" s="802"/>
      <c r="BJ603" s="802"/>
      <c r="BK603" s="802"/>
      <c r="BL603" s="802"/>
      <c r="BM603" s="789"/>
    </row>
    <row r="604" spans="1:65" s="854" customFormat="1" ht="18.75" customHeight="1">
      <c r="A604" s="794">
        <v>602</v>
      </c>
      <c r="B604" s="804" t="s">
        <v>148</v>
      </c>
      <c r="C604" s="804" t="s">
        <v>1299</v>
      </c>
      <c r="D604" s="805">
        <v>38930</v>
      </c>
      <c r="E604" s="805">
        <v>39022</v>
      </c>
      <c r="F604" s="857">
        <v>2006</v>
      </c>
      <c r="G604" s="804" t="s">
        <v>5</v>
      </c>
      <c r="H604" s="837" t="s">
        <v>1451</v>
      </c>
      <c r="I604" s="836" t="s">
        <v>151</v>
      </c>
      <c r="J604" s="800" t="s">
        <v>2331</v>
      </c>
      <c r="K604" s="817">
        <v>2995</v>
      </c>
      <c r="L604" s="839">
        <v>41393</v>
      </c>
      <c r="M604" s="839">
        <v>41393</v>
      </c>
      <c r="N604" s="817">
        <v>41393</v>
      </c>
      <c r="O604" s="808">
        <f t="shared" si="38"/>
        <v>13.820701168614358</v>
      </c>
      <c r="P604" s="839">
        <v>100</v>
      </c>
      <c r="Q604" s="839"/>
      <c r="R604" s="839"/>
      <c r="S604" s="817"/>
      <c r="T604" s="817" t="s">
        <v>233</v>
      </c>
      <c r="U604" s="839">
        <v>25</v>
      </c>
      <c r="V604" s="817">
        <v>5220</v>
      </c>
      <c r="W604" s="817" t="s">
        <v>66</v>
      </c>
      <c r="X604" s="817" t="s">
        <v>66</v>
      </c>
      <c r="Y604" s="817"/>
      <c r="Z604" s="817"/>
      <c r="AA604" s="817"/>
      <c r="AB604" s="839"/>
      <c r="AC604" s="817"/>
      <c r="AD604" s="817"/>
      <c r="AE604" s="839">
        <v>2515</v>
      </c>
      <c r="AF604" s="839" t="s">
        <v>75</v>
      </c>
      <c r="AG604" s="839" t="s">
        <v>75</v>
      </c>
      <c r="AH604" s="817"/>
      <c r="AI604" s="839"/>
      <c r="AJ604" s="787">
        <f t="shared" si="37"/>
        <v>0</v>
      </c>
      <c r="AK604" s="817" t="s">
        <v>66</v>
      </c>
      <c r="AL604" s="817" t="s">
        <v>66</v>
      </c>
      <c r="AM604" s="839"/>
      <c r="AN604" s="817" t="s">
        <v>75</v>
      </c>
      <c r="AO604" s="817" t="s">
        <v>75</v>
      </c>
      <c r="AP604" s="817" t="s">
        <v>75</v>
      </c>
      <c r="AQ604" s="817" t="s">
        <v>75</v>
      </c>
      <c r="AR604" s="817" t="s">
        <v>75</v>
      </c>
      <c r="AS604" s="817" t="s">
        <v>75</v>
      </c>
      <c r="AT604" s="817" t="s">
        <v>75</v>
      </c>
      <c r="AU604" s="404" t="s">
        <v>149</v>
      </c>
      <c r="AV604" s="802"/>
      <c r="AW604" s="802"/>
      <c r="AX604" s="802"/>
      <c r="AY604" s="802"/>
      <c r="AZ604" s="802"/>
      <c r="BA604" s="802"/>
      <c r="BB604" s="802"/>
      <c r="BC604" s="802"/>
      <c r="BD604" s="802"/>
      <c r="BE604" s="802"/>
      <c r="BF604" s="802"/>
      <c r="BG604" s="802"/>
      <c r="BH604" s="802"/>
      <c r="BI604" s="802"/>
      <c r="BJ604" s="802"/>
      <c r="BK604" s="802"/>
      <c r="BL604" s="802"/>
      <c r="BM604" s="789"/>
    </row>
    <row r="605" spans="1:65" s="854" customFormat="1" ht="18" customHeight="1">
      <c r="A605" s="794">
        <v>603</v>
      </c>
      <c r="B605" s="804" t="s">
        <v>148</v>
      </c>
      <c r="C605" s="804" t="s">
        <v>1299</v>
      </c>
      <c r="D605" s="805">
        <v>38869</v>
      </c>
      <c r="E605" s="840">
        <v>39052</v>
      </c>
      <c r="F605" s="857">
        <v>2006</v>
      </c>
      <c r="G605" s="804" t="s">
        <v>243</v>
      </c>
      <c r="H605" s="837" t="s">
        <v>1449</v>
      </c>
      <c r="I605" s="836" t="s">
        <v>241</v>
      </c>
      <c r="J605" s="800" t="s">
        <v>2331</v>
      </c>
      <c r="K605" s="817">
        <v>134655</v>
      </c>
      <c r="L605" s="839">
        <v>35847</v>
      </c>
      <c r="M605" s="839">
        <v>33328</v>
      </c>
      <c r="N605" s="817">
        <v>33328</v>
      </c>
      <c r="O605" s="808">
        <f t="shared" si="38"/>
        <v>0.24750659091752999</v>
      </c>
      <c r="P605" s="817">
        <v>93</v>
      </c>
      <c r="Q605" s="839" t="s">
        <v>75</v>
      </c>
      <c r="R605" s="839" t="s">
        <v>75</v>
      </c>
      <c r="S605" s="817" t="s">
        <v>75</v>
      </c>
      <c r="T605" s="817" t="s">
        <v>233</v>
      </c>
      <c r="U605" s="839">
        <v>100</v>
      </c>
      <c r="V605" s="817">
        <v>26675</v>
      </c>
      <c r="W605" s="817" t="s">
        <v>66</v>
      </c>
      <c r="X605" s="817" t="s">
        <v>66</v>
      </c>
      <c r="Y605" s="817"/>
      <c r="Z605" s="817" t="s">
        <v>75</v>
      </c>
      <c r="AA605" s="817" t="s">
        <v>206</v>
      </c>
      <c r="AB605" s="817">
        <v>250</v>
      </c>
      <c r="AC605" s="817" t="s">
        <v>206</v>
      </c>
      <c r="AD605" s="817"/>
      <c r="AE605" s="817" t="s">
        <v>75</v>
      </c>
      <c r="AF605" s="817" t="s">
        <v>75</v>
      </c>
      <c r="AG605" s="817" t="s">
        <v>75</v>
      </c>
      <c r="AH605" s="817" t="s">
        <v>75</v>
      </c>
      <c r="AI605" s="817" t="s">
        <v>75</v>
      </c>
      <c r="AJ605" s="787">
        <f t="shared" si="37"/>
        <v>0</v>
      </c>
      <c r="AK605" s="817" t="s">
        <v>66</v>
      </c>
      <c r="AL605" s="817" t="s">
        <v>66</v>
      </c>
      <c r="AM605" s="839"/>
      <c r="AN605" s="817" t="s">
        <v>75</v>
      </c>
      <c r="AO605" s="817" t="s">
        <v>75</v>
      </c>
      <c r="AP605" s="817" t="s">
        <v>75</v>
      </c>
      <c r="AQ605" s="817" t="s">
        <v>75</v>
      </c>
      <c r="AR605" s="817" t="s">
        <v>75</v>
      </c>
      <c r="AS605" s="817" t="s">
        <v>75</v>
      </c>
      <c r="AT605" s="817" t="s">
        <v>75</v>
      </c>
      <c r="AU605" s="404" t="s">
        <v>242</v>
      </c>
      <c r="AV605" s="802"/>
      <c r="AW605" s="802"/>
      <c r="AX605" s="802"/>
      <c r="AY605" s="802"/>
      <c r="AZ605" s="802"/>
      <c r="BA605" s="802"/>
      <c r="BB605" s="802"/>
      <c r="BC605" s="802"/>
      <c r="BD605" s="802"/>
      <c r="BE605" s="802"/>
      <c r="BF605" s="802"/>
      <c r="BG605" s="802"/>
      <c r="BH605" s="802"/>
      <c r="BI605" s="802"/>
      <c r="BJ605" s="802"/>
      <c r="BK605" s="802"/>
      <c r="BL605" s="802"/>
      <c r="BM605" s="789"/>
    </row>
    <row r="606" spans="1:65" s="854" customFormat="1" ht="15" customHeight="1">
      <c r="A606" s="794">
        <v>604</v>
      </c>
      <c r="B606" s="804" t="s">
        <v>251</v>
      </c>
      <c r="C606" s="802" t="s">
        <v>1260</v>
      </c>
      <c r="D606" s="805">
        <v>38899</v>
      </c>
      <c r="E606" s="840">
        <v>39052</v>
      </c>
      <c r="F606" s="857">
        <v>2006</v>
      </c>
      <c r="G606" s="804" t="s">
        <v>5</v>
      </c>
      <c r="H606" s="837" t="s">
        <v>1451</v>
      </c>
      <c r="I606" s="836" t="s">
        <v>250</v>
      </c>
      <c r="J606" s="800" t="s">
        <v>2331</v>
      </c>
      <c r="K606" s="817">
        <v>2776</v>
      </c>
      <c r="L606" s="839">
        <v>98000</v>
      </c>
      <c r="M606" s="839">
        <v>98000</v>
      </c>
      <c r="N606" s="817">
        <v>98000</v>
      </c>
      <c r="O606" s="808">
        <f t="shared" si="38"/>
        <v>35.30259365994236</v>
      </c>
      <c r="P606" s="817">
        <v>100</v>
      </c>
      <c r="Q606" s="839">
        <v>2776</v>
      </c>
      <c r="R606" s="839" t="s">
        <v>75</v>
      </c>
      <c r="S606" s="817">
        <v>2776</v>
      </c>
      <c r="T606" s="817" t="s">
        <v>233</v>
      </c>
      <c r="U606" s="852" t="s">
        <v>134</v>
      </c>
      <c r="V606" s="817" t="s">
        <v>75</v>
      </c>
      <c r="W606" s="817">
        <v>7500</v>
      </c>
      <c r="X606" s="817">
        <v>7328</v>
      </c>
      <c r="Y606" s="808">
        <f>X606/S606</f>
        <v>2.6397694524495678</v>
      </c>
      <c r="Z606" s="817">
        <v>267</v>
      </c>
      <c r="AA606" s="817" t="s">
        <v>206</v>
      </c>
      <c r="AB606" s="817" t="s">
        <v>206</v>
      </c>
      <c r="AC606" s="817" t="s">
        <v>75</v>
      </c>
      <c r="AD606" s="817" t="s">
        <v>75</v>
      </c>
      <c r="AE606" s="817" t="s">
        <v>75</v>
      </c>
      <c r="AF606" s="817" t="s">
        <v>75</v>
      </c>
      <c r="AG606" s="817" t="s">
        <v>75</v>
      </c>
      <c r="AH606" s="817">
        <v>267</v>
      </c>
      <c r="AI606" s="817" t="s">
        <v>75</v>
      </c>
      <c r="AJ606" s="787">
        <f t="shared" si="37"/>
        <v>534</v>
      </c>
      <c r="AK606" s="817" t="s">
        <v>66</v>
      </c>
      <c r="AL606" s="817" t="s">
        <v>66</v>
      </c>
      <c r="AM606" s="839"/>
      <c r="AN606" s="817" t="s">
        <v>75</v>
      </c>
      <c r="AO606" s="817" t="s">
        <v>75</v>
      </c>
      <c r="AP606" s="817" t="s">
        <v>75</v>
      </c>
      <c r="AQ606" s="817" t="s">
        <v>75</v>
      </c>
      <c r="AR606" s="817" t="s">
        <v>75</v>
      </c>
      <c r="AS606" s="817" t="s">
        <v>75</v>
      </c>
      <c r="AT606" s="817" t="s">
        <v>75</v>
      </c>
      <c r="AU606" s="404" t="s">
        <v>252</v>
      </c>
      <c r="AV606" s="802"/>
      <c r="AW606" s="802"/>
      <c r="AX606" s="802"/>
      <c r="AY606" s="802"/>
      <c r="AZ606" s="802"/>
      <c r="BA606" s="802"/>
      <c r="BB606" s="802"/>
      <c r="BC606" s="802"/>
      <c r="BD606" s="802"/>
      <c r="BE606" s="802"/>
      <c r="BF606" s="802"/>
      <c r="BG606" s="802"/>
      <c r="BH606" s="802"/>
      <c r="BI606" s="802"/>
      <c r="BJ606" s="802"/>
      <c r="BK606" s="802"/>
      <c r="BL606" s="802"/>
      <c r="BM606" s="789"/>
    </row>
    <row r="607" spans="1:65" s="854" customFormat="1" ht="15" customHeight="1">
      <c r="A607" s="794">
        <v>605</v>
      </c>
      <c r="B607" s="804" t="s">
        <v>213</v>
      </c>
      <c r="C607" s="854" t="s">
        <v>1278</v>
      </c>
      <c r="D607" s="805">
        <v>38749</v>
      </c>
      <c r="E607" s="840">
        <v>39083</v>
      </c>
      <c r="F607" s="857">
        <v>2006</v>
      </c>
      <c r="G607" s="804" t="s">
        <v>5</v>
      </c>
      <c r="H607" s="837" t="s">
        <v>1451</v>
      </c>
      <c r="I607" s="836" t="s">
        <v>239</v>
      </c>
      <c r="J607" s="800" t="s">
        <v>2331</v>
      </c>
      <c r="K607" s="817">
        <v>857</v>
      </c>
      <c r="L607" s="839">
        <v>63900</v>
      </c>
      <c r="M607" s="839">
        <v>63897</v>
      </c>
      <c r="N607" s="817">
        <v>64897</v>
      </c>
      <c r="O607" s="808">
        <f t="shared" si="38"/>
        <v>75.725787631271885</v>
      </c>
      <c r="P607" s="817">
        <v>101.5</v>
      </c>
      <c r="Q607" s="839">
        <v>200</v>
      </c>
      <c r="R607" s="839">
        <v>200</v>
      </c>
      <c r="S607" s="817">
        <v>200</v>
      </c>
      <c r="T607" s="817" t="s">
        <v>233</v>
      </c>
      <c r="U607" s="852" t="s">
        <v>134</v>
      </c>
      <c r="V607" s="817" t="s">
        <v>134</v>
      </c>
      <c r="W607" s="817" t="s">
        <v>66</v>
      </c>
      <c r="X607" s="817" t="s">
        <v>66</v>
      </c>
      <c r="Y607" s="808"/>
      <c r="Z607" s="817" t="s">
        <v>206</v>
      </c>
      <c r="AA607" s="817" t="s">
        <v>206</v>
      </c>
      <c r="AB607" s="817" t="s">
        <v>206</v>
      </c>
      <c r="AC607" s="817" t="s">
        <v>206</v>
      </c>
      <c r="AD607" s="817" t="s">
        <v>75</v>
      </c>
      <c r="AE607" s="817" t="s">
        <v>75</v>
      </c>
      <c r="AF607" s="817" t="s">
        <v>75</v>
      </c>
      <c r="AG607" s="817" t="s">
        <v>75</v>
      </c>
      <c r="AH607" s="817" t="s">
        <v>75</v>
      </c>
      <c r="AI607" s="817" t="s">
        <v>75</v>
      </c>
      <c r="AJ607" s="787">
        <f t="shared" si="37"/>
        <v>0</v>
      </c>
      <c r="AK607" s="817" t="s">
        <v>66</v>
      </c>
      <c r="AL607" s="817" t="s">
        <v>66</v>
      </c>
      <c r="AM607" s="839"/>
      <c r="AN607" s="817" t="s">
        <v>75</v>
      </c>
      <c r="AO607" s="817" t="s">
        <v>75</v>
      </c>
      <c r="AP607" s="817" t="s">
        <v>75</v>
      </c>
      <c r="AQ607" s="817" t="s">
        <v>75</v>
      </c>
      <c r="AR607" s="817" t="s">
        <v>75</v>
      </c>
      <c r="AS607" s="817" t="s">
        <v>75</v>
      </c>
      <c r="AT607" s="817" t="s">
        <v>75</v>
      </c>
      <c r="AU607" s="404" t="s">
        <v>240</v>
      </c>
      <c r="AV607" s="802"/>
      <c r="AW607" s="802"/>
      <c r="AX607" s="802"/>
      <c r="AY607" s="802"/>
      <c r="AZ607" s="802"/>
      <c r="BA607" s="802"/>
      <c r="BB607" s="802"/>
      <c r="BC607" s="802"/>
      <c r="BD607" s="802"/>
      <c r="BE607" s="802"/>
      <c r="BF607" s="802"/>
      <c r="BG607" s="802"/>
      <c r="BH607" s="802"/>
      <c r="BI607" s="802"/>
      <c r="BJ607" s="802"/>
      <c r="BK607" s="802"/>
      <c r="BL607" s="802"/>
      <c r="BM607" s="789"/>
    </row>
    <row r="608" spans="1:65" s="854" customFormat="1" ht="17.25" customHeight="1">
      <c r="A608" s="794">
        <v>606</v>
      </c>
      <c r="B608" s="836" t="s">
        <v>141</v>
      </c>
      <c r="C608" s="836" t="s">
        <v>1299</v>
      </c>
      <c r="D608" s="840">
        <v>39052</v>
      </c>
      <c r="E608" s="840">
        <v>39114</v>
      </c>
      <c r="F608" s="857">
        <v>2006</v>
      </c>
      <c r="G608" s="836" t="s">
        <v>168</v>
      </c>
      <c r="H608" s="841" t="s">
        <v>1449</v>
      </c>
      <c r="I608" s="836" t="s">
        <v>174</v>
      </c>
      <c r="J608" s="800" t="s">
        <v>2331</v>
      </c>
      <c r="K608" s="817">
        <v>30000</v>
      </c>
      <c r="L608" s="817">
        <v>57213</v>
      </c>
      <c r="M608" s="817">
        <v>56569</v>
      </c>
      <c r="N608" s="817">
        <v>56569</v>
      </c>
      <c r="O608" s="808">
        <f t="shared" si="38"/>
        <v>1.8856333333333333</v>
      </c>
      <c r="P608" s="817">
        <v>98.8</v>
      </c>
      <c r="Q608" s="817">
        <v>30000</v>
      </c>
      <c r="R608" s="817">
        <v>30000</v>
      </c>
      <c r="S608" s="817">
        <v>30000</v>
      </c>
      <c r="T608" s="817" t="s">
        <v>233</v>
      </c>
      <c r="U608" s="817" t="s">
        <v>75</v>
      </c>
      <c r="V608" s="817" t="s">
        <v>75</v>
      </c>
      <c r="W608" s="817">
        <v>6000</v>
      </c>
      <c r="X608" s="817">
        <v>6361</v>
      </c>
      <c r="Y608" s="808">
        <f>X608/S608</f>
        <v>0.21203333333333332</v>
      </c>
      <c r="Z608" s="817"/>
      <c r="AA608" s="817"/>
      <c r="AB608" s="817">
        <v>60</v>
      </c>
      <c r="AC608" s="817">
        <v>60</v>
      </c>
      <c r="AD608" s="848"/>
      <c r="AE608" s="817"/>
      <c r="AF608" s="817" t="s">
        <v>75</v>
      </c>
      <c r="AG608" s="817" t="s">
        <v>75</v>
      </c>
      <c r="AH608" s="817"/>
      <c r="AI608" s="817"/>
      <c r="AJ608" s="808">
        <f t="shared" si="37"/>
        <v>0</v>
      </c>
      <c r="AK608" s="817">
        <v>1200</v>
      </c>
      <c r="AL608" s="817">
        <v>12514</v>
      </c>
      <c r="AM608" s="817"/>
      <c r="AN608" s="817" t="s">
        <v>75</v>
      </c>
      <c r="AO608" s="817" t="s">
        <v>75</v>
      </c>
      <c r="AP608" s="817" t="s">
        <v>75</v>
      </c>
      <c r="AQ608" s="817" t="s">
        <v>75</v>
      </c>
      <c r="AR608" s="817" t="s">
        <v>75</v>
      </c>
      <c r="AS608" s="817" t="s">
        <v>75</v>
      </c>
      <c r="AT608" s="817" t="s">
        <v>75</v>
      </c>
      <c r="AU608" s="363" t="s">
        <v>192</v>
      </c>
      <c r="AV608" s="789"/>
      <c r="AW608" s="789"/>
      <c r="AX608" s="789"/>
      <c r="AY608" s="789"/>
      <c r="AZ608" s="789"/>
      <c r="BA608" s="789"/>
      <c r="BB608" s="789"/>
      <c r="BC608" s="789"/>
      <c r="BD608" s="789"/>
      <c r="BE608" s="789"/>
      <c r="BF608" s="789"/>
      <c r="BG608" s="789"/>
      <c r="BH608" s="789"/>
      <c r="BI608" s="789"/>
      <c r="BJ608" s="789"/>
      <c r="BK608" s="789"/>
      <c r="BL608" s="789"/>
      <c r="BM608" s="789"/>
    </row>
    <row r="609" spans="1:218" s="854" customFormat="1" ht="19.5" customHeight="1">
      <c r="A609" s="794">
        <v>607</v>
      </c>
      <c r="B609" s="804" t="s">
        <v>141</v>
      </c>
      <c r="C609" s="804" t="s">
        <v>1299</v>
      </c>
      <c r="D609" s="805">
        <v>38718</v>
      </c>
      <c r="E609" s="840">
        <v>38838</v>
      </c>
      <c r="F609" s="857">
        <v>2006</v>
      </c>
      <c r="G609" s="836" t="s">
        <v>284</v>
      </c>
      <c r="H609" s="837" t="s">
        <v>1449</v>
      </c>
      <c r="I609" s="836" t="s">
        <v>283</v>
      </c>
      <c r="J609" s="800" t="s">
        <v>2331</v>
      </c>
      <c r="K609" s="817">
        <v>8189</v>
      </c>
      <c r="L609" s="839">
        <v>50000</v>
      </c>
      <c r="M609" s="839">
        <v>49972</v>
      </c>
      <c r="N609" s="817">
        <v>49972</v>
      </c>
      <c r="O609" s="808">
        <f t="shared" si="38"/>
        <v>6.1023323971180856</v>
      </c>
      <c r="P609" s="817">
        <v>100</v>
      </c>
      <c r="Q609" s="817" t="s">
        <v>134</v>
      </c>
      <c r="R609" s="838" t="s">
        <v>134</v>
      </c>
      <c r="S609" s="817" t="s">
        <v>134</v>
      </c>
      <c r="T609" s="817" t="s">
        <v>233</v>
      </c>
      <c r="U609" s="838" t="s">
        <v>134</v>
      </c>
      <c r="V609" s="817">
        <v>7389</v>
      </c>
      <c r="W609" s="817">
        <v>9373</v>
      </c>
      <c r="X609" s="817">
        <v>9373</v>
      </c>
      <c r="Y609" s="817"/>
      <c r="Z609" s="817" t="s">
        <v>75</v>
      </c>
      <c r="AA609" s="817">
        <v>7389</v>
      </c>
      <c r="AB609" s="839">
        <v>25</v>
      </c>
      <c r="AC609" s="817" t="s">
        <v>267</v>
      </c>
      <c r="AD609" s="817" t="s">
        <v>267</v>
      </c>
      <c r="AE609" s="817" t="s">
        <v>75</v>
      </c>
      <c r="AF609" s="817" t="s">
        <v>75</v>
      </c>
      <c r="AG609" s="817" t="s">
        <v>75</v>
      </c>
      <c r="AH609" s="817" t="s">
        <v>134</v>
      </c>
      <c r="AI609" s="817" t="s">
        <v>75</v>
      </c>
      <c r="AJ609" s="787">
        <f t="shared" si="37"/>
        <v>7389</v>
      </c>
      <c r="AK609" s="817">
        <v>8604</v>
      </c>
      <c r="AL609" s="817">
        <v>8604</v>
      </c>
      <c r="AM609" s="839"/>
      <c r="AN609" s="817" t="s">
        <v>75</v>
      </c>
      <c r="AO609" s="817" t="s">
        <v>75</v>
      </c>
      <c r="AP609" s="817" t="s">
        <v>75</v>
      </c>
      <c r="AQ609" s="817" t="s">
        <v>75</v>
      </c>
      <c r="AR609" s="817" t="s">
        <v>75</v>
      </c>
      <c r="AS609" s="817" t="s">
        <v>75</v>
      </c>
      <c r="AT609" s="817" t="s">
        <v>75</v>
      </c>
      <c r="AU609" s="404" t="s">
        <v>282</v>
      </c>
      <c r="AV609" s="802"/>
      <c r="AW609" s="802"/>
      <c r="AX609" s="802"/>
      <c r="AY609" s="802"/>
      <c r="AZ609" s="802"/>
      <c r="BA609" s="802"/>
      <c r="BB609" s="802"/>
      <c r="BC609" s="802"/>
      <c r="BD609" s="802"/>
      <c r="BE609" s="802"/>
      <c r="BF609" s="802"/>
      <c r="BG609" s="802"/>
      <c r="BH609" s="802"/>
      <c r="BI609" s="802"/>
      <c r="BJ609" s="802"/>
      <c r="BK609" s="802"/>
      <c r="BL609" s="802"/>
      <c r="BM609" s="789"/>
    </row>
    <row r="610" spans="1:218" s="854" customFormat="1" ht="21.75" customHeight="1">
      <c r="A610" s="794">
        <v>608</v>
      </c>
      <c r="B610" s="859" t="s">
        <v>373</v>
      </c>
      <c r="C610" s="854" t="s">
        <v>1261</v>
      </c>
      <c r="D610" s="860">
        <v>38930</v>
      </c>
      <c r="E610" s="860">
        <v>39052</v>
      </c>
      <c r="F610" s="857">
        <v>2006</v>
      </c>
      <c r="G610" s="804" t="s">
        <v>5</v>
      </c>
      <c r="H610" s="800" t="s">
        <v>1451</v>
      </c>
      <c r="I610" s="854" t="s">
        <v>2074</v>
      </c>
      <c r="J610" s="800" t="s">
        <v>2331</v>
      </c>
      <c r="K610" s="856">
        <v>10000</v>
      </c>
      <c r="L610" s="856">
        <v>100000</v>
      </c>
      <c r="M610" s="856">
        <v>82532</v>
      </c>
      <c r="N610" s="856">
        <v>82532</v>
      </c>
      <c r="O610" s="808">
        <f t="shared" si="38"/>
        <v>8.2531999999999996</v>
      </c>
      <c r="P610" s="856">
        <v>82</v>
      </c>
      <c r="Q610" s="856"/>
      <c r="R610" s="856"/>
      <c r="S610" s="856"/>
      <c r="T610" s="817" t="s">
        <v>233</v>
      </c>
      <c r="U610" s="855"/>
      <c r="V610" s="855"/>
      <c r="W610" s="856"/>
      <c r="X610" s="856">
        <v>6025</v>
      </c>
      <c r="Y610" s="856"/>
      <c r="Z610" s="856"/>
      <c r="AA610" s="856">
        <v>10000</v>
      </c>
      <c r="AB610" s="856"/>
      <c r="AC610" s="856"/>
      <c r="AD610" s="856"/>
      <c r="AE610" s="856">
        <v>5500</v>
      </c>
      <c r="AF610" s="856"/>
      <c r="AG610" s="856"/>
      <c r="AH610" s="856">
        <v>600</v>
      </c>
      <c r="AI610" s="856"/>
      <c r="AJ610" s="787">
        <f t="shared" si="37"/>
        <v>10600</v>
      </c>
      <c r="AK610" s="856">
        <v>3000</v>
      </c>
      <c r="AL610" s="856">
        <f>0.82*AK610</f>
        <v>2460</v>
      </c>
      <c r="AM610" s="855"/>
      <c r="AN610" s="855"/>
      <c r="AO610" s="855"/>
      <c r="AP610" s="855"/>
      <c r="AQ610" s="855"/>
      <c r="AR610" s="855"/>
      <c r="AS610" s="855"/>
      <c r="AT610" s="855"/>
      <c r="AU610" s="406" t="s">
        <v>2075</v>
      </c>
    </row>
    <row r="611" spans="1:218" s="854" customFormat="1" ht="21.75" customHeight="1">
      <c r="A611" s="794">
        <v>609</v>
      </c>
      <c r="B611" s="859" t="s">
        <v>774</v>
      </c>
      <c r="C611" s="854" t="s">
        <v>1278</v>
      </c>
      <c r="D611" s="860">
        <v>38808</v>
      </c>
      <c r="E611" s="860"/>
      <c r="F611" s="857">
        <v>2006</v>
      </c>
      <c r="G611" s="868" t="s">
        <v>2156</v>
      </c>
      <c r="H611" s="800" t="s">
        <v>1451</v>
      </c>
      <c r="I611" s="867" t="s">
        <v>2076</v>
      </c>
      <c r="J611" s="790" t="s">
        <v>2440</v>
      </c>
      <c r="K611" s="856"/>
      <c r="L611" s="856"/>
      <c r="M611" s="856"/>
      <c r="N611" s="856"/>
      <c r="O611" s="808"/>
      <c r="P611" s="856"/>
      <c r="Q611" s="856"/>
      <c r="R611" s="856"/>
      <c r="S611" s="856"/>
      <c r="T611" s="817" t="s">
        <v>233</v>
      </c>
      <c r="U611" s="855"/>
      <c r="V611" s="855"/>
      <c r="W611" s="856"/>
      <c r="X611" s="856"/>
      <c r="Y611" s="856"/>
      <c r="Z611" s="856"/>
      <c r="AA611" s="856"/>
      <c r="AB611" s="856"/>
      <c r="AC611" s="856"/>
      <c r="AD611" s="856"/>
      <c r="AE611" s="856"/>
      <c r="AF611" s="856"/>
      <c r="AG611" s="856"/>
      <c r="AH611" s="856"/>
      <c r="AI611" s="856"/>
      <c r="AJ611" s="787">
        <f t="shared" si="37"/>
        <v>0</v>
      </c>
      <c r="AK611" s="856"/>
      <c r="AL611" s="856"/>
      <c r="AM611" s="855"/>
      <c r="AN611" s="855"/>
      <c r="AO611" s="855"/>
      <c r="AP611" s="855"/>
      <c r="AQ611" s="855"/>
      <c r="AR611" s="855"/>
      <c r="AS611" s="855"/>
      <c r="AT611" s="855"/>
      <c r="AU611" s="854" t="s">
        <v>2077</v>
      </c>
    </row>
    <row r="612" spans="1:218" s="854" customFormat="1" ht="21.75" customHeight="1">
      <c r="A612" s="794">
        <v>610</v>
      </c>
      <c r="B612" s="859" t="s">
        <v>857</v>
      </c>
      <c r="C612" s="854" t="s">
        <v>1286</v>
      </c>
      <c r="D612" s="860">
        <v>38718</v>
      </c>
      <c r="E612" s="860">
        <v>39173</v>
      </c>
      <c r="F612" s="857">
        <v>2006</v>
      </c>
      <c r="G612" s="804" t="s">
        <v>5</v>
      </c>
      <c r="H612" s="800" t="s">
        <v>1451</v>
      </c>
      <c r="I612" s="854" t="s">
        <v>2078</v>
      </c>
      <c r="J612" s="800" t="s">
        <v>2331</v>
      </c>
      <c r="K612" s="856">
        <v>5015</v>
      </c>
      <c r="L612" s="856">
        <v>25000</v>
      </c>
      <c r="M612" s="856">
        <v>25000</v>
      </c>
      <c r="N612" s="856">
        <v>24668</v>
      </c>
      <c r="O612" s="808">
        <f>N612/K612</f>
        <v>4.9188434695912262</v>
      </c>
      <c r="P612" s="856">
        <v>100</v>
      </c>
      <c r="Q612" s="856"/>
      <c r="R612" s="856"/>
      <c r="S612" s="856"/>
      <c r="T612" s="817" t="s">
        <v>233</v>
      </c>
      <c r="U612" s="855"/>
      <c r="V612" s="855"/>
      <c r="W612" s="856">
        <v>1750</v>
      </c>
      <c r="X612" s="856"/>
      <c r="Y612" s="856"/>
      <c r="Z612" s="856">
        <v>1000</v>
      </c>
      <c r="AA612" s="856"/>
      <c r="AB612" s="856"/>
      <c r="AC612" s="856"/>
      <c r="AD612" s="856"/>
      <c r="AE612" s="856"/>
      <c r="AF612" s="856"/>
      <c r="AG612" s="856"/>
      <c r="AH612" s="856"/>
      <c r="AI612" s="856"/>
      <c r="AJ612" s="787">
        <f t="shared" si="37"/>
        <v>1000</v>
      </c>
      <c r="AK612" s="856">
        <v>625</v>
      </c>
      <c r="AL612" s="856">
        <v>625</v>
      </c>
      <c r="AM612" s="855"/>
      <c r="AN612" s="855"/>
      <c r="AO612" s="855"/>
      <c r="AP612" s="855"/>
      <c r="AQ612" s="855"/>
      <c r="AR612" s="855"/>
      <c r="AS612" s="855"/>
      <c r="AT612" s="855"/>
      <c r="AU612" s="406" t="s">
        <v>2079</v>
      </c>
    </row>
    <row r="613" spans="1:218" s="810" customFormat="1" ht="21.75" customHeight="1">
      <c r="A613" s="794">
        <v>611</v>
      </c>
      <c r="B613" s="866" t="s">
        <v>1234</v>
      </c>
      <c r="C613" s="810" t="s">
        <v>1299</v>
      </c>
      <c r="D613" s="865">
        <v>38749</v>
      </c>
      <c r="E613" s="865"/>
      <c r="F613" s="857">
        <v>2006</v>
      </c>
      <c r="G613" s="864" t="s">
        <v>2080</v>
      </c>
      <c r="H613" s="829" t="s">
        <v>1449</v>
      </c>
      <c r="I613" s="810" t="s">
        <v>2081</v>
      </c>
      <c r="J613" s="810" t="s">
        <v>2441</v>
      </c>
      <c r="K613" s="863"/>
      <c r="L613" s="863">
        <v>21299</v>
      </c>
      <c r="M613" s="863"/>
      <c r="N613" s="863"/>
      <c r="O613" s="808"/>
      <c r="P613" s="863"/>
      <c r="Q613" s="863"/>
      <c r="R613" s="863"/>
      <c r="S613" s="863"/>
      <c r="T613" s="817" t="s">
        <v>233</v>
      </c>
      <c r="U613" s="862"/>
      <c r="V613" s="862"/>
      <c r="W613" s="863"/>
      <c r="X613" s="863"/>
      <c r="Y613" s="856"/>
      <c r="Z613" s="863"/>
      <c r="AA613" s="863"/>
      <c r="AB613" s="863"/>
      <c r="AC613" s="863"/>
      <c r="AD613" s="863"/>
      <c r="AE613" s="863"/>
      <c r="AF613" s="863"/>
      <c r="AG613" s="863"/>
      <c r="AH613" s="856"/>
      <c r="AI613" s="863"/>
      <c r="AJ613" s="787">
        <f t="shared" si="37"/>
        <v>0</v>
      </c>
      <c r="AK613" s="863"/>
      <c r="AL613" s="863"/>
      <c r="AM613" s="862"/>
      <c r="AN613" s="862"/>
      <c r="AO613" s="862"/>
      <c r="AP613" s="862"/>
      <c r="AQ613" s="862"/>
      <c r="AR613" s="862"/>
      <c r="AS613" s="862"/>
      <c r="AT613" s="862"/>
      <c r="AU613" s="423"/>
      <c r="BM613" s="854"/>
      <c r="BN613" s="854"/>
      <c r="BO613" s="854"/>
      <c r="BP613" s="854"/>
      <c r="BQ613" s="854"/>
      <c r="BR613" s="854"/>
      <c r="BS613" s="854"/>
      <c r="BT613" s="854"/>
      <c r="BU613" s="854"/>
      <c r="BV613" s="854"/>
      <c r="BW613" s="854"/>
      <c r="BX613" s="854"/>
      <c r="BY613" s="854"/>
      <c r="BZ613" s="854"/>
      <c r="CA613" s="854"/>
      <c r="CB613" s="854"/>
      <c r="CC613" s="854"/>
      <c r="CD613" s="854"/>
      <c r="CE613" s="854"/>
      <c r="CF613" s="854"/>
      <c r="CG613" s="854"/>
      <c r="CH613" s="854"/>
      <c r="CI613" s="854"/>
      <c r="CJ613" s="854"/>
      <c r="CK613" s="854"/>
      <c r="CL613" s="854"/>
      <c r="CM613" s="854"/>
      <c r="CN613" s="854"/>
      <c r="CO613" s="854"/>
      <c r="CP613" s="854"/>
      <c r="CQ613" s="854"/>
      <c r="CR613" s="854"/>
      <c r="CS613" s="854"/>
      <c r="CT613" s="854"/>
      <c r="CU613" s="854"/>
      <c r="CV613" s="854"/>
      <c r="CW613" s="854"/>
      <c r="CX613" s="854"/>
      <c r="CY613" s="854"/>
      <c r="CZ613" s="854"/>
      <c r="DA613" s="854"/>
      <c r="DB613" s="854"/>
      <c r="DC613" s="854"/>
      <c r="DD613" s="854"/>
      <c r="DE613" s="854"/>
      <c r="DF613" s="854"/>
      <c r="DG613" s="854"/>
      <c r="DH613" s="854"/>
      <c r="DI613" s="854"/>
      <c r="DJ613" s="854"/>
      <c r="DK613" s="854"/>
      <c r="DL613" s="854"/>
      <c r="DM613" s="854"/>
      <c r="DN613" s="854"/>
      <c r="DO613" s="854"/>
      <c r="DP613" s="854"/>
      <c r="DQ613" s="854"/>
      <c r="DR613" s="854"/>
      <c r="DS613" s="854"/>
      <c r="DT613" s="854"/>
      <c r="DU613" s="854"/>
      <c r="DV613" s="854"/>
      <c r="DW613" s="854"/>
      <c r="DX613" s="854"/>
      <c r="DY613" s="854"/>
      <c r="DZ613" s="854"/>
      <c r="EA613" s="854"/>
      <c r="EB613" s="854"/>
      <c r="EC613" s="854"/>
      <c r="ED613" s="854"/>
      <c r="EE613" s="854"/>
      <c r="EF613" s="854"/>
      <c r="EG613" s="854"/>
      <c r="EH613" s="854"/>
      <c r="EI613" s="854"/>
      <c r="EJ613" s="854"/>
      <c r="EK613" s="854"/>
      <c r="EL613" s="854"/>
      <c r="EM613" s="854"/>
      <c r="EN613" s="854"/>
      <c r="EO613" s="854"/>
      <c r="EP613" s="854"/>
      <c r="EQ613" s="854"/>
      <c r="ER613" s="854"/>
      <c r="ES613" s="854"/>
      <c r="ET613" s="854"/>
      <c r="EU613" s="854"/>
      <c r="EV613" s="854"/>
      <c r="EW613" s="854"/>
      <c r="EX613" s="854"/>
      <c r="EY613" s="854"/>
      <c r="EZ613" s="854"/>
      <c r="FA613" s="854"/>
      <c r="FB613" s="854"/>
      <c r="FC613" s="854"/>
      <c r="FD613" s="854"/>
      <c r="FE613" s="854"/>
      <c r="FF613" s="854"/>
      <c r="FG613" s="854"/>
      <c r="FH613" s="854"/>
      <c r="FI613" s="854"/>
      <c r="FJ613" s="854"/>
      <c r="FK613" s="854"/>
      <c r="FL613" s="854"/>
      <c r="FM613" s="854"/>
      <c r="FN613" s="854"/>
      <c r="FO613" s="854"/>
      <c r="FP613" s="854"/>
      <c r="FQ613" s="854"/>
      <c r="FR613" s="854"/>
      <c r="FS613" s="854"/>
      <c r="FT613" s="854"/>
      <c r="FU613" s="854"/>
      <c r="FV613" s="854"/>
      <c r="FW613" s="854"/>
      <c r="FX613" s="854"/>
      <c r="FY613" s="854"/>
      <c r="FZ613" s="854"/>
      <c r="GA613" s="854"/>
      <c r="GB613" s="854"/>
      <c r="GC613" s="854"/>
      <c r="GD613" s="854"/>
      <c r="GE613" s="854"/>
      <c r="GF613" s="854"/>
      <c r="GG613" s="854"/>
      <c r="GH613" s="854"/>
      <c r="GI613" s="854"/>
      <c r="GJ613" s="854"/>
      <c r="GK613" s="854"/>
      <c r="GL613" s="854"/>
      <c r="GM613" s="854"/>
      <c r="GN613" s="854"/>
      <c r="GO613" s="854"/>
      <c r="GP613" s="854"/>
      <c r="GQ613" s="854"/>
      <c r="GR613" s="854"/>
      <c r="GS613" s="854"/>
      <c r="GT613" s="854"/>
      <c r="GU613" s="854"/>
      <c r="GV613" s="854"/>
      <c r="GW613" s="854"/>
      <c r="GX613" s="854"/>
      <c r="GY613" s="854"/>
      <c r="GZ613" s="854"/>
      <c r="HA613" s="854"/>
      <c r="HB613" s="854"/>
      <c r="HC613" s="854"/>
      <c r="HD613" s="854"/>
      <c r="HE613" s="854"/>
      <c r="HF613" s="854"/>
      <c r="HG613" s="854"/>
      <c r="HH613" s="854"/>
      <c r="HI613" s="854"/>
      <c r="HJ613" s="854"/>
    </row>
    <row r="614" spans="1:218" s="854" customFormat="1" ht="21.75" customHeight="1">
      <c r="A614" s="794">
        <v>612</v>
      </c>
      <c r="B614" s="859" t="s">
        <v>87</v>
      </c>
      <c r="C614" s="854" t="s">
        <v>1261</v>
      </c>
      <c r="D614" s="860">
        <v>38718</v>
      </c>
      <c r="E614" s="860">
        <v>39052</v>
      </c>
      <c r="F614" s="857">
        <v>2006</v>
      </c>
      <c r="G614" s="854" t="s">
        <v>2157</v>
      </c>
      <c r="H614" s="800" t="s">
        <v>1451</v>
      </c>
      <c r="I614" s="861" t="s">
        <v>2082</v>
      </c>
      <c r="J614" s="800" t="s">
        <v>2331</v>
      </c>
      <c r="K614" s="856">
        <v>20000</v>
      </c>
      <c r="L614" s="856">
        <v>50000</v>
      </c>
      <c r="M614" s="856">
        <v>26839</v>
      </c>
      <c r="N614" s="856">
        <v>26839</v>
      </c>
      <c r="O614" s="808"/>
      <c r="P614" s="856">
        <v>54</v>
      </c>
      <c r="Q614" s="856"/>
      <c r="R614" s="856"/>
      <c r="S614" s="856"/>
      <c r="T614" s="817" t="s">
        <v>233</v>
      </c>
      <c r="U614" s="855"/>
      <c r="V614" s="855"/>
      <c r="W614" s="856"/>
      <c r="X614" s="856"/>
      <c r="Y614" s="856"/>
      <c r="Z614" s="856"/>
      <c r="AA614" s="856"/>
      <c r="AB614" s="856"/>
      <c r="AC614" s="856"/>
      <c r="AD614" s="856"/>
      <c r="AE614" s="856"/>
      <c r="AF614" s="856"/>
      <c r="AG614" s="856"/>
      <c r="AH614" s="856"/>
      <c r="AI614" s="856"/>
      <c r="AJ614" s="787">
        <f t="shared" si="37"/>
        <v>0</v>
      </c>
      <c r="AK614" s="856"/>
      <c r="AL614" s="856"/>
      <c r="AM614" s="855"/>
      <c r="AN614" s="855"/>
      <c r="AO614" s="855"/>
      <c r="AP614" s="855"/>
      <c r="AQ614" s="855"/>
      <c r="AR614" s="855"/>
      <c r="AS614" s="855"/>
      <c r="AT614" s="855" t="s">
        <v>2</v>
      </c>
      <c r="AU614" s="406" t="s">
        <v>2083</v>
      </c>
    </row>
    <row r="615" spans="1:218" s="854" customFormat="1" ht="21.75" customHeight="1">
      <c r="A615" s="794">
        <v>613</v>
      </c>
      <c r="B615" s="859" t="s">
        <v>481</v>
      </c>
      <c r="C615" s="854" t="s">
        <v>1299</v>
      </c>
      <c r="D615" s="860">
        <v>38808</v>
      </c>
      <c r="E615" s="860">
        <v>38899</v>
      </c>
      <c r="F615" s="857">
        <v>2006</v>
      </c>
      <c r="G615" s="854" t="s">
        <v>168</v>
      </c>
      <c r="H615" s="854" t="s">
        <v>1449</v>
      </c>
      <c r="I615" s="854" t="s">
        <v>2084</v>
      </c>
      <c r="J615" s="854" t="s">
        <v>2331</v>
      </c>
      <c r="K615" s="856">
        <v>19500</v>
      </c>
      <c r="L615" s="856">
        <v>50000</v>
      </c>
      <c r="M615" s="856">
        <v>50000</v>
      </c>
      <c r="N615" s="856">
        <v>50000</v>
      </c>
      <c r="O615" s="808">
        <f t="shared" ref="O615:O632" si="39">N615/K615</f>
        <v>2.5641025641025643</v>
      </c>
      <c r="P615" s="856">
        <v>100</v>
      </c>
      <c r="Q615" s="856"/>
      <c r="R615" s="856">
        <v>320</v>
      </c>
      <c r="S615" s="856">
        <v>320</v>
      </c>
      <c r="T615" s="817" t="s">
        <v>233</v>
      </c>
      <c r="U615" s="855"/>
      <c r="V615" s="855"/>
      <c r="W615" s="856"/>
      <c r="X615" s="856"/>
      <c r="Y615" s="808">
        <f>X615/S615</f>
        <v>0</v>
      </c>
      <c r="Z615" s="856"/>
      <c r="AA615" s="856">
        <v>19500</v>
      </c>
      <c r="AB615" s="856">
        <v>55</v>
      </c>
      <c r="AC615" s="856"/>
      <c r="AD615" s="856"/>
      <c r="AE615" s="856"/>
      <c r="AF615" s="856"/>
      <c r="AG615" s="856"/>
      <c r="AH615" s="856"/>
      <c r="AI615" s="856"/>
      <c r="AJ615" s="808">
        <f t="shared" si="37"/>
        <v>19500</v>
      </c>
      <c r="AK615" s="856"/>
      <c r="AL615" s="856"/>
      <c r="AM615" s="855"/>
      <c r="AN615" s="855"/>
      <c r="AO615" s="855"/>
      <c r="AP615" s="855"/>
      <c r="AQ615" s="855"/>
      <c r="AR615" s="855"/>
      <c r="AS615" s="855"/>
      <c r="AT615" s="855"/>
      <c r="AU615" s="406" t="s">
        <v>2085</v>
      </c>
    </row>
    <row r="616" spans="1:218" s="854" customFormat="1" ht="21.75" customHeight="1">
      <c r="A616" s="794">
        <v>614</v>
      </c>
      <c r="B616" s="859" t="s">
        <v>279</v>
      </c>
      <c r="C616" s="854" t="s">
        <v>1299</v>
      </c>
      <c r="D616" s="860">
        <v>38718</v>
      </c>
      <c r="E616" s="860">
        <v>39539</v>
      </c>
      <c r="F616" s="857">
        <v>2006</v>
      </c>
      <c r="G616" s="854" t="s">
        <v>2086</v>
      </c>
      <c r="H616" s="854" t="s">
        <v>1449</v>
      </c>
      <c r="I616" s="854" t="s">
        <v>2087</v>
      </c>
      <c r="J616" s="800" t="s">
        <v>2331</v>
      </c>
      <c r="K616" s="856">
        <v>17000</v>
      </c>
      <c r="L616" s="856">
        <v>55247</v>
      </c>
      <c r="M616" s="856">
        <v>35357</v>
      </c>
      <c r="N616" s="856">
        <v>35357</v>
      </c>
      <c r="O616" s="808">
        <f t="shared" si="39"/>
        <v>2.0798235294117648</v>
      </c>
      <c r="P616" s="856">
        <v>64</v>
      </c>
      <c r="Q616" s="856"/>
      <c r="R616" s="856"/>
      <c r="S616" s="856"/>
      <c r="T616" s="817" t="s">
        <v>233</v>
      </c>
      <c r="U616" s="855"/>
      <c r="V616" s="855"/>
      <c r="W616" s="856"/>
      <c r="X616" s="856"/>
      <c r="Y616" s="856"/>
      <c r="Z616" s="856"/>
      <c r="AA616" s="856">
        <v>17000</v>
      </c>
      <c r="AB616" s="856">
        <v>300</v>
      </c>
      <c r="AC616" s="856"/>
      <c r="AD616" s="856"/>
      <c r="AE616" s="856"/>
      <c r="AF616" s="856"/>
      <c r="AG616" s="856"/>
      <c r="AH616" s="856"/>
      <c r="AI616" s="856"/>
      <c r="AJ616" s="787">
        <f t="shared" si="37"/>
        <v>17000</v>
      </c>
      <c r="AK616" s="856"/>
      <c r="AL616" s="856"/>
      <c r="AM616" s="855"/>
      <c r="AN616" s="855"/>
      <c r="AO616" s="855"/>
      <c r="AP616" s="855"/>
      <c r="AQ616" s="855"/>
      <c r="AR616" s="855"/>
      <c r="AS616" s="855"/>
      <c r="AT616" s="855"/>
      <c r="AU616" s="406" t="s">
        <v>2088</v>
      </c>
    </row>
    <row r="617" spans="1:218" s="854" customFormat="1" ht="15.75" customHeight="1">
      <c r="A617" s="794">
        <v>615</v>
      </c>
      <c r="B617" s="859" t="s">
        <v>15</v>
      </c>
      <c r="C617" s="854" t="s">
        <v>1286</v>
      </c>
      <c r="D617" s="860">
        <v>38718</v>
      </c>
      <c r="E617" s="860">
        <v>39539</v>
      </c>
      <c r="F617" s="857">
        <v>2006</v>
      </c>
      <c r="G617" s="804" t="s">
        <v>5</v>
      </c>
      <c r="H617" s="800" t="s">
        <v>1451</v>
      </c>
      <c r="I617" s="854" t="s">
        <v>2130</v>
      </c>
      <c r="J617" s="800" t="s">
        <v>2331</v>
      </c>
      <c r="K617" s="856">
        <v>1900</v>
      </c>
      <c r="L617" s="856">
        <v>67912</v>
      </c>
      <c r="M617" s="856">
        <v>68069</v>
      </c>
      <c r="N617" s="856">
        <v>68069</v>
      </c>
      <c r="O617" s="808">
        <f t="shared" si="39"/>
        <v>35.82578947368421</v>
      </c>
      <c r="P617" s="856">
        <v>100</v>
      </c>
      <c r="Q617" s="856"/>
      <c r="R617" s="856"/>
      <c r="S617" s="856"/>
      <c r="T617" s="817" t="s">
        <v>233</v>
      </c>
      <c r="U617" s="855"/>
      <c r="V617" s="855"/>
      <c r="W617" s="856">
        <v>5600</v>
      </c>
      <c r="X617" s="856">
        <v>5555</v>
      </c>
      <c r="Y617" s="856"/>
      <c r="Z617" s="856"/>
      <c r="AA617" s="856"/>
      <c r="AB617" s="856"/>
      <c r="AC617" s="856"/>
      <c r="AD617" s="856"/>
      <c r="AE617" s="856"/>
      <c r="AF617" s="856"/>
      <c r="AG617" s="856"/>
      <c r="AH617" s="856"/>
      <c r="AI617" s="856"/>
      <c r="AJ617" s="787">
        <f t="shared" si="37"/>
        <v>0</v>
      </c>
      <c r="AK617" s="856"/>
      <c r="AL617" s="856"/>
      <c r="AM617" s="855"/>
      <c r="AN617" s="855"/>
      <c r="AO617" s="855"/>
      <c r="AP617" s="855"/>
      <c r="AQ617" s="855"/>
      <c r="AR617" s="855"/>
      <c r="AS617" s="855" t="s">
        <v>94</v>
      </c>
      <c r="AT617" s="855"/>
      <c r="AU617" s="406" t="s">
        <v>2131</v>
      </c>
    </row>
    <row r="618" spans="1:218" s="854" customFormat="1" ht="15.75" customHeight="1">
      <c r="A618" s="794">
        <v>616</v>
      </c>
      <c r="B618" s="859" t="s">
        <v>15</v>
      </c>
      <c r="C618" s="854" t="s">
        <v>1286</v>
      </c>
      <c r="D618" s="860">
        <v>38718</v>
      </c>
      <c r="E618" s="860">
        <v>39173</v>
      </c>
      <c r="F618" s="857">
        <v>2006</v>
      </c>
      <c r="G618" s="804" t="s">
        <v>5</v>
      </c>
      <c r="H618" s="800" t="s">
        <v>1451</v>
      </c>
      <c r="I618" s="854" t="s">
        <v>2132</v>
      </c>
      <c r="J618" s="800" t="s">
        <v>2331</v>
      </c>
      <c r="K618" s="856">
        <v>13750</v>
      </c>
      <c r="L618" s="856">
        <v>69508</v>
      </c>
      <c r="M618" s="856">
        <v>66606</v>
      </c>
      <c r="N618" s="856">
        <v>66606</v>
      </c>
      <c r="O618" s="808">
        <f t="shared" si="39"/>
        <v>4.8440727272727271</v>
      </c>
      <c r="P618" s="856">
        <v>96</v>
      </c>
      <c r="Q618" s="856"/>
      <c r="R618" s="856"/>
      <c r="S618" s="856"/>
      <c r="T618" s="817" t="s">
        <v>233</v>
      </c>
      <c r="U618" s="855"/>
      <c r="V618" s="855"/>
      <c r="W618" s="856">
        <v>1350</v>
      </c>
      <c r="X618" s="856">
        <v>1350</v>
      </c>
      <c r="Y618" s="856"/>
      <c r="Z618" s="856"/>
      <c r="AA618" s="856"/>
      <c r="AB618" s="856"/>
      <c r="AC618" s="856"/>
      <c r="AD618" s="856"/>
      <c r="AE618" s="856"/>
      <c r="AF618" s="856"/>
      <c r="AG618" s="856"/>
      <c r="AH618" s="856"/>
      <c r="AI618" s="856"/>
      <c r="AJ618" s="787">
        <f t="shared" si="37"/>
        <v>0</v>
      </c>
      <c r="AK618" s="856">
        <v>974</v>
      </c>
      <c r="AL618" s="856">
        <v>974</v>
      </c>
      <c r="AM618" s="855"/>
      <c r="AN618" s="855"/>
      <c r="AO618" s="855"/>
      <c r="AP618" s="855"/>
      <c r="AQ618" s="855"/>
      <c r="AR618" s="855"/>
      <c r="AS618" s="855"/>
      <c r="AT618" s="855"/>
      <c r="AU618" s="854" t="s">
        <v>2133</v>
      </c>
    </row>
    <row r="619" spans="1:218" s="854" customFormat="1" ht="15.75" customHeight="1">
      <c r="A619" s="794">
        <v>617</v>
      </c>
      <c r="B619" s="859" t="s">
        <v>167</v>
      </c>
      <c r="C619" s="854" t="s">
        <v>1261</v>
      </c>
      <c r="D619" s="860">
        <v>38991</v>
      </c>
      <c r="E619" s="860">
        <v>39264</v>
      </c>
      <c r="F619" s="857">
        <v>2006</v>
      </c>
      <c r="G619" s="854" t="s">
        <v>2134</v>
      </c>
      <c r="H619" s="800" t="s">
        <v>1451</v>
      </c>
      <c r="I619" s="854" t="s">
        <v>2135</v>
      </c>
      <c r="J619" s="800" t="s">
        <v>2331</v>
      </c>
      <c r="K619" s="856">
        <v>2000</v>
      </c>
      <c r="L619" s="856">
        <v>18114</v>
      </c>
      <c r="M619" s="856">
        <v>18114</v>
      </c>
      <c r="N619" s="856">
        <v>18114</v>
      </c>
      <c r="O619" s="808">
        <f t="shared" si="39"/>
        <v>9.0570000000000004</v>
      </c>
      <c r="P619" s="856">
        <v>100</v>
      </c>
      <c r="Q619" s="856"/>
      <c r="R619" s="856"/>
      <c r="S619" s="856"/>
      <c r="T619" s="817" t="s">
        <v>233</v>
      </c>
      <c r="U619" s="855"/>
      <c r="V619" s="855"/>
      <c r="W619" s="856"/>
      <c r="X619" s="856">
        <v>2528</v>
      </c>
      <c r="Y619" s="856"/>
      <c r="Z619" s="856"/>
      <c r="AA619" s="856"/>
      <c r="AB619" s="856"/>
      <c r="AC619" s="856"/>
      <c r="AD619" s="856"/>
      <c r="AE619" s="856"/>
      <c r="AF619" s="856"/>
      <c r="AG619" s="856"/>
      <c r="AH619" s="856"/>
      <c r="AI619" s="856"/>
      <c r="AJ619" s="787">
        <f t="shared" si="37"/>
        <v>0</v>
      </c>
      <c r="AK619" s="856"/>
      <c r="AL619" s="856"/>
      <c r="AM619" s="855"/>
      <c r="AN619" s="855"/>
      <c r="AO619" s="855"/>
      <c r="AP619" s="855"/>
      <c r="AQ619" s="855"/>
      <c r="AR619" s="855"/>
      <c r="AS619" s="855"/>
      <c r="AT619" s="855"/>
      <c r="AU619" s="406" t="s">
        <v>2136</v>
      </c>
    </row>
    <row r="620" spans="1:218" s="854" customFormat="1" ht="15.75" customHeight="1">
      <c r="A620" s="794">
        <v>618</v>
      </c>
      <c r="B620" s="859" t="s">
        <v>1169</v>
      </c>
      <c r="C620" s="854" t="s">
        <v>1286</v>
      </c>
      <c r="D620" s="860">
        <v>38718</v>
      </c>
      <c r="E620" s="860">
        <v>39539</v>
      </c>
      <c r="F620" s="857">
        <v>2006</v>
      </c>
      <c r="G620" s="854" t="s">
        <v>2158</v>
      </c>
      <c r="H620" s="800" t="s">
        <v>1451</v>
      </c>
      <c r="I620" s="854" t="s">
        <v>2137</v>
      </c>
      <c r="J620" s="800" t="s">
        <v>2331</v>
      </c>
      <c r="K620" s="856">
        <v>3096</v>
      </c>
      <c r="L620" s="856">
        <v>60001</v>
      </c>
      <c r="M620" s="856">
        <v>55018</v>
      </c>
      <c r="N620" s="856">
        <v>55018</v>
      </c>
      <c r="O620" s="808">
        <f t="shared" si="39"/>
        <v>17.770671834625322</v>
      </c>
      <c r="P620" s="856">
        <v>92</v>
      </c>
      <c r="Q620" s="856"/>
      <c r="R620" s="856"/>
      <c r="S620" s="856"/>
      <c r="T620" s="817" t="s">
        <v>233</v>
      </c>
      <c r="U620" s="855"/>
      <c r="V620" s="855"/>
      <c r="W620" s="856"/>
      <c r="X620" s="856"/>
      <c r="Y620" s="856"/>
      <c r="Z620" s="856">
        <v>2500</v>
      </c>
      <c r="AA620" s="856"/>
      <c r="AB620" s="856">
        <v>42</v>
      </c>
      <c r="AC620" s="856"/>
      <c r="AD620" s="856"/>
      <c r="AE620" s="856"/>
      <c r="AF620" s="856"/>
      <c r="AG620" s="856"/>
      <c r="AH620" s="856"/>
      <c r="AI620" s="856"/>
      <c r="AJ620" s="787">
        <f t="shared" si="37"/>
        <v>2500</v>
      </c>
      <c r="AK620" s="856"/>
      <c r="AL620" s="856"/>
      <c r="AM620" s="855"/>
      <c r="AN620" s="855"/>
      <c r="AO620" s="855"/>
      <c r="AP620" s="855"/>
      <c r="AQ620" s="855"/>
      <c r="AR620" s="855"/>
      <c r="AS620" s="855"/>
      <c r="AT620" s="855" t="s">
        <v>94</v>
      </c>
      <c r="AU620" s="406" t="s">
        <v>2138</v>
      </c>
    </row>
    <row r="621" spans="1:218" s="854" customFormat="1" ht="15.75" customHeight="1">
      <c r="A621" s="794">
        <v>619</v>
      </c>
      <c r="B621" s="859" t="s">
        <v>138</v>
      </c>
      <c r="C621" s="854" t="s">
        <v>1299</v>
      </c>
      <c r="D621" s="860">
        <v>38718</v>
      </c>
      <c r="E621" s="860">
        <v>39264</v>
      </c>
      <c r="F621" s="857">
        <v>2006</v>
      </c>
      <c r="G621" s="854" t="s">
        <v>2139</v>
      </c>
      <c r="H621" s="800" t="s">
        <v>1451</v>
      </c>
      <c r="I621" s="854" t="s">
        <v>2140</v>
      </c>
      <c r="J621" s="800" t="s">
        <v>2331</v>
      </c>
      <c r="K621" s="856">
        <v>15776</v>
      </c>
      <c r="L621" s="856">
        <v>74251</v>
      </c>
      <c r="M621" s="856">
        <v>74251</v>
      </c>
      <c r="N621" s="856">
        <v>74251</v>
      </c>
      <c r="O621" s="808">
        <f t="shared" si="39"/>
        <v>4.7065796146044621</v>
      </c>
      <c r="P621" s="856">
        <v>100</v>
      </c>
      <c r="Q621" s="856"/>
      <c r="R621" s="856"/>
      <c r="S621" s="856"/>
      <c r="T621" s="817" t="s">
        <v>233</v>
      </c>
      <c r="U621" s="855"/>
      <c r="V621" s="855"/>
      <c r="W621" s="856"/>
      <c r="X621" s="856"/>
      <c r="Y621" s="856"/>
      <c r="Z621" s="856"/>
      <c r="AA621" s="856"/>
      <c r="AB621" s="856"/>
      <c r="AC621" s="856"/>
      <c r="AD621" s="856"/>
      <c r="AE621" s="856"/>
      <c r="AF621" s="856"/>
      <c r="AG621" s="856"/>
      <c r="AH621" s="856"/>
      <c r="AI621" s="856"/>
      <c r="AJ621" s="787">
        <f t="shared" si="37"/>
        <v>0</v>
      </c>
      <c r="AK621" s="856"/>
      <c r="AL621" s="856"/>
      <c r="AM621" s="855"/>
      <c r="AN621" s="855"/>
      <c r="AO621" s="855"/>
      <c r="AP621" s="855"/>
      <c r="AQ621" s="855"/>
      <c r="AR621" s="855"/>
      <c r="AS621" s="855"/>
      <c r="AT621" s="855"/>
      <c r="AU621" s="406" t="s">
        <v>2141</v>
      </c>
    </row>
    <row r="622" spans="1:218" s="854" customFormat="1" ht="15.75" customHeight="1">
      <c r="A622" s="794">
        <v>620</v>
      </c>
      <c r="B622" s="859" t="s">
        <v>148</v>
      </c>
      <c r="C622" s="854" t="s">
        <v>1299</v>
      </c>
      <c r="D622" s="860">
        <v>39052</v>
      </c>
      <c r="E622" s="860">
        <v>39417</v>
      </c>
      <c r="F622" s="857">
        <v>2006</v>
      </c>
      <c r="G622" s="854" t="s">
        <v>168</v>
      </c>
      <c r="H622" s="854" t="s">
        <v>1449</v>
      </c>
      <c r="I622" s="854" t="s">
        <v>2142</v>
      </c>
      <c r="J622" s="800" t="s">
        <v>2331</v>
      </c>
      <c r="K622" s="856">
        <v>300000</v>
      </c>
      <c r="L622" s="856">
        <v>150000</v>
      </c>
      <c r="M622" s="856">
        <v>148326</v>
      </c>
      <c r="N622" s="856">
        <v>148326</v>
      </c>
      <c r="O622" s="808">
        <f t="shared" si="39"/>
        <v>0.49442000000000003</v>
      </c>
      <c r="P622" s="856">
        <v>99</v>
      </c>
      <c r="Q622" s="856"/>
      <c r="R622" s="856"/>
      <c r="S622" s="856"/>
      <c r="T622" s="817" t="s">
        <v>233</v>
      </c>
      <c r="U622" s="855"/>
      <c r="V622" s="855"/>
      <c r="W622" s="856"/>
      <c r="X622" s="856"/>
      <c r="Y622" s="856"/>
      <c r="Z622" s="856"/>
      <c r="AA622" s="856">
        <v>50000</v>
      </c>
      <c r="AB622" s="856">
        <v>500</v>
      </c>
      <c r="AC622" s="856"/>
      <c r="AD622" s="856"/>
      <c r="AE622" s="856"/>
      <c r="AF622" s="856"/>
      <c r="AG622" s="856"/>
      <c r="AH622" s="856"/>
      <c r="AI622" s="856"/>
      <c r="AJ622" s="787">
        <f t="shared" si="37"/>
        <v>50000</v>
      </c>
      <c r="AK622" s="856"/>
      <c r="AL622" s="856"/>
      <c r="AM622" s="855"/>
      <c r="AN622" s="855"/>
      <c r="AO622" s="855"/>
      <c r="AP622" s="855"/>
      <c r="AQ622" s="855"/>
      <c r="AR622" s="855"/>
      <c r="AS622" s="855"/>
      <c r="AT622" s="855"/>
      <c r="AU622" s="406" t="s">
        <v>2143</v>
      </c>
    </row>
    <row r="623" spans="1:218" s="854" customFormat="1" ht="15.75" customHeight="1">
      <c r="A623" s="794">
        <v>621</v>
      </c>
      <c r="B623" s="859" t="s">
        <v>1484</v>
      </c>
      <c r="C623" s="854" t="s">
        <v>1286</v>
      </c>
      <c r="D623" s="860">
        <v>38991</v>
      </c>
      <c r="E623" s="860">
        <v>39479</v>
      </c>
      <c r="F623" s="857">
        <v>2006</v>
      </c>
      <c r="G623" s="854" t="s">
        <v>587</v>
      </c>
      <c r="H623" s="800" t="s">
        <v>1451</v>
      </c>
      <c r="I623" s="854" t="s">
        <v>2144</v>
      </c>
      <c r="J623" s="812" t="s">
        <v>2438</v>
      </c>
      <c r="K623" s="856">
        <v>60750</v>
      </c>
      <c r="L623" s="856">
        <v>1350061</v>
      </c>
      <c r="M623" s="856">
        <v>1350062</v>
      </c>
      <c r="N623" s="856">
        <v>1350062</v>
      </c>
      <c r="O623" s="808">
        <f t="shared" si="39"/>
        <v>22.223242798353908</v>
      </c>
      <c r="P623" s="856">
        <v>100</v>
      </c>
      <c r="Q623" s="856"/>
      <c r="R623" s="856"/>
      <c r="S623" s="856"/>
      <c r="T623" s="817" t="s">
        <v>233</v>
      </c>
      <c r="U623" s="855"/>
      <c r="V623" s="855"/>
      <c r="W623" s="856"/>
      <c r="X623" s="856"/>
      <c r="Y623" s="856"/>
      <c r="Z623" s="856"/>
      <c r="AA623" s="856"/>
      <c r="AB623" s="856"/>
      <c r="AC623" s="856"/>
      <c r="AD623" s="856"/>
      <c r="AE623" s="856"/>
      <c r="AF623" s="856"/>
      <c r="AG623" s="856"/>
      <c r="AH623" s="856"/>
      <c r="AI623" s="856"/>
      <c r="AJ623" s="787">
        <f t="shared" si="37"/>
        <v>0</v>
      </c>
      <c r="AK623" s="856"/>
      <c r="AL623" s="856"/>
      <c r="AM623" s="855"/>
      <c r="AN623" s="855"/>
      <c r="AO623" s="855"/>
      <c r="AP623" s="855"/>
      <c r="AQ623" s="855"/>
      <c r="AR623" s="855"/>
      <c r="AS623" s="855"/>
      <c r="AT623" s="855"/>
      <c r="AU623" s="406" t="s">
        <v>2145</v>
      </c>
    </row>
    <row r="624" spans="1:218" s="854" customFormat="1" ht="17.25" customHeight="1">
      <c r="A624" s="794">
        <v>622</v>
      </c>
      <c r="B624" s="859" t="s">
        <v>764</v>
      </c>
      <c r="C624" s="854" t="s">
        <v>1299</v>
      </c>
      <c r="D624" s="858">
        <v>38718</v>
      </c>
      <c r="E624" s="858">
        <v>39783</v>
      </c>
      <c r="F624" s="857">
        <v>2006</v>
      </c>
      <c r="G624" s="854" t="s">
        <v>2178</v>
      </c>
      <c r="H624" s="800" t="s">
        <v>1451</v>
      </c>
      <c r="I624" s="854" t="s">
        <v>2179</v>
      </c>
      <c r="J624" s="800" t="s">
        <v>2331</v>
      </c>
      <c r="K624" s="856">
        <v>1500</v>
      </c>
      <c r="L624" s="856">
        <v>60000</v>
      </c>
      <c r="M624" s="856">
        <v>60000</v>
      </c>
      <c r="N624" s="856">
        <v>60000</v>
      </c>
      <c r="O624" s="808">
        <f t="shared" si="39"/>
        <v>40</v>
      </c>
      <c r="P624" s="856">
        <v>100</v>
      </c>
      <c r="Q624" s="856">
        <v>1500</v>
      </c>
      <c r="R624" s="856">
        <v>200</v>
      </c>
      <c r="S624" s="856">
        <v>1500</v>
      </c>
      <c r="T624" s="855" t="s">
        <v>94</v>
      </c>
      <c r="U624" s="855">
        <v>15</v>
      </c>
      <c r="V624" s="855">
        <v>450</v>
      </c>
      <c r="W624" s="856">
        <v>10137</v>
      </c>
      <c r="X624" s="856">
        <v>10137</v>
      </c>
      <c r="Y624" s="808">
        <f>X624/S624</f>
        <v>6.758</v>
      </c>
      <c r="Z624" s="856"/>
      <c r="AA624" s="856">
        <v>450</v>
      </c>
      <c r="AB624" s="856"/>
      <c r="AC624" s="856"/>
      <c r="AD624" s="856"/>
      <c r="AE624" s="856">
        <v>850</v>
      </c>
      <c r="AF624" s="856"/>
      <c r="AG624" s="856"/>
      <c r="AH624" s="856"/>
      <c r="AI624" s="856"/>
      <c r="AJ624" s="808">
        <f t="shared" si="37"/>
        <v>450</v>
      </c>
      <c r="AK624" s="856"/>
      <c r="AL624" s="856"/>
      <c r="AM624" s="855"/>
      <c r="AN624" s="855"/>
      <c r="AO624" s="855"/>
      <c r="AP624" s="855"/>
      <c r="AQ624" s="855"/>
      <c r="AR624" s="855"/>
      <c r="AS624" s="855"/>
      <c r="AT624" s="855"/>
      <c r="AU624" s="406" t="s">
        <v>2180</v>
      </c>
    </row>
    <row r="625" spans="1:300" s="854" customFormat="1" ht="17.25" customHeight="1">
      <c r="A625" s="794">
        <v>623</v>
      </c>
      <c r="B625" s="859" t="s">
        <v>932</v>
      </c>
      <c r="C625" s="854" t="s">
        <v>1261</v>
      </c>
      <c r="D625" s="858">
        <v>39052</v>
      </c>
      <c r="E625" s="858">
        <v>39264</v>
      </c>
      <c r="F625" s="857">
        <v>2006</v>
      </c>
      <c r="G625" s="854" t="s">
        <v>24</v>
      </c>
      <c r="H625" s="800" t="s">
        <v>1451</v>
      </c>
      <c r="I625" s="854" t="s">
        <v>2181</v>
      </c>
      <c r="J625" s="812" t="s">
        <v>2438</v>
      </c>
      <c r="K625" s="856">
        <v>6979</v>
      </c>
      <c r="L625" s="856">
        <v>657055</v>
      </c>
      <c r="M625" s="856">
        <v>461013</v>
      </c>
      <c r="N625" s="856">
        <v>461013</v>
      </c>
      <c r="O625" s="808">
        <f t="shared" si="39"/>
        <v>66.057171514543626</v>
      </c>
      <c r="P625" s="856">
        <v>70</v>
      </c>
      <c r="Q625" s="856"/>
      <c r="R625" s="856"/>
      <c r="S625" s="856"/>
      <c r="T625" s="855" t="s">
        <v>233</v>
      </c>
      <c r="U625" s="855"/>
      <c r="V625" s="855"/>
      <c r="W625" s="856"/>
      <c r="X625" s="856"/>
      <c r="Y625" s="856"/>
      <c r="Z625" s="856"/>
      <c r="AA625" s="856"/>
      <c r="AB625" s="856"/>
      <c r="AC625" s="856"/>
      <c r="AD625" s="856"/>
      <c r="AE625" s="856"/>
      <c r="AF625" s="856"/>
      <c r="AG625" s="856"/>
      <c r="AH625" s="856"/>
      <c r="AI625" s="856"/>
      <c r="AJ625" s="787">
        <f t="shared" si="37"/>
        <v>0</v>
      </c>
      <c r="AK625" s="856"/>
      <c r="AL625" s="856"/>
      <c r="AM625" s="855"/>
      <c r="AN625" s="855"/>
      <c r="AO625" s="855"/>
      <c r="AP625" s="855"/>
      <c r="AQ625" s="855"/>
      <c r="AR625" s="855"/>
      <c r="AS625" s="855"/>
      <c r="AT625" s="855"/>
      <c r="AU625" s="406" t="s">
        <v>2182</v>
      </c>
    </row>
    <row r="626" spans="1:300" s="853" customFormat="1" ht="18.75" customHeight="1">
      <c r="A626" s="794">
        <v>624</v>
      </c>
      <c r="B626" s="785" t="s">
        <v>321</v>
      </c>
      <c r="C626" s="785" t="s">
        <v>1261</v>
      </c>
      <c r="D626" s="792">
        <v>38384</v>
      </c>
      <c r="E626" s="792">
        <v>38565</v>
      </c>
      <c r="F626" s="791">
        <v>2005</v>
      </c>
      <c r="G626" s="785" t="s">
        <v>342</v>
      </c>
      <c r="H626" s="841" t="s">
        <v>1453</v>
      </c>
      <c r="I626" s="785" t="s">
        <v>341</v>
      </c>
      <c r="J626" s="812" t="s">
        <v>2438</v>
      </c>
      <c r="K626" s="842">
        <v>22656</v>
      </c>
      <c r="L626" s="842">
        <v>906913</v>
      </c>
      <c r="M626" s="842">
        <v>853098</v>
      </c>
      <c r="N626" s="842">
        <v>853098</v>
      </c>
      <c r="O626" s="808">
        <f t="shared" si="39"/>
        <v>37.654396186440678</v>
      </c>
      <c r="P626" s="842">
        <v>98.5</v>
      </c>
      <c r="Q626" s="842">
        <f>(14*250)+(400*2)</f>
        <v>4300</v>
      </c>
      <c r="R626" s="842">
        <f>172*20</f>
        <v>3440</v>
      </c>
      <c r="S626" s="842">
        <v>4300</v>
      </c>
      <c r="T626" s="842" t="s">
        <v>233</v>
      </c>
      <c r="U626" s="842">
        <v>164</v>
      </c>
      <c r="V626" s="842">
        <v>17690</v>
      </c>
      <c r="W626" s="842">
        <v>17738</v>
      </c>
      <c r="X626" s="842">
        <v>22621</v>
      </c>
      <c r="Y626" s="808">
        <f>X626/S626</f>
        <v>5.2606976744186049</v>
      </c>
      <c r="Z626" s="842" t="s">
        <v>75</v>
      </c>
      <c r="AA626" s="842">
        <v>18254</v>
      </c>
      <c r="AB626" s="842"/>
      <c r="AC626" s="842" t="s">
        <v>2</v>
      </c>
      <c r="AD626" s="842" t="s">
        <v>75</v>
      </c>
      <c r="AE626" s="842" t="s">
        <v>75</v>
      </c>
      <c r="AF626" s="842" t="s">
        <v>75</v>
      </c>
      <c r="AG626" s="842" t="s">
        <v>75</v>
      </c>
      <c r="AH626" s="842">
        <v>6934</v>
      </c>
      <c r="AI626" s="842" t="s">
        <v>75</v>
      </c>
      <c r="AJ626" s="808">
        <f t="shared" si="37"/>
        <v>25188</v>
      </c>
      <c r="AK626" s="842">
        <v>20694</v>
      </c>
      <c r="AL626" s="842">
        <v>16278</v>
      </c>
      <c r="AM626" s="842"/>
      <c r="AN626" s="842" t="s">
        <v>75</v>
      </c>
      <c r="AO626" s="842" t="s">
        <v>75</v>
      </c>
      <c r="AP626" s="842" t="s">
        <v>75</v>
      </c>
      <c r="AQ626" s="842" t="s">
        <v>75</v>
      </c>
      <c r="AR626" s="842" t="s">
        <v>75</v>
      </c>
      <c r="AS626" s="849" t="s">
        <v>343</v>
      </c>
      <c r="AT626" s="842" t="s">
        <v>75</v>
      </c>
      <c r="AU626" s="293" t="s">
        <v>340</v>
      </c>
      <c r="AV626" s="785"/>
      <c r="AW626" s="785"/>
      <c r="AX626" s="785"/>
      <c r="AY626" s="785"/>
      <c r="AZ626" s="785"/>
      <c r="BA626" s="785"/>
      <c r="BB626" s="785"/>
      <c r="BC626" s="785"/>
      <c r="BD626" s="785"/>
      <c r="BE626" s="785"/>
      <c r="BF626" s="785"/>
      <c r="BG626" s="785"/>
      <c r="BH626" s="785"/>
      <c r="BI626" s="785"/>
      <c r="BJ626" s="785"/>
      <c r="BK626" s="785"/>
      <c r="BL626" s="785"/>
      <c r="BM626" s="785"/>
    </row>
    <row r="627" spans="1:300" s="853" customFormat="1" ht="17.25" customHeight="1">
      <c r="A627" s="794">
        <v>625</v>
      </c>
      <c r="B627" s="785" t="s">
        <v>332</v>
      </c>
      <c r="C627" s="796" t="s">
        <v>1299</v>
      </c>
      <c r="D627" s="792">
        <v>38443</v>
      </c>
      <c r="E627" s="792">
        <v>38534</v>
      </c>
      <c r="F627" s="791">
        <v>2005</v>
      </c>
      <c r="G627" s="785" t="s">
        <v>352</v>
      </c>
      <c r="H627" s="837" t="s">
        <v>1449</v>
      </c>
      <c r="I627" s="785" t="s">
        <v>350</v>
      </c>
      <c r="J627" s="800" t="s">
        <v>2331</v>
      </c>
      <c r="K627" s="842">
        <v>25430</v>
      </c>
      <c r="L627" s="842">
        <v>0</v>
      </c>
      <c r="M627" s="842">
        <v>235236</v>
      </c>
      <c r="N627" s="842">
        <v>233238</v>
      </c>
      <c r="O627" s="808">
        <f t="shared" si="39"/>
        <v>9.1717656311443179</v>
      </c>
      <c r="P627" s="842" t="s">
        <v>66</v>
      </c>
      <c r="Q627" s="842" t="s">
        <v>134</v>
      </c>
      <c r="R627" s="842" t="s">
        <v>75</v>
      </c>
      <c r="S627" s="842"/>
      <c r="T627" s="842" t="s">
        <v>233</v>
      </c>
      <c r="U627" s="842">
        <v>80</v>
      </c>
      <c r="V627" s="842">
        <v>25430</v>
      </c>
      <c r="W627" s="842">
        <v>0</v>
      </c>
      <c r="X627" s="842">
        <v>2115</v>
      </c>
      <c r="Y627" s="842"/>
      <c r="Z627" s="842">
        <v>1775</v>
      </c>
      <c r="AA627" s="842">
        <v>25430</v>
      </c>
      <c r="AB627" s="842">
        <v>120</v>
      </c>
      <c r="AC627" s="842" t="s">
        <v>75</v>
      </c>
      <c r="AD627" s="842" t="s">
        <v>75</v>
      </c>
      <c r="AE627" s="842">
        <v>408</v>
      </c>
      <c r="AF627" s="842" t="s">
        <v>75</v>
      </c>
      <c r="AG627" s="842" t="s">
        <v>75</v>
      </c>
      <c r="AH627" s="842" t="s">
        <v>75</v>
      </c>
      <c r="AI627" s="842" t="s">
        <v>75</v>
      </c>
      <c r="AJ627" s="787">
        <f t="shared" si="37"/>
        <v>27205</v>
      </c>
      <c r="AK627" s="842" t="s">
        <v>66</v>
      </c>
      <c r="AL627" s="842" t="s">
        <v>66</v>
      </c>
      <c r="AM627" s="842"/>
      <c r="AN627" s="842" t="s">
        <v>75</v>
      </c>
      <c r="AO627" s="842" t="s">
        <v>75</v>
      </c>
      <c r="AP627" s="842" t="s">
        <v>75</v>
      </c>
      <c r="AQ627" s="842" t="s">
        <v>75</v>
      </c>
      <c r="AR627" s="842" t="s">
        <v>75</v>
      </c>
      <c r="AS627" s="842" t="s">
        <v>75</v>
      </c>
      <c r="AT627" s="842" t="s">
        <v>75</v>
      </c>
      <c r="AU627" s="276" t="s">
        <v>351</v>
      </c>
      <c r="AV627" s="785"/>
      <c r="AW627" s="785"/>
      <c r="AX627" s="785"/>
      <c r="AY627" s="785"/>
      <c r="AZ627" s="785"/>
      <c r="BA627" s="785"/>
      <c r="BB627" s="785"/>
      <c r="BC627" s="785"/>
      <c r="BD627" s="785"/>
      <c r="BE627" s="785"/>
      <c r="BF627" s="785"/>
      <c r="BG627" s="785"/>
      <c r="BH627" s="785"/>
      <c r="BI627" s="785"/>
      <c r="BJ627" s="785"/>
      <c r="BK627" s="785"/>
      <c r="BL627" s="785"/>
      <c r="BM627" s="785"/>
    </row>
    <row r="628" spans="1:300" s="789" customFormat="1" ht="18.75" customHeight="1">
      <c r="A628" s="794">
        <v>626</v>
      </c>
      <c r="B628" s="802" t="s">
        <v>161</v>
      </c>
      <c r="C628" s="802" t="s">
        <v>1286</v>
      </c>
      <c r="D628" s="805">
        <v>38626</v>
      </c>
      <c r="E628" s="805">
        <v>39052</v>
      </c>
      <c r="F628" s="791">
        <v>2005</v>
      </c>
      <c r="G628" s="804" t="s">
        <v>164</v>
      </c>
      <c r="H628" s="837" t="s">
        <v>1450</v>
      </c>
      <c r="I628" s="804" t="s">
        <v>163</v>
      </c>
      <c r="J628" s="812" t="s">
        <v>2438</v>
      </c>
      <c r="K628" s="838">
        <v>70000</v>
      </c>
      <c r="L628" s="852">
        <v>1918000</v>
      </c>
      <c r="M628" s="852">
        <v>1517222</v>
      </c>
      <c r="N628" s="838">
        <v>1483601</v>
      </c>
      <c r="O628" s="808">
        <f t="shared" si="39"/>
        <v>21.194299999999998</v>
      </c>
      <c r="P628" s="839">
        <v>79</v>
      </c>
      <c r="Q628" s="852" t="s">
        <v>75</v>
      </c>
      <c r="R628" s="852" t="s">
        <v>75</v>
      </c>
      <c r="S628" s="838" t="s">
        <v>75</v>
      </c>
      <c r="T628" s="817" t="s">
        <v>233</v>
      </c>
      <c r="U628" s="839" t="s">
        <v>75</v>
      </c>
      <c r="V628" s="817" t="s">
        <v>75</v>
      </c>
      <c r="W628" s="838">
        <v>0</v>
      </c>
      <c r="X628" s="838">
        <v>13542</v>
      </c>
      <c r="Y628" s="838"/>
      <c r="Z628" s="838" t="s">
        <v>2</v>
      </c>
      <c r="AA628" s="817"/>
      <c r="AB628" s="839"/>
      <c r="AC628" s="817"/>
      <c r="AD628" s="817"/>
      <c r="AE628" s="839"/>
      <c r="AF628" s="852" t="s">
        <v>75</v>
      </c>
      <c r="AG628" s="852" t="s">
        <v>75</v>
      </c>
      <c r="AH628" s="817"/>
      <c r="AI628" s="839"/>
      <c r="AJ628" s="787">
        <f t="shared" si="37"/>
        <v>0</v>
      </c>
      <c r="AK628" s="838">
        <v>0</v>
      </c>
      <c r="AL628" s="838">
        <v>90980</v>
      </c>
      <c r="AM628" s="839"/>
      <c r="AN628" s="838" t="s">
        <v>75</v>
      </c>
      <c r="AO628" s="838" t="s">
        <v>75</v>
      </c>
      <c r="AP628" s="838" t="s">
        <v>75</v>
      </c>
      <c r="AQ628" s="838" t="s">
        <v>75</v>
      </c>
      <c r="AR628" s="838" t="s">
        <v>75</v>
      </c>
      <c r="AS628" s="817" t="s">
        <v>187</v>
      </c>
      <c r="AT628" s="817" t="s">
        <v>205</v>
      </c>
      <c r="AU628" s="404" t="s">
        <v>165</v>
      </c>
      <c r="AV628" s="802"/>
      <c r="AW628" s="802"/>
      <c r="AX628" s="802"/>
      <c r="AY628" s="802"/>
      <c r="AZ628" s="802"/>
      <c r="BA628" s="802"/>
      <c r="BB628" s="802"/>
      <c r="BC628" s="802"/>
      <c r="BD628" s="802"/>
      <c r="BE628" s="802"/>
      <c r="BF628" s="802"/>
      <c r="BG628" s="802"/>
      <c r="BH628" s="802"/>
      <c r="BI628" s="802"/>
      <c r="BJ628" s="802"/>
      <c r="BK628" s="802"/>
      <c r="BL628" s="802"/>
    </row>
    <row r="629" spans="1:300" s="789" customFormat="1" ht="18.75" customHeight="1">
      <c r="A629" s="794">
        <v>627</v>
      </c>
      <c r="B629" s="785" t="s">
        <v>477</v>
      </c>
      <c r="C629" s="785" t="s">
        <v>1299</v>
      </c>
      <c r="D629" s="824">
        <v>38473</v>
      </c>
      <c r="E629" s="824">
        <v>39234</v>
      </c>
      <c r="F629" s="791">
        <v>2005</v>
      </c>
      <c r="G629" s="785" t="s">
        <v>2004</v>
      </c>
      <c r="H629" s="837" t="s">
        <v>1452</v>
      </c>
      <c r="I629" s="823" t="s">
        <v>2003</v>
      </c>
      <c r="J629" s="812" t="s">
        <v>2438</v>
      </c>
      <c r="K629" s="842">
        <v>10000</v>
      </c>
      <c r="L629" s="787">
        <v>1291067</v>
      </c>
      <c r="M629" s="787">
        <v>766154</v>
      </c>
      <c r="N629" s="787">
        <f>M629+97254</f>
        <v>863408</v>
      </c>
      <c r="O629" s="808">
        <f t="shared" si="39"/>
        <v>86.340800000000002</v>
      </c>
      <c r="P629" s="787">
        <f>(M629*100)/L629</f>
        <v>59.342698713544685</v>
      </c>
      <c r="Q629" s="842">
        <v>10000</v>
      </c>
      <c r="R629" s="842"/>
      <c r="S629" s="842">
        <v>10000</v>
      </c>
      <c r="T629" s="787"/>
      <c r="U629" s="787"/>
      <c r="V629" s="787"/>
      <c r="W629" s="787">
        <v>1154</v>
      </c>
      <c r="X629" s="787">
        <v>1154</v>
      </c>
      <c r="Y629" s="808">
        <f>X629/S629</f>
        <v>0.1154</v>
      </c>
      <c r="Z629" s="787"/>
      <c r="AA629" s="787"/>
      <c r="AB629" s="787"/>
      <c r="AC629" s="787">
        <v>60</v>
      </c>
      <c r="AD629" s="787"/>
      <c r="AE629" s="787"/>
      <c r="AF629" s="787"/>
      <c r="AG629" s="787"/>
      <c r="AH629" s="808"/>
      <c r="AI629" s="787"/>
      <c r="AJ629" s="787">
        <f t="shared" si="37"/>
        <v>0</v>
      </c>
      <c r="AK629" s="787">
        <v>42096</v>
      </c>
      <c r="AL629" s="787">
        <v>8378</v>
      </c>
      <c r="AM629" s="822"/>
      <c r="AN629" s="822"/>
      <c r="AO629" s="822"/>
      <c r="AP629" s="822"/>
      <c r="AQ629" s="822"/>
      <c r="AR629" s="822"/>
      <c r="AS629" s="822"/>
      <c r="AT629" s="822"/>
      <c r="AU629" s="825" t="s">
        <v>2002</v>
      </c>
      <c r="AV629" s="821"/>
      <c r="AW629" s="821"/>
      <c r="AX629" s="821"/>
      <c r="AY629" s="821"/>
      <c r="AZ629" s="821"/>
      <c r="BA629" s="821"/>
      <c r="BB629" s="821"/>
      <c r="BC629" s="821"/>
      <c r="BD629" s="821"/>
      <c r="BE629" s="821"/>
      <c r="BF629" s="821"/>
      <c r="BG629" s="821"/>
      <c r="BH629" s="821"/>
      <c r="BI629" s="821"/>
      <c r="BJ629" s="821"/>
      <c r="BK629" s="821"/>
      <c r="BL629" s="821"/>
      <c r="BM629" s="815"/>
    </row>
    <row r="630" spans="1:300" s="789" customFormat="1" ht="18.75" customHeight="1">
      <c r="A630" s="794">
        <v>628</v>
      </c>
      <c r="B630" s="812" t="s">
        <v>354</v>
      </c>
      <c r="C630" s="796" t="s">
        <v>1260</v>
      </c>
      <c r="D630" s="799">
        <v>38687</v>
      </c>
      <c r="E630" s="799">
        <v>38749</v>
      </c>
      <c r="F630" s="791">
        <v>2005</v>
      </c>
      <c r="G630" s="796" t="s">
        <v>5</v>
      </c>
      <c r="H630" s="837" t="s">
        <v>1451</v>
      </c>
      <c r="I630" s="796" t="s">
        <v>367</v>
      </c>
      <c r="J630" s="800" t="s">
        <v>2331</v>
      </c>
      <c r="K630" s="842">
        <v>4750</v>
      </c>
      <c r="L630" s="843">
        <v>25093</v>
      </c>
      <c r="M630" s="843">
        <v>25093</v>
      </c>
      <c r="N630" s="843">
        <v>25093</v>
      </c>
      <c r="O630" s="808">
        <f t="shared" si="39"/>
        <v>5.2827368421052627</v>
      </c>
      <c r="P630" s="843">
        <v>100</v>
      </c>
      <c r="Q630" s="843" t="s">
        <v>75</v>
      </c>
      <c r="R630" s="843" t="s">
        <v>75</v>
      </c>
      <c r="S630" s="843" t="s">
        <v>75</v>
      </c>
      <c r="T630" s="843" t="s">
        <v>233</v>
      </c>
      <c r="U630" s="843" t="s">
        <v>75</v>
      </c>
      <c r="V630" s="843" t="s">
        <v>75</v>
      </c>
      <c r="W630" s="842" t="s">
        <v>66</v>
      </c>
      <c r="X630" s="843" t="s">
        <v>66</v>
      </c>
      <c r="Y630" s="842"/>
      <c r="Z630" s="843" t="s">
        <v>75</v>
      </c>
      <c r="AA630" s="843" t="s">
        <v>75</v>
      </c>
      <c r="AB630" s="843" t="s">
        <v>75</v>
      </c>
      <c r="AC630" s="843" t="s">
        <v>75</v>
      </c>
      <c r="AD630" s="843" t="s">
        <v>75</v>
      </c>
      <c r="AE630" s="843" t="s">
        <v>75</v>
      </c>
      <c r="AF630" s="843" t="s">
        <v>75</v>
      </c>
      <c r="AG630" s="843" t="s">
        <v>75</v>
      </c>
      <c r="AH630" s="842" t="s">
        <v>75</v>
      </c>
      <c r="AI630" s="843" t="s">
        <v>75</v>
      </c>
      <c r="AJ630" s="787">
        <f t="shared" si="37"/>
        <v>0</v>
      </c>
      <c r="AK630" s="842" t="s">
        <v>66</v>
      </c>
      <c r="AL630" s="843" t="s">
        <v>66</v>
      </c>
      <c r="AM630" s="843"/>
      <c r="AN630" s="843" t="s">
        <v>75</v>
      </c>
      <c r="AO630" s="843" t="s">
        <v>75</v>
      </c>
      <c r="AP630" s="843" t="s">
        <v>75</v>
      </c>
      <c r="AQ630" s="843" t="s">
        <v>75</v>
      </c>
      <c r="AR630" s="843" t="s">
        <v>75</v>
      </c>
      <c r="AS630" s="843" t="s">
        <v>75</v>
      </c>
      <c r="AT630" s="843" t="s">
        <v>75</v>
      </c>
      <c r="AU630" s="796" t="s">
        <v>368</v>
      </c>
      <c r="AV630" s="796"/>
      <c r="AW630" s="796"/>
      <c r="AX630" s="796"/>
      <c r="AY630" s="796"/>
      <c r="AZ630" s="796"/>
      <c r="BA630" s="796"/>
      <c r="BB630" s="796"/>
      <c r="BC630" s="796"/>
      <c r="BD630" s="796"/>
      <c r="BE630" s="796"/>
      <c r="BF630" s="796"/>
      <c r="BG630" s="796"/>
      <c r="BH630" s="796"/>
      <c r="BI630" s="796"/>
      <c r="BJ630" s="796"/>
      <c r="BK630" s="796"/>
      <c r="BL630" s="796"/>
      <c r="BM630" s="785"/>
    </row>
    <row r="631" spans="1:300" s="789" customFormat="1" ht="18.75" customHeight="1">
      <c r="A631" s="794">
        <v>629</v>
      </c>
      <c r="B631" s="785" t="s">
        <v>372</v>
      </c>
      <c r="C631" s="785" t="s">
        <v>1260</v>
      </c>
      <c r="D631" s="792">
        <v>38565</v>
      </c>
      <c r="E631" s="792">
        <v>38777</v>
      </c>
      <c r="F631" s="791">
        <v>2005</v>
      </c>
      <c r="G631" s="785" t="s">
        <v>5</v>
      </c>
      <c r="H631" s="841" t="s">
        <v>1451</v>
      </c>
      <c r="I631" s="785" t="s">
        <v>399</v>
      </c>
      <c r="J631" s="800" t="s">
        <v>2331</v>
      </c>
      <c r="K631" s="842">
        <v>22520</v>
      </c>
      <c r="L631" s="842">
        <v>219808</v>
      </c>
      <c r="M631" s="842">
        <v>219810</v>
      </c>
      <c r="N631" s="842">
        <v>217962</v>
      </c>
      <c r="O631" s="808">
        <f t="shared" si="39"/>
        <v>9.678596802841918</v>
      </c>
      <c r="P631" s="842" t="s">
        <v>66</v>
      </c>
      <c r="Q631" s="842" t="s">
        <v>75</v>
      </c>
      <c r="R631" s="842" t="s">
        <v>75</v>
      </c>
      <c r="S631" s="842"/>
      <c r="T631" s="842" t="s">
        <v>233</v>
      </c>
      <c r="U631" s="842" t="s">
        <v>75</v>
      </c>
      <c r="V631" s="842" t="s">
        <v>75</v>
      </c>
      <c r="W631" s="842" t="s">
        <v>66</v>
      </c>
      <c r="X631" s="842" t="s">
        <v>66</v>
      </c>
      <c r="Y631" s="842"/>
      <c r="Z631" s="842" t="s">
        <v>75</v>
      </c>
      <c r="AA631" s="842" t="s">
        <v>75</v>
      </c>
      <c r="AB631" s="842" t="s">
        <v>75</v>
      </c>
      <c r="AC631" s="842" t="s">
        <v>75</v>
      </c>
      <c r="AD631" s="842" t="s">
        <v>75</v>
      </c>
      <c r="AE631" s="842" t="s">
        <v>75</v>
      </c>
      <c r="AF631" s="842" t="s">
        <v>75</v>
      </c>
      <c r="AG631" s="842" t="s">
        <v>75</v>
      </c>
      <c r="AH631" s="842" t="s">
        <v>75</v>
      </c>
      <c r="AI631" s="842" t="s">
        <v>75</v>
      </c>
      <c r="AJ631" s="787">
        <f t="shared" si="37"/>
        <v>0</v>
      </c>
      <c r="AK631" s="842" t="s">
        <v>66</v>
      </c>
      <c r="AL631" s="842" t="s">
        <v>66</v>
      </c>
      <c r="AM631" s="842"/>
      <c r="AN631" s="842" t="s">
        <v>75</v>
      </c>
      <c r="AO631" s="842" t="s">
        <v>75</v>
      </c>
      <c r="AP631" s="842" t="s">
        <v>75</v>
      </c>
      <c r="AQ631" s="842" t="s">
        <v>75</v>
      </c>
      <c r="AR631" s="842" t="s">
        <v>75</v>
      </c>
      <c r="AS631" s="842" t="s">
        <v>75</v>
      </c>
      <c r="AT631" s="842" t="s">
        <v>75</v>
      </c>
      <c r="AU631" s="785" t="s">
        <v>398</v>
      </c>
      <c r="AV631" s="785"/>
      <c r="AW631" s="785"/>
      <c r="AX631" s="785"/>
      <c r="AY631" s="785"/>
      <c r="AZ631" s="785"/>
      <c r="BA631" s="785"/>
      <c r="BB631" s="785"/>
      <c r="BC631" s="785"/>
      <c r="BD631" s="785"/>
      <c r="BE631" s="785"/>
      <c r="BF631" s="785"/>
      <c r="BG631" s="785"/>
      <c r="BH631" s="785"/>
      <c r="BI631" s="785"/>
      <c r="BJ631" s="785"/>
      <c r="BK631" s="785"/>
      <c r="BL631" s="785"/>
      <c r="BM631" s="785"/>
    </row>
    <row r="632" spans="1:300" s="789" customFormat="1" ht="18.75" customHeight="1">
      <c r="A632" s="794">
        <v>630</v>
      </c>
      <c r="B632" s="851" t="s">
        <v>119</v>
      </c>
      <c r="C632" s="836" t="s">
        <v>1299</v>
      </c>
      <c r="D632" s="840">
        <v>38534</v>
      </c>
      <c r="E632" s="840">
        <v>38899</v>
      </c>
      <c r="F632" s="791">
        <v>2005</v>
      </c>
      <c r="G632" s="836" t="s">
        <v>116</v>
      </c>
      <c r="H632" s="841" t="s">
        <v>1452</v>
      </c>
      <c r="I632" s="836" t="s">
        <v>126</v>
      </c>
      <c r="J632" s="812" t="s">
        <v>2438</v>
      </c>
      <c r="K632" s="838">
        <v>536000</v>
      </c>
      <c r="L632" s="838">
        <v>31563799</v>
      </c>
      <c r="M632" s="838">
        <v>25440758</v>
      </c>
      <c r="N632" s="838">
        <v>25879592</v>
      </c>
      <c r="O632" s="808">
        <f t="shared" si="39"/>
        <v>48.282820895522391</v>
      </c>
      <c r="P632" s="817">
        <v>81.400000000000006</v>
      </c>
      <c r="Q632" s="817" t="s">
        <v>134</v>
      </c>
      <c r="R632" s="817" t="s">
        <v>134</v>
      </c>
      <c r="S632" s="817" t="s">
        <v>134</v>
      </c>
      <c r="T632" s="817" t="s">
        <v>233</v>
      </c>
      <c r="U632" s="817" t="s">
        <v>134</v>
      </c>
      <c r="V632" s="817" t="s">
        <v>134</v>
      </c>
      <c r="W632" s="838">
        <v>1050000</v>
      </c>
      <c r="X632" s="838">
        <v>14994</v>
      </c>
      <c r="Y632" s="838"/>
      <c r="Z632" s="817"/>
      <c r="AA632" s="817"/>
      <c r="AB632" s="817"/>
      <c r="AC632" s="817"/>
      <c r="AD632" s="817"/>
      <c r="AE632" s="817"/>
      <c r="AF632" s="838" t="s">
        <v>75</v>
      </c>
      <c r="AG632" s="838" t="s">
        <v>75</v>
      </c>
      <c r="AH632" s="817"/>
      <c r="AI632" s="817"/>
      <c r="AJ632" s="787">
        <f t="shared" si="37"/>
        <v>0</v>
      </c>
      <c r="AK632" s="838">
        <v>45131</v>
      </c>
      <c r="AL632" s="838">
        <v>54960</v>
      </c>
      <c r="AM632" s="838"/>
      <c r="AN632" s="838" t="s">
        <v>75</v>
      </c>
      <c r="AO632" s="838" t="s">
        <v>75</v>
      </c>
      <c r="AP632" s="838" t="s">
        <v>75</v>
      </c>
      <c r="AQ632" s="838" t="s">
        <v>75</v>
      </c>
      <c r="AR632" s="838" t="s">
        <v>75</v>
      </c>
      <c r="AS632" s="838" t="s">
        <v>136</v>
      </c>
      <c r="AT632" s="838" t="s">
        <v>135</v>
      </c>
      <c r="AU632" s="407" t="s">
        <v>117</v>
      </c>
    </row>
    <row r="633" spans="1:300" s="789" customFormat="1" ht="18.75" customHeight="1">
      <c r="A633" s="794">
        <v>631</v>
      </c>
      <c r="B633" s="847" t="s">
        <v>120</v>
      </c>
      <c r="C633" s="836" t="s">
        <v>1299</v>
      </c>
      <c r="D633" s="840">
        <v>38535</v>
      </c>
      <c r="E633" s="840">
        <v>38900</v>
      </c>
      <c r="F633" s="791">
        <v>2005</v>
      </c>
      <c r="G633" s="836" t="s">
        <v>116</v>
      </c>
      <c r="H633" s="841" t="s">
        <v>1452</v>
      </c>
      <c r="I633" s="836" t="s">
        <v>126</v>
      </c>
      <c r="J633" s="812" t="s">
        <v>2438</v>
      </c>
      <c r="K633" s="838"/>
      <c r="L633" s="838"/>
      <c r="M633" s="838"/>
      <c r="N633" s="838"/>
      <c r="O633" s="808"/>
      <c r="P633" s="817"/>
      <c r="Q633" s="817" t="s">
        <v>134</v>
      </c>
      <c r="R633" s="817" t="s">
        <v>134</v>
      </c>
      <c r="S633" s="817" t="s">
        <v>134</v>
      </c>
      <c r="T633" s="817" t="s">
        <v>233</v>
      </c>
      <c r="U633" s="817" t="s">
        <v>134</v>
      </c>
      <c r="V633" s="817" t="s">
        <v>134</v>
      </c>
      <c r="W633" s="838"/>
      <c r="X633" s="838"/>
      <c r="Y633" s="838"/>
      <c r="Z633" s="817"/>
      <c r="AA633" s="817"/>
      <c r="AB633" s="817"/>
      <c r="AC633" s="817"/>
      <c r="AD633" s="817"/>
      <c r="AE633" s="817"/>
      <c r="AF633" s="838"/>
      <c r="AG633" s="838"/>
      <c r="AH633" s="817"/>
      <c r="AI633" s="817"/>
      <c r="AJ633" s="787">
        <f t="shared" si="37"/>
        <v>0</v>
      </c>
      <c r="AK633" s="838"/>
      <c r="AL633" s="838"/>
      <c r="AM633" s="838"/>
      <c r="AN633" s="838"/>
      <c r="AO633" s="838"/>
      <c r="AP633" s="838"/>
      <c r="AQ633" s="838"/>
      <c r="AR633" s="838"/>
      <c r="AS633" s="838" t="s">
        <v>136</v>
      </c>
      <c r="AT633" s="838" t="s">
        <v>135</v>
      </c>
      <c r="AU633" s="407" t="s">
        <v>117</v>
      </c>
    </row>
    <row r="634" spans="1:300" s="789" customFormat="1" ht="18.75" customHeight="1">
      <c r="A634" s="794">
        <v>632</v>
      </c>
      <c r="B634" s="847" t="s">
        <v>118</v>
      </c>
      <c r="C634" s="836" t="s">
        <v>1299</v>
      </c>
      <c r="D634" s="840">
        <v>38536</v>
      </c>
      <c r="E634" s="840">
        <v>38901</v>
      </c>
      <c r="F634" s="791">
        <v>2005</v>
      </c>
      <c r="G634" s="836" t="s">
        <v>116</v>
      </c>
      <c r="H634" s="841" t="s">
        <v>1452</v>
      </c>
      <c r="I634" s="836" t="s">
        <v>126</v>
      </c>
      <c r="J634" s="812" t="s">
        <v>2438</v>
      </c>
      <c r="K634" s="838"/>
      <c r="L634" s="838"/>
      <c r="M634" s="838"/>
      <c r="N634" s="838"/>
      <c r="O634" s="808"/>
      <c r="P634" s="817"/>
      <c r="Q634" s="817" t="s">
        <v>134</v>
      </c>
      <c r="R634" s="817" t="s">
        <v>134</v>
      </c>
      <c r="S634" s="817" t="s">
        <v>134</v>
      </c>
      <c r="T634" s="817" t="s">
        <v>233</v>
      </c>
      <c r="U634" s="817" t="s">
        <v>134</v>
      </c>
      <c r="V634" s="817" t="s">
        <v>134</v>
      </c>
      <c r="W634" s="838"/>
      <c r="X634" s="838"/>
      <c r="Y634" s="838"/>
      <c r="Z634" s="817"/>
      <c r="AA634" s="817"/>
      <c r="AB634" s="817"/>
      <c r="AC634" s="817"/>
      <c r="AD634" s="817"/>
      <c r="AE634" s="817"/>
      <c r="AF634" s="838"/>
      <c r="AG634" s="838"/>
      <c r="AH634" s="817"/>
      <c r="AI634" s="817"/>
      <c r="AJ634" s="787">
        <f t="shared" si="37"/>
        <v>0</v>
      </c>
      <c r="AK634" s="838"/>
      <c r="AL634" s="838"/>
      <c r="AM634" s="838"/>
      <c r="AN634" s="838"/>
      <c r="AO634" s="838"/>
      <c r="AP634" s="838"/>
      <c r="AQ634" s="838"/>
      <c r="AR634" s="838"/>
      <c r="AS634" s="838" t="s">
        <v>136</v>
      </c>
      <c r="AT634" s="838" t="s">
        <v>135</v>
      </c>
      <c r="AU634" s="407" t="s">
        <v>117</v>
      </c>
    </row>
    <row r="635" spans="1:300" s="789" customFormat="1" ht="18" customHeight="1">
      <c r="A635" s="794">
        <v>633</v>
      </c>
      <c r="B635" s="847" t="s">
        <v>97</v>
      </c>
      <c r="C635" s="836" t="s">
        <v>1299</v>
      </c>
      <c r="D635" s="840">
        <v>38537</v>
      </c>
      <c r="E635" s="840">
        <v>38902</v>
      </c>
      <c r="F635" s="791">
        <v>2005</v>
      </c>
      <c r="G635" s="836" t="s">
        <v>116</v>
      </c>
      <c r="H635" s="841" t="s">
        <v>1452</v>
      </c>
      <c r="I635" s="836" t="s">
        <v>126</v>
      </c>
      <c r="J635" s="812" t="s">
        <v>2438</v>
      </c>
      <c r="K635" s="838"/>
      <c r="L635" s="838"/>
      <c r="M635" s="838"/>
      <c r="N635" s="838"/>
      <c r="O635" s="808"/>
      <c r="P635" s="817"/>
      <c r="Q635" s="817" t="s">
        <v>134</v>
      </c>
      <c r="R635" s="817" t="s">
        <v>134</v>
      </c>
      <c r="S635" s="817" t="s">
        <v>134</v>
      </c>
      <c r="T635" s="817" t="s">
        <v>2</v>
      </c>
      <c r="U635" s="817">
        <v>80</v>
      </c>
      <c r="V635" s="817" t="s">
        <v>134</v>
      </c>
      <c r="W635" s="838"/>
      <c r="X635" s="838"/>
      <c r="Y635" s="838"/>
      <c r="Z635" s="817"/>
      <c r="AA635" s="817">
        <v>18084</v>
      </c>
      <c r="AB635" s="817">
        <v>95</v>
      </c>
      <c r="AC635" s="817"/>
      <c r="AD635" s="817"/>
      <c r="AE635" s="817"/>
      <c r="AF635" s="838"/>
      <c r="AG635" s="838"/>
      <c r="AH635" s="817">
        <v>293056</v>
      </c>
      <c r="AI635" s="817">
        <v>2674</v>
      </c>
      <c r="AJ635" s="787">
        <f t="shared" si="37"/>
        <v>311140</v>
      </c>
      <c r="AK635" s="838"/>
      <c r="AL635" s="838"/>
      <c r="AM635" s="838"/>
      <c r="AN635" s="838"/>
      <c r="AO635" s="838"/>
      <c r="AP635" s="838"/>
      <c r="AQ635" s="838"/>
      <c r="AR635" s="838"/>
      <c r="AS635" s="838" t="s">
        <v>136</v>
      </c>
      <c r="AT635" s="838" t="s">
        <v>135</v>
      </c>
      <c r="AU635" s="407" t="s">
        <v>117</v>
      </c>
    </row>
    <row r="636" spans="1:300" s="789" customFormat="1" ht="18.75" customHeight="1">
      <c r="A636" s="794">
        <v>634</v>
      </c>
      <c r="B636" s="850" t="s">
        <v>545</v>
      </c>
      <c r="C636" s="785" t="s">
        <v>1286</v>
      </c>
      <c r="D636" s="792">
        <v>38534</v>
      </c>
      <c r="E636" s="792">
        <v>38626</v>
      </c>
      <c r="F636" s="791">
        <v>2005</v>
      </c>
      <c r="G636" s="785" t="s">
        <v>428</v>
      </c>
      <c r="H636" s="841" t="s">
        <v>1450</v>
      </c>
      <c r="I636" s="785" t="s">
        <v>424</v>
      </c>
      <c r="J636" s="812" t="s">
        <v>2438</v>
      </c>
      <c r="K636" s="842">
        <v>29000</v>
      </c>
      <c r="L636" s="842">
        <v>852612</v>
      </c>
      <c r="M636" s="842">
        <v>641271</v>
      </c>
      <c r="N636" s="842">
        <v>641271</v>
      </c>
      <c r="O636" s="808">
        <f t="shared" ref="O636:O652" si="40">N636/K636</f>
        <v>22.112793103448276</v>
      </c>
      <c r="P636" s="842">
        <v>75.2</v>
      </c>
      <c r="Q636" s="849">
        <v>15000</v>
      </c>
      <c r="R636" s="842"/>
      <c r="S636" s="842">
        <v>15000</v>
      </c>
      <c r="T636" s="842" t="s">
        <v>233</v>
      </c>
      <c r="U636" s="842" t="s">
        <v>75</v>
      </c>
      <c r="V636" s="842" t="s">
        <v>75</v>
      </c>
      <c r="W636" s="842" t="s">
        <v>66</v>
      </c>
      <c r="X636" s="842" t="s">
        <v>66</v>
      </c>
      <c r="Y636" s="808"/>
      <c r="Z636" s="842">
        <v>360</v>
      </c>
      <c r="AA636" s="842" t="s">
        <v>75</v>
      </c>
      <c r="AB636" s="842" t="s">
        <v>134</v>
      </c>
      <c r="AC636" s="842" t="s">
        <v>75</v>
      </c>
      <c r="AD636" s="842" t="s">
        <v>75</v>
      </c>
      <c r="AE636" s="842" t="s">
        <v>75</v>
      </c>
      <c r="AF636" s="842" t="s">
        <v>75</v>
      </c>
      <c r="AG636" s="842" t="s">
        <v>75</v>
      </c>
      <c r="AH636" s="842" t="s">
        <v>75</v>
      </c>
      <c r="AI636" s="842" t="s">
        <v>75</v>
      </c>
      <c r="AJ636" s="808">
        <f t="shared" si="37"/>
        <v>360</v>
      </c>
      <c r="AK636" s="842">
        <v>2690</v>
      </c>
      <c r="AL636" s="842">
        <v>2432</v>
      </c>
      <c r="AM636" s="842"/>
      <c r="AN636" s="842"/>
      <c r="AO636" s="842"/>
      <c r="AP636" s="842"/>
      <c r="AQ636" s="842"/>
      <c r="AR636" s="842"/>
      <c r="AS636" s="842" t="s">
        <v>75</v>
      </c>
      <c r="AT636" s="842" t="s">
        <v>75</v>
      </c>
      <c r="AU636" s="293" t="s">
        <v>423</v>
      </c>
      <c r="AV636" s="785"/>
      <c r="AW636" s="785"/>
      <c r="AX636" s="785"/>
      <c r="AY636" s="785"/>
      <c r="AZ636" s="785"/>
      <c r="BA636" s="785"/>
      <c r="BB636" s="785"/>
      <c r="BC636" s="785"/>
      <c r="BD636" s="785"/>
      <c r="BE636" s="785"/>
      <c r="BF636" s="785"/>
      <c r="BG636" s="785"/>
      <c r="BH636" s="785"/>
      <c r="BI636" s="785"/>
      <c r="BJ636" s="785"/>
      <c r="BK636" s="785"/>
      <c r="BL636" s="785"/>
      <c r="BM636" s="785"/>
    </row>
    <row r="637" spans="1:300" s="789" customFormat="1" ht="18.75" customHeight="1">
      <c r="A637" s="794">
        <v>635</v>
      </c>
      <c r="B637" s="785" t="s">
        <v>353</v>
      </c>
      <c r="C637" s="785" t="s">
        <v>1299</v>
      </c>
      <c r="D637" s="792">
        <v>38565</v>
      </c>
      <c r="E637" s="792">
        <v>38626</v>
      </c>
      <c r="F637" s="791">
        <v>2005</v>
      </c>
      <c r="G637" s="785" t="s">
        <v>5</v>
      </c>
      <c r="H637" s="841" t="s">
        <v>1451</v>
      </c>
      <c r="I637" s="785" t="s">
        <v>359</v>
      </c>
      <c r="J637" s="800" t="s">
        <v>2331</v>
      </c>
      <c r="K637" s="842">
        <v>4500</v>
      </c>
      <c r="L637" s="842">
        <v>0</v>
      </c>
      <c r="M637" s="842">
        <v>32720</v>
      </c>
      <c r="N637" s="842">
        <v>32720</v>
      </c>
      <c r="O637" s="808">
        <f t="shared" si="40"/>
        <v>7.2711111111111109</v>
      </c>
      <c r="P637" s="842" t="s">
        <v>66</v>
      </c>
      <c r="Q637" s="842">
        <f>800*5</f>
        <v>4000</v>
      </c>
      <c r="R637" s="842">
        <f>800*5</f>
        <v>4000</v>
      </c>
      <c r="S637" s="842">
        <f>800*5</f>
        <v>4000</v>
      </c>
      <c r="T637" s="842" t="s">
        <v>233</v>
      </c>
      <c r="U637" s="842">
        <v>45</v>
      </c>
      <c r="V637" s="842">
        <v>4500</v>
      </c>
      <c r="W637" s="842" t="s">
        <v>66</v>
      </c>
      <c r="X637" s="842" t="s">
        <v>66</v>
      </c>
      <c r="Y637" s="808"/>
      <c r="Z637" s="842" t="s">
        <v>75</v>
      </c>
      <c r="AA637" s="842" t="s">
        <v>134</v>
      </c>
      <c r="AB637" s="842">
        <v>65</v>
      </c>
      <c r="AC637" s="842">
        <v>20</v>
      </c>
      <c r="AD637" s="842" t="s">
        <v>75</v>
      </c>
      <c r="AE637" s="842" t="s">
        <v>75</v>
      </c>
      <c r="AF637" s="842" t="s">
        <v>75</v>
      </c>
      <c r="AG637" s="842" t="s">
        <v>75</v>
      </c>
      <c r="AH637" s="842" t="s">
        <v>75</v>
      </c>
      <c r="AI637" s="842" t="s">
        <v>75</v>
      </c>
      <c r="AJ637" s="808">
        <f t="shared" si="37"/>
        <v>0</v>
      </c>
      <c r="AK637" s="842">
        <v>0</v>
      </c>
      <c r="AL637" s="842">
        <v>127</v>
      </c>
      <c r="AM637" s="842"/>
      <c r="AN637" s="842" t="s">
        <v>75</v>
      </c>
      <c r="AO637" s="842" t="s">
        <v>75</v>
      </c>
      <c r="AP637" s="842" t="s">
        <v>75</v>
      </c>
      <c r="AQ637" s="842" t="s">
        <v>75</v>
      </c>
      <c r="AR637" s="842" t="s">
        <v>75</v>
      </c>
      <c r="AS637" s="842" t="s">
        <v>75</v>
      </c>
      <c r="AT637" s="842" t="s">
        <v>75</v>
      </c>
      <c r="AU637" s="293" t="s">
        <v>360</v>
      </c>
      <c r="AV637" s="785"/>
      <c r="AW637" s="785"/>
      <c r="AX637" s="785"/>
      <c r="AY637" s="785"/>
      <c r="AZ637" s="785"/>
      <c r="BA637" s="785"/>
      <c r="BB637" s="785"/>
      <c r="BC637" s="785"/>
      <c r="BD637" s="785"/>
      <c r="BE637" s="785"/>
      <c r="BF637" s="785"/>
      <c r="BG637" s="785"/>
      <c r="BH637" s="785"/>
      <c r="BI637" s="785"/>
      <c r="BJ637" s="785"/>
      <c r="BK637" s="785"/>
      <c r="BL637" s="785"/>
      <c r="BM637" s="785"/>
    </row>
    <row r="638" spans="1:300" s="802" customFormat="1" ht="18.75" customHeight="1">
      <c r="A638" s="794">
        <v>636</v>
      </c>
      <c r="B638" s="802" t="s">
        <v>121</v>
      </c>
      <c r="C638" s="802" t="s">
        <v>1261</v>
      </c>
      <c r="D638" s="805">
        <v>38412</v>
      </c>
      <c r="E638" s="805">
        <v>39203</v>
      </c>
      <c r="F638" s="791">
        <v>2005</v>
      </c>
      <c r="G638" s="804" t="s">
        <v>5</v>
      </c>
      <c r="H638" s="837" t="s">
        <v>1451</v>
      </c>
      <c r="I638" s="802" t="s">
        <v>217</v>
      </c>
      <c r="J638" s="812" t="s">
        <v>2438</v>
      </c>
      <c r="K638" s="817">
        <v>400000</v>
      </c>
      <c r="L638" s="839">
        <v>5501605</v>
      </c>
      <c r="M638" s="839">
        <v>2087125</v>
      </c>
      <c r="N638" s="817">
        <v>2087125</v>
      </c>
      <c r="O638" s="808">
        <f t="shared" si="40"/>
        <v>5.2178125</v>
      </c>
      <c r="P638" s="817">
        <v>34</v>
      </c>
      <c r="Q638" s="839" t="s">
        <v>75</v>
      </c>
      <c r="R638" s="839" t="s">
        <v>75</v>
      </c>
      <c r="S638" s="817" t="s">
        <v>75</v>
      </c>
      <c r="T638" s="817" t="s">
        <v>233</v>
      </c>
      <c r="U638" s="839" t="s">
        <v>75</v>
      </c>
      <c r="V638" s="817" t="s">
        <v>75</v>
      </c>
      <c r="W638" s="817">
        <v>99999</v>
      </c>
      <c r="X638" s="817">
        <v>33999.660000000003</v>
      </c>
      <c r="Y638" s="817"/>
      <c r="Z638" s="817" t="s">
        <v>2</v>
      </c>
      <c r="AA638" s="817" t="s">
        <v>134</v>
      </c>
      <c r="AB638" s="817" t="s">
        <v>134</v>
      </c>
      <c r="AC638" s="817" t="s">
        <v>75</v>
      </c>
      <c r="AD638" s="817" t="s">
        <v>75</v>
      </c>
      <c r="AE638" s="839">
        <v>6250</v>
      </c>
      <c r="AF638" s="839" t="s">
        <v>75</v>
      </c>
      <c r="AG638" s="839" t="s">
        <v>75</v>
      </c>
      <c r="AH638" s="817" t="s">
        <v>75</v>
      </c>
      <c r="AI638" s="839" t="s">
        <v>75</v>
      </c>
      <c r="AJ638" s="787">
        <f t="shared" si="37"/>
        <v>0</v>
      </c>
      <c r="AK638" s="817" t="s">
        <v>66</v>
      </c>
      <c r="AL638" s="817" t="s">
        <v>66</v>
      </c>
      <c r="AM638" s="839"/>
      <c r="AN638" s="817" t="s">
        <v>75</v>
      </c>
      <c r="AO638" s="817" t="s">
        <v>75</v>
      </c>
      <c r="AP638" s="817" t="s">
        <v>75</v>
      </c>
      <c r="AQ638" s="817" t="s">
        <v>75</v>
      </c>
      <c r="AR638" s="817" t="s">
        <v>75</v>
      </c>
      <c r="AS638" s="817" t="s">
        <v>75</v>
      </c>
      <c r="AT638" s="817" t="s">
        <v>75</v>
      </c>
      <c r="AU638" s="804" t="s">
        <v>218</v>
      </c>
      <c r="BM638" s="789"/>
      <c r="BN638" s="789"/>
      <c r="BO638" s="789"/>
      <c r="BP638" s="789"/>
      <c r="BQ638" s="789"/>
      <c r="BR638" s="789"/>
      <c r="BS638" s="789"/>
      <c r="BT638" s="789"/>
      <c r="BU638" s="789"/>
      <c r="BV638" s="789"/>
      <c r="BW638" s="789"/>
      <c r="BX638" s="789"/>
      <c r="BY638" s="789"/>
      <c r="BZ638" s="789"/>
      <c r="CA638" s="789"/>
      <c r="CB638" s="789"/>
      <c r="CC638" s="789"/>
      <c r="CD638" s="789"/>
      <c r="CE638" s="789"/>
      <c r="CF638" s="789"/>
      <c r="CG638" s="789"/>
      <c r="CH638" s="789"/>
      <c r="CI638" s="789"/>
      <c r="CJ638" s="789"/>
      <c r="CK638" s="789"/>
      <c r="CL638" s="789"/>
      <c r="CM638" s="789"/>
      <c r="CN638" s="789"/>
      <c r="CO638" s="789"/>
      <c r="CP638" s="789"/>
      <c r="CQ638" s="789"/>
      <c r="CR638" s="789"/>
      <c r="CS638" s="789"/>
      <c r="CT638" s="789"/>
      <c r="CU638" s="789"/>
      <c r="CV638" s="789"/>
      <c r="CW638" s="789"/>
      <c r="CX638" s="789"/>
      <c r="CY638" s="789"/>
      <c r="CZ638" s="789"/>
      <c r="DA638" s="789"/>
      <c r="DB638" s="789"/>
      <c r="DC638" s="789"/>
      <c r="DD638" s="789"/>
      <c r="DE638" s="789"/>
      <c r="DF638" s="789"/>
      <c r="DG638" s="789"/>
      <c r="DH638" s="789"/>
      <c r="DI638" s="789"/>
      <c r="DJ638" s="789"/>
      <c r="DK638" s="789"/>
      <c r="DL638" s="789"/>
      <c r="DM638" s="789"/>
      <c r="DN638" s="789"/>
      <c r="DO638" s="789"/>
      <c r="DP638" s="789"/>
      <c r="DQ638" s="789"/>
      <c r="DR638" s="789"/>
      <c r="DS638" s="789"/>
      <c r="DT638" s="789"/>
      <c r="DU638" s="789"/>
      <c r="DV638" s="789"/>
      <c r="DW638" s="789"/>
      <c r="DX638" s="789"/>
      <c r="DY638" s="789"/>
      <c r="DZ638" s="789"/>
      <c r="EA638" s="789"/>
      <c r="EB638" s="789"/>
      <c r="EC638" s="789"/>
      <c r="ED638" s="789"/>
      <c r="EE638" s="789"/>
      <c r="EF638" s="789"/>
      <c r="EG638" s="789"/>
      <c r="EH638" s="789"/>
      <c r="EI638" s="789"/>
      <c r="EJ638" s="789"/>
      <c r="EK638" s="789"/>
      <c r="EL638" s="789"/>
      <c r="EM638" s="789"/>
      <c r="EN638" s="789"/>
      <c r="EO638" s="789"/>
      <c r="EP638" s="789"/>
      <c r="EQ638" s="789"/>
      <c r="ER638" s="789"/>
      <c r="ES638" s="789"/>
      <c r="ET638" s="789"/>
      <c r="EU638" s="789"/>
      <c r="EV638" s="789"/>
      <c r="EW638" s="789"/>
      <c r="EX638" s="789"/>
      <c r="EY638" s="789"/>
      <c r="EZ638" s="789"/>
      <c r="FA638" s="789"/>
      <c r="FB638" s="789"/>
      <c r="FC638" s="789"/>
      <c r="FD638" s="789"/>
      <c r="FE638" s="789"/>
      <c r="FF638" s="789"/>
      <c r="FG638" s="789"/>
      <c r="FH638" s="789"/>
      <c r="FI638" s="789"/>
      <c r="FJ638" s="789"/>
      <c r="FK638" s="789"/>
      <c r="FL638" s="789"/>
      <c r="FM638" s="789"/>
      <c r="FN638" s="789"/>
      <c r="FO638" s="789"/>
      <c r="FP638" s="789"/>
      <c r="FQ638" s="789"/>
      <c r="FR638" s="789"/>
      <c r="FS638" s="789"/>
      <c r="FT638" s="789"/>
      <c r="FU638" s="789"/>
      <c r="FV638" s="789"/>
      <c r="FW638" s="789"/>
      <c r="FX638" s="789"/>
      <c r="FY638" s="789"/>
      <c r="FZ638" s="789"/>
      <c r="GA638" s="789"/>
      <c r="GB638" s="789"/>
      <c r="GC638" s="789"/>
      <c r="GD638" s="789"/>
      <c r="GE638" s="789"/>
      <c r="GF638" s="789"/>
      <c r="GG638" s="789"/>
      <c r="GH638" s="789"/>
      <c r="GI638" s="789"/>
      <c r="GJ638" s="789"/>
      <c r="GK638" s="789"/>
      <c r="GL638" s="789"/>
      <c r="GM638" s="789"/>
      <c r="GN638" s="789"/>
      <c r="GO638" s="789"/>
      <c r="GP638" s="789"/>
      <c r="GQ638" s="789"/>
      <c r="GR638" s="789"/>
      <c r="GS638" s="789"/>
      <c r="GT638" s="789"/>
      <c r="GU638" s="789"/>
      <c r="GV638" s="789"/>
      <c r="GW638" s="789"/>
      <c r="GX638" s="789"/>
      <c r="GY638" s="789"/>
      <c r="GZ638" s="789"/>
      <c r="HA638" s="789"/>
      <c r="HB638" s="789"/>
      <c r="HC638" s="789"/>
      <c r="HD638" s="789"/>
      <c r="HE638" s="789"/>
      <c r="HF638" s="789"/>
      <c r="HG638" s="789"/>
      <c r="HH638" s="789"/>
      <c r="HI638" s="789"/>
      <c r="HJ638" s="789"/>
      <c r="KN638" s="789"/>
    </row>
    <row r="639" spans="1:300" s="789" customFormat="1" ht="18.75" customHeight="1">
      <c r="A639" s="794">
        <v>637</v>
      </c>
      <c r="B639" s="836" t="s">
        <v>2050</v>
      </c>
      <c r="C639" s="789" t="s">
        <v>1286</v>
      </c>
      <c r="D639" s="840">
        <v>38626</v>
      </c>
      <c r="E639" s="840">
        <v>39052</v>
      </c>
      <c r="F639" s="791">
        <v>2005</v>
      </c>
      <c r="G639" s="836" t="s">
        <v>164</v>
      </c>
      <c r="H639" s="841" t="s">
        <v>1450</v>
      </c>
      <c r="I639" s="836" t="s">
        <v>163</v>
      </c>
      <c r="J639" s="812" t="s">
        <v>2438</v>
      </c>
      <c r="K639" s="838">
        <v>70000</v>
      </c>
      <c r="L639" s="838">
        <v>1918000</v>
      </c>
      <c r="M639" s="838">
        <v>1517222</v>
      </c>
      <c r="N639" s="838">
        <v>1483601</v>
      </c>
      <c r="O639" s="808">
        <f t="shared" si="40"/>
        <v>21.194299999999998</v>
      </c>
      <c r="P639" s="817">
        <f>(M639*100)/L639</f>
        <v>79.104379562043789</v>
      </c>
      <c r="Q639" s="848"/>
      <c r="R639" s="817">
        <f>100*20</f>
        <v>2000</v>
      </c>
      <c r="S639" s="817">
        <v>2000</v>
      </c>
      <c r="T639" s="817" t="s">
        <v>233</v>
      </c>
      <c r="U639" s="817" t="s">
        <v>75</v>
      </c>
      <c r="V639" s="817" t="s">
        <v>75</v>
      </c>
      <c r="W639" s="838" t="s">
        <v>66</v>
      </c>
      <c r="X639" s="838">
        <v>13542</v>
      </c>
      <c r="Y639" s="808">
        <f>X639/S639</f>
        <v>6.7709999999999999</v>
      </c>
      <c r="Z639" s="838"/>
      <c r="AA639" s="817"/>
      <c r="AB639" s="817"/>
      <c r="AC639" s="817"/>
      <c r="AD639" s="817"/>
      <c r="AE639" s="817"/>
      <c r="AF639" s="838"/>
      <c r="AG639" s="838"/>
      <c r="AH639" s="817"/>
      <c r="AI639" s="817"/>
      <c r="AJ639" s="808">
        <f t="shared" si="37"/>
        <v>0</v>
      </c>
      <c r="AK639" s="838" t="s">
        <v>66</v>
      </c>
      <c r="AL639" s="838">
        <v>90980</v>
      </c>
      <c r="AM639" s="817"/>
      <c r="AN639" s="838"/>
      <c r="AO639" s="838"/>
      <c r="AP639" s="838"/>
      <c r="AQ639" s="838"/>
      <c r="AR639" s="838"/>
      <c r="AS639" s="817" t="s">
        <v>187</v>
      </c>
      <c r="AT639" s="817" t="s">
        <v>205</v>
      </c>
      <c r="AU639" s="415" t="s">
        <v>165</v>
      </c>
    </row>
    <row r="640" spans="1:300" s="802" customFormat="1" ht="18.75" customHeight="1">
      <c r="A640" s="794">
        <v>638</v>
      </c>
      <c r="B640" s="785" t="s">
        <v>1180</v>
      </c>
      <c r="C640" s="796" t="s">
        <v>1261</v>
      </c>
      <c r="D640" s="792">
        <v>38534</v>
      </c>
      <c r="E640" s="799">
        <v>38808</v>
      </c>
      <c r="F640" s="791">
        <v>2005</v>
      </c>
      <c r="G640" s="796" t="s">
        <v>5</v>
      </c>
      <c r="H640" s="837" t="s">
        <v>1451</v>
      </c>
      <c r="I640" s="796" t="s">
        <v>409</v>
      </c>
      <c r="J640" s="800" t="s">
        <v>2331</v>
      </c>
      <c r="K640" s="842">
        <v>16093</v>
      </c>
      <c r="L640" s="843">
        <v>345000</v>
      </c>
      <c r="M640" s="843">
        <v>316117</v>
      </c>
      <c r="N640" s="843">
        <v>316117</v>
      </c>
      <c r="O640" s="808">
        <f t="shared" si="40"/>
        <v>19.643136767538682</v>
      </c>
      <c r="P640" s="843">
        <v>91.6</v>
      </c>
      <c r="Q640" s="843">
        <v>16093</v>
      </c>
      <c r="R640" s="843" t="s">
        <v>75</v>
      </c>
      <c r="S640" s="843">
        <v>16093</v>
      </c>
      <c r="T640" s="843" t="s">
        <v>233</v>
      </c>
      <c r="U640" s="843" t="s">
        <v>75</v>
      </c>
      <c r="V640" s="843" t="s">
        <v>75</v>
      </c>
      <c r="W640" s="842" t="s">
        <v>66</v>
      </c>
      <c r="X640" s="843" t="s">
        <v>66</v>
      </c>
      <c r="Y640" s="808"/>
      <c r="Z640" s="843" t="s">
        <v>75</v>
      </c>
      <c r="AA640" s="843" t="s">
        <v>75</v>
      </c>
      <c r="AB640" s="843" t="s">
        <v>75</v>
      </c>
      <c r="AC640" s="843" t="s">
        <v>75</v>
      </c>
      <c r="AD640" s="843" t="s">
        <v>75</v>
      </c>
      <c r="AE640" s="843" t="s">
        <v>75</v>
      </c>
      <c r="AF640" s="843" t="s">
        <v>75</v>
      </c>
      <c r="AG640" s="843" t="s">
        <v>75</v>
      </c>
      <c r="AH640" s="842" t="s">
        <v>75</v>
      </c>
      <c r="AI640" s="843" t="s">
        <v>75</v>
      </c>
      <c r="AJ640" s="787">
        <f t="shared" si="37"/>
        <v>0</v>
      </c>
      <c r="AK640" s="842" t="s">
        <v>66</v>
      </c>
      <c r="AL640" s="843" t="s">
        <v>66</v>
      </c>
      <c r="AM640" s="843"/>
      <c r="AN640" s="843" t="s">
        <v>75</v>
      </c>
      <c r="AO640" s="843" t="s">
        <v>75</v>
      </c>
      <c r="AP640" s="843" t="s">
        <v>75</v>
      </c>
      <c r="AQ640" s="843" t="s">
        <v>75</v>
      </c>
      <c r="AR640" s="843" t="s">
        <v>75</v>
      </c>
      <c r="AS640" s="843" t="s">
        <v>75</v>
      </c>
      <c r="AT640" s="843" t="s">
        <v>75</v>
      </c>
      <c r="AU640" s="403" t="s">
        <v>410</v>
      </c>
      <c r="AV640" s="796"/>
      <c r="AW640" s="796"/>
      <c r="AX640" s="796"/>
      <c r="AY640" s="796"/>
      <c r="AZ640" s="796"/>
      <c r="BA640" s="796"/>
      <c r="BB640" s="796"/>
      <c r="BC640" s="796"/>
      <c r="BD640" s="796"/>
      <c r="BE640" s="796"/>
      <c r="BF640" s="796"/>
      <c r="BG640" s="796"/>
      <c r="BH640" s="796"/>
      <c r="BI640" s="796"/>
      <c r="BJ640" s="796"/>
      <c r="BK640" s="796"/>
      <c r="BL640" s="796"/>
      <c r="BM640" s="785"/>
      <c r="BN640" s="789"/>
      <c r="BO640" s="789"/>
      <c r="BP640" s="789"/>
      <c r="BQ640" s="789"/>
      <c r="BR640" s="789"/>
      <c r="BS640" s="789"/>
      <c r="BT640" s="789"/>
      <c r="BU640" s="789"/>
      <c r="BV640" s="789"/>
      <c r="BW640" s="789"/>
      <c r="BX640" s="789"/>
      <c r="BY640" s="789"/>
      <c r="BZ640" s="789"/>
      <c r="CA640" s="789"/>
      <c r="CB640" s="789"/>
      <c r="CC640" s="789"/>
      <c r="CD640" s="789"/>
      <c r="CE640" s="789"/>
      <c r="CF640" s="789"/>
      <c r="CG640" s="789"/>
      <c r="CH640" s="789"/>
      <c r="CI640" s="789"/>
      <c r="CJ640" s="789"/>
      <c r="CK640" s="789"/>
      <c r="CL640" s="789"/>
      <c r="CM640" s="789"/>
      <c r="CN640" s="789"/>
      <c r="CO640" s="789"/>
      <c r="CP640" s="789"/>
      <c r="CQ640" s="789"/>
      <c r="CR640" s="789"/>
      <c r="CS640" s="789"/>
      <c r="CT640" s="789"/>
      <c r="CU640" s="789"/>
      <c r="CV640" s="789"/>
      <c r="CW640" s="789"/>
      <c r="CX640" s="789"/>
      <c r="CY640" s="789"/>
      <c r="CZ640" s="789"/>
      <c r="DA640" s="789"/>
      <c r="DB640" s="789"/>
      <c r="DC640" s="789"/>
      <c r="DD640" s="789"/>
      <c r="DE640" s="789"/>
      <c r="DF640" s="789"/>
      <c r="DG640" s="789"/>
      <c r="DH640" s="789"/>
      <c r="DI640" s="789"/>
      <c r="DJ640" s="789"/>
      <c r="DK640" s="789"/>
      <c r="DL640" s="789"/>
      <c r="DM640" s="789"/>
      <c r="DN640" s="789"/>
      <c r="DO640" s="789"/>
      <c r="DP640" s="789"/>
      <c r="DQ640" s="789"/>
      <c r="DR640" s="789"/>
      <c r="DS640" s="789"/>
      <c r="DT640" s="789"/>
      <c r="DU640" s="789"/>
      <c r="DV640" s="789"/>
      <c r="DW640" s="789"/>
      <c r="DX640" s="789"/>
      <c r="DY640" s="789"/>
      <c r="DZ640" s="789"/>
      <c r="EA640" s="789"/>
      <c r="EB640" s="789"/>
      <c r="EC640" s="789"/>
      <c r="ED640" s="789"/>
      <c r="EE640" s="789"/>
      <c r="EF640" s="789"/>
      <c r="EG640" s="789"/>
      <c r="EH640" s="789"/>
      <c r="EI640" s="789"/>
      <c r="EJ640" s="789"/>
      <c r="EK640" s="789"/>
      <c r="EL640" s="789"/>
      <c r="EM640" s="789"/>
      <c r="EN640" s="789"/>
      <c r="EO640" s="789"/>
      <c r="EP640" s="789"/>
      <c r="EQ640" s="789"/>
      <c r="ER640" s="789"/>
      <c r="ES640" s="789"/>
      <c r="ET640" s="789"/>
      <c r="EU640" s="789"/>
      <c r="EV640" s="789"/>
      <c r="EW640" s="789"/>
      <c r="EX640" s="789"/>
      <c r="EY640" s="789"/>
      <c r="EZ640" s="789"/>
      <c r="FA640" s="789"/>
      <c r="FB640" s="789"/>
      <c r="FC640" s="789"/>
      <c r="FD640" s="789"/>
      <c r="FE640" s="789"/>
      <c r="FF640" s="789"/>
      <c r="FG640" s="789"/>
      <c r="FH640" s="789"/>
      <c r="FI640" s="789"/>
      <c r="FJ640" s="789"/>
      <c r="FK640" s="789"/>
      <c r="FL640" s="789"/>
      <c r="FM640" s="789"/>
      <c r="FN640" s="789"/>
      <c r="FO640" s="789"/>
      <c r="FP640" s="789"/>
      <c r="FQ640" s="789"/>
      <c r="FR640" s="789"/>
      <c r="FS640" s="789"/>
      <c r="FT640" s="789"/>
      <c r="FU640" s="789"/>
      <c r="FV640" s="789"/>
      <c r="FW640" s="789"/>
      <c r="FX640" s="789"/>
      <c r="FY640" s="789"/>
      <c r="FZ640" s="789"/>
      <c r="GA640" s="789"/>
      <c r="GB640" s="789"/>
      <c r="GC640" s="789"/>
      <c r="GD640" s="789"/>
      <c r="GE640" s="789"/>
      <c r="GF640" s="789"/>
      <c r="GG640" s="789"/>
      <c r="GH640" s="789"/>
      <c r="GI640" s="789"/>
      <c r="GJ640" s="789"/>
      <c r="GK640" s="789"/>
      <c r="GL640" s="789"/>
      <c r="GM640" s="789"/>
      <c r="GN640" s="789"/>
      <c r="GO640" s="789"/>
      <c r="GP640" s="789"/>
      <c r="GQ640" s="789"/>
      <c r="GR640" s="789"/>
      <c r="GS640" s="789"/>
      <c r="GT640" s="789"/>
      <c r="GU640" s="789"/>
      <c r="GV640" s="789"/>
      <c r="GW640" s="789"/>
      <c r="GX640" s="789"/>
      <c r="GY640" s="789"/>
      <c r="GZ640" s="789"/>
      <c r="HA640" s="789"/>
      <c r="HB640" s="789"/>
      <c r="HC640" s="789"/>
      <c r="HD640" s="789"/>
      <c r="HE640" s="789"/>
      <c r="HF640" s="789"/>
      <c r="HG640" s="789"/>
      <c r="HH640" s="789"/>
      <c r="HI640" s="789"/>
      <c r="HJ640" s="789"/>
      <c r="KN640" s="789"/>
    </row>
    <row r="641" spans="1:300" s="802" customFormat="1" ht="18.75" customHeight="1">
      <c r="A641" s="794">
        <v>639</v>
      </c>
      <c r="B641" s="804" t="s">
        <v>270</v>
      </c>
      <c r="C641" s="804" t="s">
        <v>1299</v>
      </c>
      <c r="D641" s="805">
        <v>38384</v>
      </c>
      <c r="E641" s="805">
        <v>38565</v>
      </c>
      <c r="F641" s="791">
        <v>2005</v>
      </c>
      <c r="G641" s="804" t="s">
        <v>271</v>
      </c>
      <c r="H641" s="837" t="s">
        <v>1449</v>
      </c>
      <c r="I641" s="802" t="s">
        <v>281</v>
      </c>
      <c r="J641" s="812" t="s">
        <v>2438</v>
      </c>
      <c r="K641" s="817">
        <v>200000</v>
      </c>
      <c r="L641" s="839">
        <v>258000</v>
      </c>
      <c r="M641" s="839">
        <v>187229</v>
      </c>
      <c r="N641" s="817">
        <v>187229</v>
      </c>
      <c r="O641" s="808">
        <f t="shared" si="40"/>
        <v>0.936145</v>
      </c>
      <c r="P641" s="839">
        <f>(100*M641)/L641</f>
        <v>72.569379844961247</v>
      </c>
      <c r="Q641" s="839">
        <v>1503500</v>
      </c>
      <c r="R641" s="839">
        <v>160</v>
      </c>
      <c r="S641" s="817">
        <v>1503500</v>
      </c>
      <c r="T641" s="817" t="s">
        <v>267</v>
      </c>
      <c r="U641" s="839">
        <v>146</v>
      </c>
      <c r="V641" s="817">
        <v>250760</v>
      </c>
      <c r="W641" s="817">
        <v>57002</v>
      </c>
      <c r="X641" s="817">
        <v>37946</v>
      </c>
      <c r="Y641" s="808">
        <f>X641/S641</f>
        <v>2.5238443631526438E-2</v>
      </c>
      <c r="Z641" s="817" t="s">
        <v>75</v>
      </c>
      <c r="AA641" s="817" t="s">
        <v>134</v>
      </c>
      <c r="AB641" s="839">
        <v>496</v>
      </c>
      <c r="AC641" s="817" t="s">
        <v>134</v>
      </c>
      <c r="AD641" s="817"/>
      <c r="AE641" s="817" t="s">
        <v>75</v>
      </c>
      <c r="AF641" s="817" t="s">
        <v>75</v>
      </c>
      <c r="AG641" s="817" t="s">
        <v>75</v>
      </c>
      <c r="AH641" s="817" t="s">
        <v>134</v>
      </c>
      <c r="AI641" s="817" t="s">
        <v>75</v>
      </c>
      <c r="AJ641" s="787">
        <f t="shared" si="37"/>
        <v>0</v>
      </c>
      <c r="AK641" s="817">
        <v>13000</v>
      </c>
      <c r="AL641" s="817">
        <v>1374</v>
      </c>
      <c r="AM641" s="839"/>
      <c r="AN641" s="817" t="s">
        <v>75</v>
      </c>
      <c r="AO641" s="817" t="s">
        <v>75</v>
      </c>
      <c r="AP641" s="817" t="s">
        <v>75</v>
      </c>
      <c r="AQ641" s="817" t="s">
        <v>75</v>
      </c>
      <c r="AR641" s="817" t="s">
        <v>75</v>
      </c>
      <c r="AS641" s="817" t="s">
        <v>75</v>
      </c>
      <c r="AT641" s="817" t="s">
        <v>75</v>
      </c>
      <c r="AU641" s="404" t="s">
        <v>272</v>
      </c>
      <c r="BM641" s="789"/>
      <c r="BN641" s="789"/>
      <c r="BO641" s="789"/>
      <c r="BP641" s="789"/>
      <c r="BQ641" s="789"/>
      <c r="BR641" s="789"/>
      <c r="BS641" s="789"/>
      <c r="BT641" s="789"/>
      <c r="BU641" s="789"/>
      <c r="BV641" s="789"/>
      <c r="BW641" s="789"/>
      <c r="BX641" s="789"/>
      <c r="BY641" s="789"/>
      <c r="BZ641" s="789"/>
      <c r="CA641" s="789"/>
      <c r="CB641" s="789"/>
      <c r="CC641" s="789"/>
      <c r="CD641" s="789"/>
      <c r="CE641" s="789"/>
      <c r="CF641" s="789"/>
      <c r="CG641" s="789"/>
      <c r="CH641" s="789"/>
      <c r="CI641" s="789"/>
      <c r="CJ641" s="789"/>
      <c r="CK641" s="789"/>
      <c r="CL641" s="789"/>
      <c r="CM641" s="789"/>
      <c r="CN641" s="789"/>
      <c r="CO641" s="789"/>
      <c r="CP641" s="789"/>
      <c r="CQ641" s="789"/>
      <c r="CR641" s="789"/>
      <c r="CS641" s="789"/>
      <c r="CT641" s="789"/>
      <c r="CU641" s="789"/>
      <c r="CV641" s="789"/>
      <c r="CW641" s="789"/>
      <c r="CX641" s="789"/>
      <c r="CY641" s="789"/>
      <c r="CZ641" s="789"/>
      <c r="DA641" s="789"/>
      <c r="DB641" s="789"/>
      <c r="DC641" s="789"/>
      <c r="DD641" s="789"/>
      <c r="DE641" s="789"/>
      <c r="DF641" s="789"/>
      <c r="DG641" s="789"/>
      <c r="DH641" s="789"/>
      <c r="DI641" s="789"/>
      <c r="DJ641" s="789"/>
      <c r="DK641" s="789"/>
      <c r="DL641" s="789"/>
      <c r="DM641" s="789"/>
      <c r="DN641" s="789"/>
      <c r="DO641" s="789"/>
      <c r="DP641" s="789"/>
      <c r="DQ641" s="789"/>
      <c r="DR641" s="789"/>
      <c r="DS641" s="789"/>
      <c r="DT641" s="789"/>
      <c r="DU641" s="789"/>
      <c r="DV641" s="789"/>
      <c r="DW641" s="789"/>
      <c r="DX641" s="789"/>
      <c r="DY641" s="789"/>
      <c r="DZ641" s="789"/>
      <c r="EA641" s="789"/>
      <c r="EB641" s="789"/>
      <c r="EC641" s="789"/>
      <c r="ED641" s="789"/>
      <c r="EE641" s="789"/>
      <c r="EF641" s="789"/>
      <c r="EG641" s="789"/>
      <c r="EH641" s="789"/>
      <c r="EI641" s="789"/>
      <c r="EJ641" s="789"/>
      <c r="EK641" s="789"/>
      <c r="EL641" s="789"/>
      <c r="EM641" s="789"/>
      <c r="EN641" s="789"/>
      <c r="EO641" s="789"/>
      <c r="EP641" s="789"/>
      <c r="EQ641" s="789"/>
      <c r="ER641" s="789"/>
      <c r="ES641" s="789"/>
      <c r="ET641" s="789"/>
      <c r="EU641" s="789"/>
      <c r="EV641" s="789"/>
      <c r="EW641" s="789"/>
      <c r="EX641" s="789"/>
      <c r="EY641" s="789"/>
      <c r="EZ641" s="789"/>
      <c r="FA641" s="789"/>
      <c r="FB641" s="789"/>
      <c r="FC641" s="789"/>
      <c r="FD641" s="789"/>
      <c r="FE641" s="789"/>
      <c r="FF641" s="789"/>
      <c r="FG641" s="789"/>
      <c r="FH641" s="789"/>
      <c r="FI641" s="789"/>
      <c r="FJ641" s="789"/>
      <c r="FK641" s="789"/>
      <c r="FL641" s="789"/>
      <c r="FM641" s="789"/>
      <c r="FN641" s="789"/>
      <c r="FO641" s="789"/>
      <c r="FP641" s="789"/>
      <c r="FQ641" s="789"/>
      <c r="FR641" s="789"/>
      <c r="FS641" s="789"/>
      <c r="FT641" s="789"/>
      <c r="FU641" s="789"/>
      <c r="FV641" s="789"/>
      <c r="FW641" s="789"/>
      <c r="FX641" s="789"/>
      <c r="FY641" s="789"/>
      <c r="FZ641" s="789"/>
      <c r="GA641" s="789"/>
      <c r="GB641" s="789"/>
      <c r="GC641" s="789"/>
      <c r="GD641" s="789"/>
      <c r="GE641" s="789"/>
      <c r="GF641" s="789"/>
      <c r="GG641" s="789"/>
      <c r="GH641" s="789"/>
      <c r="GI641" s="789"/>
      <c r="GJ641" s="789"/>
      <c r="GK641" s="789"/>
      <c r="GL641" s="789"/>
      <c r="GM641" s="789"/>
      <c r="GN641" s="789"/>
      <c r="GO641" s="789"/>
      <c r="GP641" s="789"/>
      <c r="GQ641" s="789"/>
      <c r="GR641" s="789"/>
      <c r="GS641" s="789"/>
      <c r="GT641" s="789"/>
      <c r="GU641" s="789"/>
      <c r="GV641" s="789"/>
      <c r="GW641" s="789"/>
      <c r="GX641" s="789"/>
      <c r="GY641" s="789"/>
      <c r="GZ641" s="789"/>
      <c r="HA641" s="789"/>
      <c r="HB641" s="789"/>
      <c r="HC641" s="789"/>
      <c r="HD641" s="789"/>
      <c r="HE641" s="789"/>
      <c r="HF641" s="789"/>
      <c r="HG641" s="789"/>
      <c r="HH641" s="789"/>
      <c r="HI641" s="789"/>
      <c r="HJ641" s="789"/>
      <c r="KN641" s="789"/>
    </row>
    <row r="642" spans="1:300" s="802" customFormat="1" ht="18.75" customHeight="1">
      <c r="A642" s="794">
        <v>640</v>
      </c>
      <c r="B642" s="785" t="s">
        <v>1169</v>
      </c>
      <c r="C642" s="785" t="s">
        <v>1286</v>
      </c>
      <c r="D642" s="824">
        <v>38626</v>
      </c>
      <c r="E642" s="824">
        <v>39173</v>
      </c>
      <c r="F642" s="791">
        <v>2005</v>
      </c>
      <c r="G642" s="785" t="s">
        <v>2007</v>
      </c>
      <c r="H642" s="821" t="s">
        <v>2169</v>
      </c>
      <c r="I642" s="823" t="s">
        <v>2006</v>
      </c>
      <c r="J642" s="812" t="s">
        <v>2438</v>
      </c>
      <c r="K642" s="842">
        <v>21000</v>
      </c>
      <c r="L642" s="787">
        <v>1288326</v>
      </c>
      <c r="M642" s="787">
        <v>712630</v>
      </c>
      <c r="N642" s="787">
        <v>712630</v>
      </c>
      <c r="O642" s="808">
        <f t="shared" si="40"/>
        <v>33.934761904761906</v>
      </c>
      <c r="P642" s="787">
        <v>55.3</v>
      </c>
      <c r="Q642" s="787">
        <f>2500+1038+772+247+445</f>
        <v>5002</v>
      </c>
      <c r="R642" s="787"/>
      <c r="S642" s="787">
        <f>2500+1038+772+247+445</f>
        <v>5002</v>
      </c>
      <c r="T642" s="787"/>
      <c r="U642" s="787"/>
      <c r="V642" s="787">
        <v>5000</v>
      </c>
      <c r="W642" s="787">
        <v>100000</v>
      </c>
      <c r="X642" s="787">
        <v>174889</v>
      </c>
      <c r="Y642" s="808">
        <f>X642/S642</f>
        <v>34.963814474210317</v>
      </c>
      <c r="Z642" s="842" t="s">
        <v>134</v>
      </c>
      <c r="AA642" s="842" t="s">
        <v>134</v>
      </c>
      <c r="AB642" s="842" t="s">
        <v>134</v>
      </c>
      <c r="AC642" s="787"/>
      <c r="AD642" s="787"/>
      <c r="AE642" s="787"/>
      <c r="AF642" s="787"/>
      <c r="AG642" s="787"/>
      <c r="AH642" s="808">
        <v>10061</v>
      </c>
      <c r="AI642" s="787">
        <v>134</v>
      </c>
      <c r="AJ642" s="787">
        <f t="shared" si="37"/>
        <v>10061</v>
      </c>
      <c r="AK642" s="787">
        <v>70000</v>
      </c>
      <c r="AL642" s="787">
        <v>47214</v>
      </c>
      <c r="AM642" s="822"/>
      <c r="AN642" s="822"/>
      <c r="AO642" s="822"/>
      <c r="AP642" s="822"/>
      <c r="AQ642" s="822"/>
      <c r="AR642" s="822"/>
      <c r="AS642" s="822"/>
      <c r="AT642" s="822"/>
      <c r="AU642" s="821" t="s">
        <v>2005</v>
      </c>
      <c r="AV642" s="821"/>
      <c r="AW642" s="821"/>
      <c r="AX642" s="821"/>
      <c r="AY642" s="821"/>
      <c r="AZ642" s="821"/>
      <c r="BA642" s="821"/>
      <c r="BB642" s="821"/>
      <c r="BC642" s="821"/>
      <c r="BD642" s="821"/>
      <c r="BE642" s="821"/>
      <c r="BF642" s="821"/>
      <c r="BG642" s="821"/>
      <c r="BH642" s="821"/>
      <c r="BI642" s="821"/>
      <c r="BJ642" s="821"/>
      <c r="BK642" s="821"/>
      <c r="BL642" s="821"/>
      <c r="BM642" s="815"/>
      <c r="BN642" s="789"/>
      <c r="BO642" s="789"/>
      <c r="BP642" s="789"/>
      <c r="BQ642" s="789"/>
      <c r="BR642" s="789"/>
      <c r="BS642" s="789"/>
      <c r="BT642" s="789"/>
      <c r="BU642" s="789"/>
      <c r="BV642" s="789"/>
      <c r="BW642" s="789"/>
      <c r="BX642" s="789"/>
      <c r="BY642" s="789"/>
      <c r="BZ642" s="789"/>
      <c r="CA642" s="789"/>
      <c r="CB642" s="789"/>
      <c r="CC642" s="789"/>
      <c r="CD642" s="789"/>
      <c r="CE642" s="789"/>
      <c r="CF642" s="789"/>
      <c r="CG642" s="789"/>
      <c r="CH642" s="789"/>
      <c r="CI642" s="789"/>
      <c r="CJ642" s="789"/>
      <c r="CK642" s="789"/>
      <c r="CL642" s="789"/>
      <c r="CM642" s="789"/>
      <c r="CN642" s="789"/>
      <c r="CO642" s="789"/>
      <c r="CP642" s="789"/>
      <c r="CQ642" s="789"/>
      <c r="CR642" s="789"/>
      <c r="CS642" s="789"/>
      <c r="CT642" s="789"/>
      <c r="CU642" s="789"/>
      <c r="CV642" s="789"/>
      <c r="CW642" s="789"/>
      <c r="CX642" s="789"/>
      <c r="CY642" s="789"/>
      <c r="CZ642" s="789"/>
      <c r="DA642" s="789"/>
      <c r="DB642" s="789"/>
      <c r="DC642" s="789"/>
      <c r="DD642" s="789"/>
      <c r="DE642" s="789"/>
      <c r="DF642" s="789"/>
      <c r="DG642" s="789"/>
      <c r="DH642" s="789"/>
      <c r="DI642" s="789"/>
      <c r="DJ642" s="789"/>
      <c r="DK642" s="789"/>
      <c r="DL642" s="789"/>
      <c r="DM642" s="789"/>
      <c r="DN642" s="789"/>
      <c r="DO642" s="789"/>
      <c r="DP642" s="789"/>
      <c r="DQ642" s="789"/>
      <c r="DR642" s="789"/>
      <c r="DS642" s="789"/>
      <c r="DT642" s="789"/>
      <c r="DU642" s="789"/>
      <c r="DV642" s="789"/>
      <c r="DW642" s="789"/>
      <c r="DX642" s="789"/>
      <c r="DY642" s="789"/>
      <c r="DZ642" s="789"/>
      <c r="EA642" s="789"/>
      <c r="EB642" s="789"/>
      <c r="EC642" s="789"/>
      <c r="ED642" s="789"/>
      <c r="EE642" s="789"/>
      <c r="EF642" s="789"/>
      <c r="EG642" s="789"/>
      <c r="EH642" s="789"/>
      <c r="EI642" s="789"/>
      <c r="EJ642" s="789"/>
      <c r="EK642" s="789"/>
      <c r="EL642" s="789"/>
      <c r="EM642" s="789"/>
      <c r="EN642" s="789"/>
      <c r="EO642" s="789"/>
      <c r="EP642" s="789"/>
      <c r="EQ642" s="789"/>
      <c r="ER642" s="789"/>
      <c r="ES642" s="789"/>
      <c r="ET642" s="789"/>
      <c r="EU642" s="789"/>
      <c r="EV642" s="789"/>
      <c r="EW642" s="789"/>
      <c r="EX642" s="789"/>
      <c r="EY642" s="789"/>
      <c r="EZ642" s="789"/>
      <c r="FA642" s="789"/>
      <c r="FB642" s="789"/>
      <c r="FC642" s="789"/>
      <c r="FD642" s="789"/>
      <c r="FE642" s="789"/>
      <c r="FF642" s="789"/>
      <c r="FG642" s="789"/>
      <c r="FH642" s="789"/>
      <c r="FI642" s="789"/>
      <c r="FJ642" s="789"/>
      <c r="FK642" s="789"/>
      <c r="FL642" s="789"/>
      <c r="FM642" s="789"/>
      <c r="FN642" s="789"/>
      <c r="FO642" s="789"/>
      <c r="FP642" s="789"/>
      <c r="FQ642" s="789"/>
      <c r="FR642" s="789"/>
      <c r="FS642" s="789"/>
      <c r="FT642" s="789"/>
      <c r="FU642" s="789"/>
      <c r="FV642" s="789"/>
      <c r="FW642" s="789"/>
      <c r="FX642" s="789"/>
      <c r="FY642" s="789"/>
      <c r="FZ642" s="789"/>
      <c r="GA642" s="789"/>
      <c r="GB642" s="789"/>
      <c r="GC642" s="789"/>
      <c r="GD642" s="789"/>
      <c r="GE642" s="789"/>
      <c r="GF642" s="789"/>
      <c r="GG642" s="789"/>
      <c r="GH642" s="789"/>
      <c r="GI642" s="789"/>
      <c r="GJ642" s="789"/>
      <c r="GK642" s="789"/>
      <c r="GL642" s="789"/>
      <c r="GM642" s="789"/>
      <c r="GN642" s="789"/>
      <c r="GO642" s="789"/>
      <c r="GP642" s="789"/>
      <c r="GQ642" s="789"/>
      <c r="GR642" s="789"/>
      <c r="GS642" s="789"/>
      <c r="GT642" s="789"/>
      <c r="GU642" s="789"/>
      <c r="GV642" s="789"/>
      <c r="GW642" s="789"/>
      <c r="GX642" s="789"/>
      <c r="GY642" s="789"/>
      <c r="GZ642" s="789"/>
      <c r="HA642" s="789"/>
      <c r="HB642" s="789"/>
      <c r="HC642" s="789"/>
      <c r="HD642" s="789"/>
      <c r="HE642" s="789"/>
      <c r="HF642" s="789"/>
      <c r="HG642" s="789"/>
      <c r="HH642" s="789"/>
      <c r="HI642" s="789"/>
      <c r="HJ642" s="789"/>
      <c r="KN642" s="789"/>
    </row>
    <row r="643" spans="1:300" s="802" customFormat="1" ht="18.75" customHeight="1">
      <c r="A643" s="794">
        <v>641</v>
      </c>
      <c r="B643" s="785" t="s">
        <v>1998</v>
      </c>
      <c r="C643" s="785" t="s">
        <v>1299</v>
      </c>
      <c r="D643" s="824">
        <v>38353</v>
      </c>
      <c r="E643" s="824">
        <v>38991</v>
      </c>
      <c r="F643" s="791">
        <v>2005</v>
      </c>
      <c r="G643" s="785" t="s">
        <v>79</v>
      </c>
      <c r="H643" s="821" t="s">
        <v>1453</v>
      </c>
      <c r="I643" s="821" t="s">
        <v>2001</v>
      </c>
      <c r="J643" s="812" t="s">
        <v>2438</v>
      </c>
      <c r="K643" s="842">
        <v>40000</v>
      </c>
      <c r="L643" s="787">
        <v>5210000</v>
      </c>
      <c r="M643" s="787">
        <v>2733119</v>
      </c>
      <c r="N643" s="787">
        <v>2733119</v>
      </c>
      <c r="O643" s="808">
        <f t="shared" si="40"/>
        <v>68.327974999999995</v>
      </c>
      <c r="P643" s="817">
        <f>(100*M643)/L643</f>
        <v>52.459097888675622</v>
      </c>
      <c r="Q643" s="842">
        <f>16150+4200</f>
        <v>20350</v>
      </c>
      <c r="R643" s="787"/>
      <c r="S643" s="842">
        <f>16150+4200</f>
        <v>20350</v>
      </c>
      <c r="T643" s="787"/>
      <c r="U643" s="787"/>
      <c r="V643" s="787"/>
      <c r="W643" s="787">
        <v>157000</v>
      </c>
      <c r="X643" s="787">
        <v>46674</v>
      </c>
      <c r="Y643" s="808">
        <f>X643/S643</f>
        <v>2.2935626535626534</v>
      </c>
      <c r="Z643" s="787"/>
      <c r="AA643" s="787"/>
      <c r="AB643" s="787"/>
      <c r="AC643" s="787">
        <v>80</v>
      </c>
      <c r="AD643" s="787"/>
      <c r="AE643" s="787"/>
      <c r="AF643" s="787"/>
      <c r="AG643" s="787"/>
      <c r="AH643" s="808"/>
      <c r="AI643" s="787"/>
      <c r="AJ643" s="787">
        <f t="shared" si="37"/>
        <v>0</v>
      </c>
      <c r="AK643" s="787"/>
      <c r="AL643" s="787">
        <v>11159</v>
      </c>
      <c r="AM643" s="822"/>
      <c r="AN643" s="822"/>
      <c r="AO643" s="822"/>
      <c r="AP643" s="822"/>
      <c r="AQ643" s="822"/>
      <c r="AR643" s="822"/>
      <c r="AS643" s="822"/>
      <c r="AT643" s="822"/>
      <c r="AU643" s="821" t="s">
        <v>2000</v>
      </c>
      <c r="AV643" s="821"/>
      <c r="AW643" s="821"/>
      <c r="AX643" s="821"/>
      <c r="AY643" s="821"/>
      <c r="AZ643" s="821"/>
      <c r="BA643" s="821"/>
      <c r="BB643" s="821"/>
      <c r="BC643" s="821"/>
      <c r="BD643" s="821"/>
      <c r="BE643" s="821"/>
      <c r="BF643" s="821"/>
      <c r="BG643" s="821"/>
      <c r="BH643" s="821"/>
      <c r="BI643" s="821"/>
      <c r="BJ643" s="821"/>
      <c r="BK643" s="821"/>
      <c r="BL643" s="821"/>
      <c r="BM643" s="815"/>
      <c r="BN643" s="789"/>
      <c r="BO643" s="789"/>
      <c r="BP643" s="789"/>
      <c r="BQ643" s="789"/>
      <c r="BR643" s="789"/>
      <c r="BS643" s="789"/>
      <c r="BT643" s="789"/>
      <c r="BU643" s="789"/>
      <c r="BV643" s="789"/>
      <c r="BW643" s="789"/>
      <c r="BX643" s="789"/>
      <c r="BY643" s="789"/>
      <c r="BZ643" s="789"/>
      <c r="CA643" s="789"/>
      <c r="CB643" s="789"/>
      <c r="CC643" s="789"/>
      <c r="CD643" s="789"/>
      <c r="CE643" s="789"/>
      <c r="CF643" s="789"/>
      <c r="CG643" s="789"/>
      <c r="CH643" s="789"/>
      <c r="CI643" s="789"/>
      <c r="CJ643" s="789"/>
      <c r="CK643" s="789"/>
      <c r="CL643" s="789"/>
      <c r="CM643" s="789"/>
      <c r="CN643" s="789"/>
      <c r="CO643" s="789"/>
      <c r="CP643" s="789"/>
      <c r="CQ643" s="789"/>
      <c r="CR643" s="789"/>
      <c r="CS643" s="789"/>
      <c r="CT643" s="789"/>
      <c r="CU643" s="789"/>
      <c r="CV643" s="789"/>
      <c r="CW643" s="789"/>
      <c r="CX643" s="789"/>
      <c r="CY643" s="789"/>
      <c r="CZ643" s="789"/>
      <c r="DA643" s="789"/>
      <c r="DB643" s="789"/>
      <c r="DC643" s="789"/>
      <c r="DD643" s="789"/>
      <c r="DE643" s="789"/>
      <c r="DF643" s="789"/>
      <c r="DG643" s="789"/>
      <c r="DH643" s="789"/>
      <c r="DI643" s="789"/>
      <c r="DJ643" s="789"/>
      <c r="DK643" s="789"/>
      <c r="DL643" s="789"/>
      <c r="DM643" s="789"/>
      <c r="DN643" s="789"/>
      <c r="DO643" s="789"/>
      <c r="DP643" s="789"/>
      <c r="DQ643" s="789"/>
      <c r="DR643" s="789"/>
      <c r="DS643" s="789"/>
      <c r="DT643" s="789"/>
      <c r="DU643" s="789"/>
      <c r="DV643" s="789"/>
      <c r="DW643" s="789"/>
      <c r="DX643" s="789"/>
      <c r="DY643" s="789"/>
      <c r="DZ643" s="789"/>
      <c r="EA643" s="789"/>
      <c r="EB643" s="789"/>
      <c r="EC643" s="789"/>
      <c r="ED643" s="789"/>
      <c r="EE643" s="789"/>
      <c r="EF643" s="789"/>
      <c r="EG643" s="789"/>
      <c r="EH643" s="789"/>
      <c r="EI643" s="789"/>
      <c r="EJ643" s="789"/>
      <c r="EK643" s="789"/>
      <c r="EL643" s="789"/>
      <c r="EM643" s="789"/>
      <c r="EN643" s="789"/>
      <c r="EO643" s="789"/>
      <c r="EP643" s="789"/>
      <c r="EQ643" s="789"/>
      <c r="ER643" s="789"/>
      <c r="ES643" s="789"/>
      <c r="ET643" s="789"/>
      <c r="EU643" s="789"/>
      <c r="EV643" s="789"/>
      <c r="EW643" s="789"/>
      <c r="EX643" s="789"/>
      <c r="EY643" s="789"/>
      <c r="EZ643" s="789"/>
      <c r="FA643" s="789"/>
      <c r="FB643" s="789"/>
      <c r="FC643" s="789"/>
      <c r="FD643" s="789"/>
      <c r="FE643" s="789"/>
      <c r="FF643" s="789"/>
      <c r="FG643" s="789"/>
      <c r="FH643" s="789"/>
      <c r="FI643" s="789"/>
      <c r="FJ643" s="789"/>
      <c r="FK643" s="789"/>
      <c r="FL643" s="789"/>
      <c r="FM643" s="789"/>
      <c r="FN643" s="789"/>
      <c r="FO643" s="789"/>
      <c r="FP643" s="789"/>
      <c r="FQ643" s="789"/>
      <c r="FR643" s="789"/>
      <c r="FS643" s="789"/>
      <c r="FT643" s="789"/>
      <c r="FU643" s="789"/>
      <c r="FV643" s="789"/>
      <c r="FW643" s="789"/>
      <c r="FX643" s="789"/>
      <c r="FY643" s="789"/>
      <c r="FZ643" s="789"/>
      <c r="GA643" s="789"/>
      <c r="GB643" s="789"/>
      <c r="GC643" s="789"/>
      <c r="GD643" s="789"/>
      <c r="GE643" s="789"/>
      <c r="GF643" s="789"/>
      <c r="GG643" s="789"/>
      <c r="GH643" s="789"/>
      <c r="GI643" s="789"/>
      <c r="GJ643" s="789"/>
      <c r="GK643" s="789"/>
      <c r="GL643" s="789"/>
      <c r="GM643" s="789"/>
      <c r="GN643" s="789"/>
      <c r="GO643" s="789"/>
      <c r="GP643" s="789"/>
      <c r="GQ643" s="789"/>
      <c r="GR643" s="789"/>
      <c r="GS643" s="789"/>
      <c r="GT643" s="789"/>
      <c r="GU643" s="789"/>
      <c r="GV643" s="789"/>
      <c r="GW643" s="789"/>
      <c r="GX643" s="789"/>
      <c r="GY643" s="789"/>
      <c r="GZ643" s="789"/>
      <c r="HA643" s="789"/>
      <c r="HB643" s="789"/>
      <c r="HC643" s="789"/>
      <c r="HD643" s="789"/>
      <c r="HE643" s="789"/>
      <c r="HF643" s="789"/>
      <c r="HG643" s="789"/>
      <c r="HH643" s="789"/>
      <c r="HI643" s="789"/>
      <c r="HJ643" s="789"/>
      <c r="KN643" s="789"/>
    </row>
    <row r="644" spans="1:300" s="789" customFormat="1" ht="18.75" customHeight="1">
      <c r="A644" s="794">
        <v>642</v>
      </c>
      <c r="B644" s="789" t="s">
        <v>607</v>
      </c>
      <c r="C644" s="836" t="s">
        <v>1299</v>
      </c>
      <c r="D644" s="840">
        <v>38504</v>
      </c>
      <c r="E644" s="840">
        <v>39661</v>
      </c>
      <c r="F644" s="791">
        <v>2005</v>
      </c>
      <c r="G644" s="789" t="s">
        <v>5</v>
      </c>
      <c r="H644" s="841" t="s">
        <v>1451</v>
      </c>
      <c r="I644" s="789" t="s">
        <v>807</v>
      </c>
      <c r="J644" s="812" t="s">
        <v>2438</v>
      </c>
      <c r="K644" s="817">
        <v>43000</v>
      </c>
      <c r="L644" s="817">
        <v>735000</v>
      </c>
      <c r="M644" s="817">
        <v>405362</v>
      </c>
      <c r="N644" s="817">
        <v>405362</v>
      </c>
      <c r="O644" s="808">
        <f t="shared" si="40"/>
        <v>9.4270232558139533</v>
      </c>
      <c r="P644" s="817">
        <f>(100*M644)/L644</f>
        <v>55.151292517006802</v>
      </c>
      <c r="Q644" s="817">
        <v>11285</v>
      </c>
      <c r="R644" s="817">
        <v>11285</v>
      </c>
      <c r="S644" s="817">
        <v>11285</v>
      </c>
      <c r="T644" s="817" t="s">
        <v>2</v>
      </c>
      <c r="U644" s="817" t="s">
        <v>339</v>
      </c>
      <c r="V644" s="817">
        <v>13000</v>
      </c>
      <c r="W644" s="817">
        <v>35000</v>
      </c>
      <c r="X644" s="817">
        <v>19250</v>
      </c>
      <c r="Y644" s="808">
        <f>X644/S644</f>
        <v>1.7058041648205582</v>
      </c>
      <c r="Z644" s="817" t="s">
        <v>75</v>
      </c>
      <c r="AA644" s="817">
        <v>13000</v>
      </c>
      <c r="AB644" s="817">
        <v>69</v>
      </c>
      <c r="AC644" s="817" t="s">
        <v>75</v>
      </c>
      <c r="AD644" s="817" t="s">
        <v>75</v>
      </c>
      <c r="AE644" s="817">
        <v>8000</v>
      </c>
      <c r="AF644" s="817" t="s">
        <v>75</v>
      </c>
      <c r="AG644" s="817" t="s">
        <v>75</v>
      </c>
      <c r="AH644" s="817" t="s">
        <v>75</v>
      </c>
      <c r="AI644" s="817" t="s">
        <v>75</v>
      </c>
      <c r="AJ644" s="808">
        <f t="shared" si="37"/>
        <v>13000</v>
      </c>
      <c r="AK644" s="817">
        <v>22000</v>
      </c>
      <c r="AL644" s="817">
        <v>12100.000000000002</v>
      </c>
      <c r="AM644" s="817"/>
      <c r="AN644" s="817" t="s">
        <v>75</v>
      </c>
      <c r="AO644" s="817" t="s">
        <v>75</v>
      </c>
      <c r="AP644" s="817" t="s">
        <v>75</v>
      </c>
      <c r="AQ644" s="817" t="s">
        <v>75</v>
      </c>
      <c r="AR644" s="817" t="s">
        <v>75</v>
      </c>
      <c r="AS644" s="817" t="s">
        <v>75</v>
      </c>
      <c r="AT644" s="817" t="s">
        <v>75</v>
      </c>
      <c r="AU644" s="356" t="s">
        <v>2295</v>
      </c>
      <c r="AV644" s="845"/>
      <c r="AW644" s="845"/>
      <c r="AX644" s="845"/>
      <c r="AY644" s="845"/>
      <c r="AZ644" s="845"/>
      <c r="BA644" s="845"/>
      <c r="BB644" s="845"/>
      <c r="BC644" s="845"/>
      <c r="BD644" s="845"/>
      <c r="BE644" s="845"/>
      <c r="BF644" s="845"/>
      <c r="BG644" s="845"/>
      <c r="BH644" s="845"/>
      <c r="BI644" s="845"/>
      <c r="BJ644" s="845"/>
      <c r="BK644" s="845"/>
      <c r="BL644" s="845"/>
      <c r="BM644" s="845"/>
    </row>
    <row r="645" spans="1:300" s="802" customFormat="1" ht="18.75" customHeight="1">
      <c r="A645" s="794">
        <v>643</v>
      </c>
      <c r="B645" s="812" t="s">
        <v>4</v>
      </c>
      <c r="C645" s="796" t="s">
        <v>1260</v>
      </c>
      <c r="D645" s="799">
        <v>38473</v>
      </c>
      <c r="E645" s="799">
        <v>38777</v>
      </c>
      <c r="F645" s="791">
        <v>2005</v>
      </c>
      <c r="G645" s="796" t="s">
        <v>5</v>
      </c>
      <c r="H645" s="837" t="s">
        <v>1451</v>
      </c>
      <c r="I645" s="796" t="s">
        <v>408</v>
      </c>
      <c r="J645" s="812" t="s">
        <v>2438</v>
      </c>
      <c r="K645" s="842">
        <v>16000</v>
      </c>
      <c r="L645" s="843">
        <v>403725</v>
      </c>
      <c r="M645" s="843">
        <v>344894</v>
      </c>
      <c r="N645" s="843">
        <v>344894</v>
      </c>
      <c r="O645" s="808">
        <f t="shared" si="40"/>
        <v>21.555875</v>
      </c>
      <c r="P645" s="817">
        <f>(100*M645)/L645</f>
        <v>85.427952195182371</v>
      </c>
      <c r="Q645" s="843">
        <v>3300</v>
      </c>
      <c r="R645" s="843" t="s">
        <v>75</v>
      </c>
      <c r="S645" s="843">
        <v>3300</v>
      </c>
      <c r="T645" s="843" t="s">
        <v>233</v>
      </c>
      <c r="U645" s="843">
        <v>20</v>
      </c>
      <c r="V645" s="843" t="s">
        <v>75</v>
      </c>
      <c r="W645" s="842">
        <v>0</v>
      </c>
      <c r="X645" s="843">
        <v>129768</v>
      </c>
      <c r="Y645" s="808">
        <f>X645/S645</f>
        <v>39.323636363636361</v>
      </c>
      <c r="Z645" s="843" t="s">
        <v>75</v>
      </c>
      <c r="AA645" s="843" t="s">
        <v>134</v>
      </c>
      <c r="AB645" s="843">
        <v>20</v>
      </c>
      <c r="AC645" s="843" t="s">
        <v>134</v>
      </c>
      <c r="AD645" s="843" t="s">
        <v>134</v>
      </c>
      <c r="AE645" s="843" t="s">
        <v>75</v>
      </c>
      <c r="AF645" s="843" t="s">
        <v>75</v>
      </c>
      <c r="AG645" s="843" t="s">
        <v>75</v>
      </c>
      <c r="AH645" s="842" t="s">
        <v>75</v>
      </c>
      <c r="AI645" s="843" t="s">
        <v>75</v>
      </c>
      <c r="AJ645" s="787">
        <f t="shared" si="37"/>
        <v>0</v>
      </c>
      <c r="AK645" s="842">
        <v>4299</v>
      </c>
      <c r="AL645" s="843">
        <v>4299</v>
      </c>
      <c r="AM645" s="843"/>
      <c r="AN645" s="843" t="s">
        <v>75</v>
      </c>
      <c r="AO645" s="843" t="s">
        <v>75</v>
      </c>
      <c r="AP645" s="843" t="s">
        <v>75</v>
      </c>
      <c r="AQ645" s="843" t="s">
        <v>75</v>
      </c>
      <c r="AR645" s="843" t="s">
        <v>75</v>
      </c>
      <c r="AS645" s="843" t="s">
        <v>75</v>
      </c>
      <c r="AT645" s="843" t="s">
        <v>75</v>
      </c>
      <c r="AU645" s="796" t="s">
        <v>407</v>
      </c>
      <c r="AV645" s="796"/>
      <c r="AW645" s="796"/>
      <c r="AX645" s="796"/>
      <c r="AY645" s="796"/>
      <c r="AZ645" s="796"/>
      <c r="BA645" s="796"/>
      <c r="BB645" s="796"/>
      <c r="BC645" s="796"/>
      <c r="BD645" s="796"/>
      <c r="BE645" s="796"/>
      <c r="BF645" s="796"/>
      <c r="BG645" s="796"/>
      <c r="BH645" s="796"/>
      <c r="BI645" s="796"/>
      <c r="BJ645" s="796"/>
      <c r="BK645" s="796"/>
      <c r="BL645" s="796"/>
      <c r="BM645" s="785"/>
      <c r="BN645" s="789"/>
      <c r="BO645" s="789"/>
      <c r="BP645" s="789"/>
      <c r="BQ645" s="789"/>
      <c r="BR645" s="789"/>
      <c r="BS645" s="789"/>
      <c r="BT645" s="789"/>
      <c r="BU645" s="789"/>
      <c r="BV645" s="789"/>
      <c r="BW645" s="789"/>
      <c r="BX645" s="789"/>
      <c r="BY645" s="789"/>
      <c r="BZ645" s="789"/>
      <c r="CA645" s="789"/>
      <c r="CB645" s="789"/>
      <c r="CC645" s="789"/>
      <c r="CD645" s="789"/>
      <c r="CE645" s="789"/>
      <c r="CF645" s="789"/>
      <c r="CG645" s="789"/>
      <c r="CH645" s="789"/>
      <c r="CI645" s="789"/>
      <c r="CJ645" s="789"/>
      <c r="CK645" s="789"/>
      <c r="CL645" s="789"/>
      <c r="CM645" s="789"/>
      <c r="CN645" s="789"/>
      <c r="CO645" s="789"/>
      <c r="CP645" s="789"/>
      <c r="CQ645" s="789"/>
      <c r="CR645" s="789"/>
      <c r="CS645" s="789"/>
      <c r="CT645" s="789"/>
      <c r="CU645" s="789"/>
      <c r="CV645" s="789"/>
      <c r="CW645" s="789"/>
      <c r="CX645" s="789"/>
      <c r="CY645" s="789"/>
      <c r="CZ645" s="789"/>
      <c r="DA645" s="789"/>
      <c r="DB645" s="789"/>
      <c r="DC645" s="789"/>
      <c r="DD645" s="789"/>
      <c r="DE645" s="789"/>
      <c r="DF645" s="789"/>
      <c r="DG645" s="789"/>
      <c r="DH645" s="789"/>
      <c r="DI645" s="789"/>
      <c r="DJ645" s="789"/>
      <c r="DK645" s="789"/>
      <c r="DL645" s="789"/>
      <c r="DM645" s="789"/>
      <c r="DN645" s="789"/>
      <c r="DO645" s="789"/>
      <c r="DP645" s="789"/>
      <c r="DQ645" s="789"/>
      <c r="DR645" s="789"/>
      <c r="DS645" s="789"/>
      <c r="DT645" s="789"/>
      <c r="DU645" s="789"/>
      <c r="DV645" s="789"/>
      <c r="DW645" s="789"/>
      <c r="DX645" s="789"/>
      <c r="DY645" s="789"/>
      <c r="DZ645" s="789"/>
      <c r="EA645" s="789"/>
      <c r="EB645" s="789"/>
      <c r="EC645" s="789"/>
      <c r="ED645" s="789"/>
      <c r="EE645" s="789"/>
      <c r="EF645" s="789"/>
      <c r="EG645" s="789"/>
      <c r="EH645" s="789"/>
      <c r="EI645" s="789"/>
      <c r="EJ645" s="789"/>
      <c r="EK645" s="789"/>
      <c r="EL645" s="789"/>
      <c r="EM645" s="789"/>
      <c r="EN645" s="789"/>
      <c r="EO645" s="789"/>
      <c r="EP645" s="789"/>
      <c r="EQ645" s="789"/>
      <c r="ER645" s="789"/>
      <c r="ES645" s="789"/>
      <c r="ET645" s="789"/>
      <c r="EU645" s="789"/>
      <c r="EV645" s="789"/>
      <c r="EW645" s="789"/>
      <c r="EX645" s="789"/>
      <c r="EY645" s="789"/>
      <c r="EZ645" s="789"/>
      <c r="FA645" s="789"/>
      <c r="FB645" s="789"/>
      <c r="FC645" s="789"/>
      <c r="FD645" s="789"/>
      <c r="FE645" s="789"/>
      <c r="FF645" s="789"/>
      <c r="FG645" s="789"/>
      <c r="FH645" s="789"/>
      <c r="FI645" s="789"/>
      <c r="FJ645" s="789"/>
      <c r="FK645" s="789"/>
      <c r="FL645" s="789"/>
      <c r="FM645" s="789"/>
      <c r="FN645" s="789"/>
      <c r="FO645" s="789"/>
      <c r="FP645" s="789"/>
      <c r="FQ645" s="789"/>
      <c r="FR645" s="789"/>
      <c r="FS645" s="789"/>
      <c r="FT645" s="789"/>
      <c r="FU645" s="789"/>
      <c r="FV645" s="789"/>
      <c r="FW645" s="789"/>
      <c r="FX645" s="789"/>
      <c r="FY645" s="789"/>
      <c r="FZ645" s="789"/>
      <c r="GA645" s="789"/>
      <c r="GB645" s="789"/>
      <c r="GC645" s="789"/>
      <c r="GD645" s="789"/>
      <c r="GE645" s="789"/>
      <c r="GF645" s="789"/>
      <c r="GG645" s="789"/>
      <c r="GH645" s="789"/>
      <c r="GI645" s="789"/>
      <c r="GJ645" s="789"/>
      <c r="GK645" s="789"/>
      <c r="GL645" s="789"/>
      <c r="GM645" s="789"/>
      <c r="GN645" s="789"/>
      <c r="GO645" s="789"/>
      <c r="GP645" s="789"/>
      <c r="GQ645" s="789"/>
      <c r="GR645" s="789"/>
      <c r="GS645" s="789"/>
      <c r="GT645" s="789"/>
      <c r="GU645" s="789"/>
      <c r="GV645" s="789"/>
      <c r="GW645" s="789"/>
      <c r="GX645" s="789"/>
      <c r="GY645" s="789"/>
      <c r="GZ645" s="789"/>
      <c r="HA645" s="789"/>
      <c r="HB645" s="789"/>
      <c r="HC645" s="789"/>
      <c r="HD645" s="789"/>
      <c r="HE645" s="789"/>
      <c r="HF645" s="789"/>
      <c r="HG645" s="789"/>
      <c r="HH645" s="789"/>
      <c r="HI645" s="789"/>
      <c r="HJ645" s="789"/>
      <c r="KN645" s="789"/>
    </row>
    <row r="646" spans="1:300" s="802" customFormat="1" ht="18.75" customHeight="1">
      <c r="A646" s="794">
        <v>644</v>
      </c>
      <c r="B646" s="789" t="s">
        <v>291</v>
      </c>
      <c r="C646" s="804" t="s">
        <v>1299</v>
      </c>
      <c r="D646" s="840">
        <v>38657</v>
      </c>
      <c r="E646" s="840">
        <v>38718</v>
      </c>
      <c r="F646" s="791">
        <v>2005</v>
      </c>
      <c r="G646" s="836" t="s">
        <v>168</v>
      </c>
      <c r="H646" s="837" t="s">
        <v>1449</v>
      </c>
      <c r="I646" s="789" t="s">
        <v>292</v>
      </c>
      <c r="J646" s="800" t="s">
        <v>2331</v>
      </c>
      <c r="K646" s="817">
        <v>343442</v>
      </c>
      <c r="L646" s="817">
        <v>38000</v>
      </c>
      <c r="M646" s="817">
        <v>38000</v>
      </c>
      <c r="N646" s="817">
        <v>30511</v>
      </c>
      <c r="O646" s="808">
        <f t="shared" si="40"/>
        <v>8.8838872356904519E-2</v>
      </c>
      <c r="P646" s="817">
        <f>(100*M646)/L646</f>
        <v>100</v>
      </c>
      <c r="Q646" s="817" t="s">
        <v>75</v>
      </c>
      <c r="R646" s="817" t="s">
        <v>75</v>
      </c>
      <c r="S646" s="817" t="s">
        <v>75</v>
      </c>
      <c r="T646" s="817" t="s">
        <v>233</v>
      </c>
      <c r="U646" s="817">
        <v>285</v>
      </c>
      <c r="V646" s="817">
        <v>343442</v>
      </c>
      <c r="W646" s="817" t="s">
        <v>66</v>
      </c>
      <c r="X646" s="817" t="s">
        <v>66</v>
      </c>
      <c r="Y646" s="817"/>
      <c r="Z646" s="817" t="s">
        <v>75</v>
      </c>
      <c r="AA646" s="817">
        <v>343442</v>
      </c>
      <c r="AB646" s="817">
        <v>285</v>
      </c>
      <c r="AC646" s="817" t="s">
        <v>206</v>
      </c>
      <c r="AD646" s="817" t="s">
        <v>206</v>
      </c>
      <c r="AE646" s="817" t="s">
        <v>75</v>
      </c>
      <c r="AF646" s="817" t="s">
        <v>75</v>
      </c>
      <c r="AG646" s="817" t="s">
        <v>75</v>
      </c>
      <c r="AH646" s="817" t="s">
        <v>75</v>
      </c>
      <c r="AI646" s="817" t="s">
        <v>75</v>
      </c>
      <c r="AJ646" s="787">
        <f t="shared" si="37"/>
        <v>343442</v>
      </c>
      <c r="AK646" s="817" t="s">
        <v>66</v>
      </c>
      <c r="AL646" s="817" t="s">
        <v>66</v>
      </c>
      <c r="AM646" s="817"/>
      <c r="AN646" s="817" t="s">
        <v>75</v>
      </c>
      <c r="AO646" s="817" t="s">
        <v>75</v>
      </c>
      <c r="AP646" s="817" t="s">
        <v>75</v>
      </c>
      <c r="AQ646" s="817" t="s">
        <v>75</v>
      </c>
      <c r="AR646" s="817" t="s">
        <v>75</v>
      </c>
      <c r="AS646" s="817" t="s">
        <v>75</v>
      </c>
      <c r="AT646" s="817" t="s">
        <v>75</v>
      </c>
      <c r="AU646" s="407" t="s">
        <v>297</v>
      </c>
      <c r="AV646" s="789"/>
      <c r="AW646" s="789"/>
      <c r="AX646" s="789"/>
      <c r="AY646" s="789"/>
      <c r="AZ646" s="789"/>
      <c r="BA646" s="789"/>
      <c r="BB646" s="789"/>
      <c r="BC646" s="789"/>
      <c r="BD646" s="789"/>
      <c r="BE646" s="789"/>
      <c r="BF646" s="789"/>
      <c r="BG646" s="789"/>
      <c r="BH646" s="789"/>
      <c r="BI646" s="789"/>
      <c r="BJ646" s="789"/>
      <c r="BK646" s="789"/>
      <c r="BL646" s="789"/>
      <c r="BM646" s="789"/>
      <c r="BN646" s="789"/>
      <c r="BO646" s="789"/>
      <c r="BP646" s="789"/>
      <c r="BQ646" s="789"/>
      <c r="BR646" s="789"/>
      <c r="BS646" s="789"/>
      <c r="BT646" s="789"/>
      <c r="BU646" s="789"/>
      <c r="BV646" s="789"/>
      <c r="BW646" s="789"/>
      <c r="BX646" s="789"/>
      <c r="BY646" s="789"/>
      <c r="BZ646" s="789"/>
      <c r="CA646" s="789"/>
      <c r="CB646" s="789"/>
      <c r="CC646" s="789"/>
      <c r="CD646" s="789"/>
      <c r="CE646" s="789"/>
      <c r="CF646" s="789"/>
      <c r="CG646" s="789"/>
      <c r="CH646" s="789"/>
      <c r="CI646" s="789"/>
      <c r="CJ646" s="789"/>
      <c r="CK646" s="789"/>
      <c r="CL646" s="789"/>
      <c r="CM646" s="789"/>
      <c r="CN646" s="789"/>
      <c r="CO646" s="789"/>
      <c r="CP646" s="789"/>
      <c r="CQ646" s="789"/>
      <c r="CR646" s="789"/>
      <c r="CS646" s="789"/>
      <c r="CT646" s="789"/>
      <c r="CU646" s="789"/>
      <c r="CV646" s="789"/>
      <c r="CW646" s="789"/>
      <c r="CX646" s="789"/>
      <c r="CY646" s="789"/>
      <c r="CZ646" s="789"/>
      <c r="DA646" s="789"/>
      <c r="DB646" s="789"/>
      <c r="DC646" s="789"/>
      <c r="DD646" s="789"/>
      <c r="DE646" s="789"/>
      <c r="DF646" s="789"/>
      <c r="DG646" s="789"/>
      <c r="DH646" s="789"/>
      <c r="DI646" s="789"/>
      <c r="DJ646" s="789"/>
      <c r="DK646" s="789"/>
      <c r="DL646" s="789"/>
      <c r="DM646" s="789"/>
      <c r="DN646" s="789"/>
      <c r="DO646" s="789"/>
      <c r="DP646" s="789"/>
      <c r="DQ646" s="789"/>
      <c r="DR646" s="789"/>
      <c r="DS646" s="789"/>
      <c r="DT646" s="789"/>
      <c r="DU646" s="789"/>
      <c r="DV646" s="789"/>
      <c r="DW646" s="789"/>
      <c r="DX646" s="789"/>
      <c r="DY646" s="789"/>
      <c r="DZ646" s="789"/>
      <c r="EA646" s="789"/>
      <c r="EB646" s="789"/>
      <c r="EC646" s="789"/>
      <c r="ED646" s="789"/>
      <c r="EE646" s="789"/>
      <c r="EF646" s="789"/>
      <c r="EG646" s="789"/>
      <c r="EH646" s="789"/>
      <c r="EI646" s="789"/>
      <c r="EJ646" s="789"/>
      <c r="EK646" s="789"/>
      <c r="EL646" s="789"/>
      <c r="EM646" s="789"/>
      <c r="EN646" s="789"/>
      <c r="EO646" s="789"/>
      <c r="EP646" s="789"/>
      <c r="EQ646" s="789"/>
      <c r="ER646" s="789"/>
      <c r="ES646" s="789"/>
      <c r="ET646" s="789"/>
      <c r="EU646" s="789"/>
      <c r="EV646" s="789"/>
      <c r="EW646" s="789"/>
      <c r="EX646" s="789"/>
      <c r="EY646" s="789"/>
      <c r="EZ646" s="789"/>
      <c r="FA646" s="789"/>
      <c r="FB646" s="789"/>
      <c r="FC646" s="789"/>
      <c r="FD646" s="789"/>
      <c r="FE646" s="789"/>
      <c r="FF646" s="789"/>
      <c r="FG646" s="789"/>
      <c r="FH646" s="789"/>
      <c r="FI646" s="789"/>
      <c r="FJ646" s="789"/>
      <c r="FK646" s="789"/>
      <c r="FL646" s="789"/>
      <c r="FM646" s="789"/>
      <c r="FN646" s="789"/>
      <c r="FO646" s="789"/>
      <c r="FP646" s="789"/>
      <c r="FQ646" s="789"/>
      <c r="FR646" s="789"/>
      <c r="FS646" s="789"/>
      <c r="FT646" s="789"/>
      <c r="FU646" s="789"/>
      <c r="FV646" s="789"/>
      <c r="FW646" s="789"/>
      <c r="FX646" s="789"/>
      <c r="FY646" s="789"/>
      <c r="FZ646" s="789"/>
      <c r="GA646" s="789"/>
      <c r="GB646" s="789"/>
      <c r="GC646" s="789"/>
      <c r="GD646" s="789"/>
      <c r="GE646" s="789"/>
      <c r="GF646" s="789"/>
      <c r="GG646" s="789"/>
      <c r="GH646" s="789"/>
      <c r="GI646" s="789"/>
      <c r="GJ646" s="789"/>
      <c r="GK646" s="789"/>
      <c r="GL646" s="789"/>
      <c r="GM646" s="789"/>
      <c r="GN646" s="789"/>
      <c r="GO646" s="789"/>
      <c r="GP646" s="789"/>
      <c r="GQ646" s="789"/>
      <c r="GR646" s="789"/>
      <c r="GS646" s="789"/>
      <c r="GT646" s="789"/>
      <c r="GU646" s="789"/>
      <c r="GV646" s="789"/>
      <c r="GW646" s="789"/>
      <c r="GX646" s="789"/>
      <c r="GY646" s="789"/>
      <c r="GZ646" s="789"/>
      <c r="HA646" s="789"/>
      <c r="HB646" s="789"/>
      <c r="HC646" s="789"/>
      <c r="HD646" s="789"/>
      <c r="HE646" s="789"/>
      <c r="HF646" s="789"/>
      <c r="HG646" s="789"/>
      <c r="HH646" s="789"/>
      <c r="HI646" s="789"/>
      <c r="HJ646" s="789"/>
      <c r="KN646" s="789"/>
    </row>
    <row r="647" spans="1:300" s="802" customFormat="1" ht="18.75" customHeight="1">
      <c r="A647" s="794">
        <v>645</v>
      </c>
      <c r="B647" s="796" t="s">
        <v>417</v>
      </c>
      <c r="C647" s="796" t="s">
        <v>1299</v>
      </c>
      <c r="D647" s="799">
        <v>38565</v>
      </c>
      <c r="E647" s="799">
        <v>38749</v>
      </c>
      <c r="F647" s="791">
        <v>2005</v>
      </c>
      <c r="G647" s="796" t="s">
        <v>168</v>
      </c>
      <c r="H647" s="837" t="s">
        <v>1449</v>
      </c>
      <c r="I647" s="796" t="s">
        <v>419</v>
      </c>
      <c r="J647" s="800" t="s">
        <v>2331</v>
      </c>
      <c r="K647" s="842">
        <v>201000</v>
      </c>
      <c r="L647" s="843">
        <v>27838</v>
      </c>
      <c r="M647" s="843">
        <v>27838</v>
      </c>
      <c r="N647" s="843">
        <v>27838</v>
      </c>
      <c r="O647" s="808">
        <f t="shared" si="40"/>
        <v>0.13849751243781094</v>
      </c>
      <c r="P647" s="817">
        <f>(100*M647)/L647</f>
        <v>100</v>
      </c>
      <c r="Q647" s="843" t="s">
        <v>75</v>
      </c>
      <c r="R647" s="843" t="s">
        <v>75</v>
      </c>
      <c r="S647" s="843" t="s">
        <v>75</v>
      </c>
      <c r="T647" s="843" t="s">
        <v>233</v>
      </c>
      <c r="U647" s="843">
        <v>170</v>
      </c>
      <c r="V647" s="843">
        <v>201000</v>
      </c>
      <c r="W647" s="842" t="s">
        <v>66</v>
      </c>
      <c r="X647" s="843" t="s">
        <v>66</v>
      </c>
      <c r="Y647" s="842"/>
      <c r="Z647" s="843" t="s">
        <v>75</v>
      </c>
      <c r="AA647" s="843">
        <v>201000</v>
      </c>
      <c r="AB647" s="843">
        <v>170</v>
      </c>
      <c r="AC647" s="843" t="s">
        <v>75</v>
      </c>
      <c r="AD647" s="843" t="s">
        <v>75</v>
      </c>
      <c r="AE647" s="843" t="s">
        <v>75</v>
      </c>
      <c r="AF647" s="843" t="s">
        <v>75</v>
      </c>
      <c r="AG647" s="843" t="s">
        <v>75</v>
      </c>
      <c r="AH647" s="842" t="s">
        <v>75</v>
      </c>
      <c r="AI647" s="843" t="s">
        <v>75</v>
      </c>
      <c r="AJ647" s="787">
        <f t="shared" si="37"/>
        <v>201000</v>
      </c>
      <c r="AK647" s="842" t="s">
        <v>66</v>
      </c>
      <c r="AL647" s="843" t="s">
        <v>66</v>
      </c>
      <c r="AM647" s="843"/>
      <c r="AN647" s="843"/>
      <c r="AO647" s="843"/>
      <c r="AP647" s="843"/>
      <c r="AQ647" s="843"/>
      <c r="AR647" s="843"/>
      <c r="AS647" s="843" t="s">
        <v>75</v>
      </c>
      <c r="AT647" s="843" t="s">
        <v>75</v>
      </c>
      <c r="AU647" s="796" t="s">
        <v>418</v>
      </c>
      <c r="AV647" s="796"/>
      <c r="AW647" s="796"/>
      <c r="AX647" s="796"/>
      <c r="AY647" s="796"/>
      <c r="AZ647" s="796"/>
      <c r="BA647" s="796"/>
      <c r="BB647" s="796"/>
      <c r="BC647" s="796"/>
      <c r="BD647" s="796"/>
      <c r="BE647" s="796"/>
      <c r="BF647" s="796"/>
      <c r="BG647" s="796"/>
      <c r="BH647" s="796"/>
      <c r="BI647" s="796"/>
      <c r="BJ647" s="796"/>
      <c r="BK647" s="796"/>
      <c r="BL647" s="796"/>
      <c r="BM647" s="785"/>
      <c r="BN647" s="789"/>
      <c r="BO647" s="789"/>
      <c r="BP647" s="789"/>
      <c r="BQ647" s="789"/>
      <c r="BR647" s="789"/>
      <c r="BS647" s="789"/>
      <c r="BT647" s="789"/>
      <c r="BU647" s="789"/>
      <c r="BV647" s="789"/>
      <c r="BW647" s="789"/>
      <c r="BX647" s="789"/>
      <c r="BY647" s="789"/>
      <c r="BZ647" s="789"/>
      <c r="CA647" s="789"/>
      <c r="CB647" s="789"/>
      <c r="CC647" s="789"/>
      <c r="CD647" s="789"/>
      <c r="CE647" s="789"/>
      <c r="CF647" s="789"/>
      <c r="CG647" s="789"/>
      <c r="CH647" s="789"/>
      <c r="CI647" s="789"/>
      <c r="CJ647" s="789"/>
      <c r="CK647" s="789"/>
      <c r="CL647" s="789"/>
      <c r="CM647" s="789"/>
      <c r="CN647" s="789"/>
      <c r="CO647" s="789"/>
      <c r="CP647" s="789"/>
      <c r="CQ647" s="789"/>
      <c r="CR647" s="789"/>
      <c r="CS647" s="789"/>
      <c r="CT647" s="789"/>
      <c r="CU647" s="789"/>
      <c r="CV647" s="789"/>
      <c r="CW647" s="789"/>
      <c r="CX647" s="789"/>
      <c r="CY647" s="789"/>
      <c r="CZ647" s="789"/>
      <c r="DA647" s="789"/>
      <c r="DB647" s="789"/>
      <c r="DC647" s="789"/>
      <c r="DD647" s="789"/>
      <c r="DE647" s="789"/>
      <c r="DF647" s="789"/>
      <c r="DG647" s="789"/>
      <c r="DH647" s="789"/>
      <c r="DI647" s="789"/>
      <c r="DJ647" s="789"/>
      <c r="DK647" s="789"/>
      <c r="DL647" s="789"/>
      <c r="DM647" s="789"/>
      <c r="DN647" s="789"/>
      <c r="DO647" s="789"/>
      <c r="DP647" s="789"/>
      <c r="DQ647" s="789"/>
      <c r="DR647" s="789"/>
      <c r="DS647" s="789"/>
      <c r="DT647" s="789"/>
      <c r="DU647" s="789"/>
      <c r="DV647" s="789"/>
      <c r="DW647" s="789"/>
      <c r="DX647" s="789"/>
      <c r="DY647" s="789"/>
      <c r="DZ647" s="789"/>
      <c r="EA647" s="789"/>
      <c r="EB647" s="789"/>
      <c r="EC647" s="789"/>
      <c r="ED647" s="789"/>
      <c r="EE647" s="789"/>
      <c r="EF647" s="789"/>
      <c r="EG647" s="789"/>
      <c r="EH647" s="789"/>
      <c r="EI647" s="789"/>
      <c r="EJ647" s="789"/>
      <c r="EK647" s="789"/>
      <c r="EL647" s="789"/>
      <c r="EM647" s="789"/>
      <c r="EN647" s="789"/>
      <c r="EO647" s="789"/>
      <c r="EP647" s="789"/>
      <c r="EQ647" s="789"/>
      <c r="ER647" s="789"/>
      <c r="ES647" s="789"/>
      <c r="ET647" s="789"/>
      <c r="EU647" s="789"/>
      <c r="EV647" s="789"/>
      <c r="EW647" s="789"/>
      <c r="EX647" s="789"/>
      <c r="EY647" s="789"/>
      <c r="EZ647" s="789"/>
      <c r="FA647" s="789"/>
      <c r="FB647" s="789"/>
      <c r="FC647" s="789"/>
      <c r="FD647" s="789"/>
      <c r="FE647" s="789"/>
      <c r="FF647" s="789"/>
      <c r="FG647" s="789"/>
      <c r="FH647" s="789"/>
      <c r="FI647" s="789"/>
      <c r="FJ647" s="789"/>
      <c r="FK647" s="789"/>
      <c r="FL647" s="789"/>
      <c r="FM647" s="789"/>
      <c r="FN647" s="789"/>
      <c r="FO647" s="789"/>
      <c r="FP647" s="789"/>
      <c r="FQ647" s="789"/>
      <c r="FR647" s="789"/>
      <c r="FS647" s="789"/>
      <c r="FT647" s="789"/>
      <c r="FU647" s="789"/>
      <c r="FV647" s="789"/>
      <c r="FW647" s="789"/>
      <c r="FX647" s="789"/>
      <c r="FY647" s="789"/>
      <c r="FZ647" s="789"/>
      <c r="GA647" s="789"/>
      <c r="GB647" s="789"/>
      <c r="GC647" s="789"/>
      <c r="GD647" s="789"/>
      <c r="GE647" s="789"/>
      <c r="GF647" s="789"/>
      <c r="GG647" s="789"/>
      <c r="GH647" s="789"/>
      <c r="GI647" s="789"/>
      <c r="GJ647" s="789"/>
      <c r="GK647" s="789"/>
      <c r="GL647" s="789"/>
      <c r="GM647" s="789"/>
      <c r="GN647" s="789"/>
      <c r="GO647" s="789"/>
      <c r="GP647" s="789"/>
      <c r="GQ647" s="789"/>
      <c r="GR647" s="789"/>
      <c r="GS647" s="789"/>
      <c r="GT647" s="789"/>
      <c r="GU647" s="789"/>
      <c r="GV647" s="789"/>
      <c r="GW647" s="789"/>
      <c r="GX647" s="789"/>
      <c r="GY647" s="789"/>
      <c r="GZ647" s="789"/>
      <c r="HA647" s="789"/>
      <c r="HB647" s="789"/>
      <c r="HC647" s="789"/>
      <c r="HD647" s="789"/>
      <c r="HE647" s="789"/>
      <c r="HF647" s="789"/>
      <c r="HG647" s="789"/>
      <c r="HH647" s="789"/>
      <c r="HI647" s="789"/>
      <c r="HJ647" s="789"/>
      <c r="KN647" s="789"/>
    </row>
    <row r="648" spans="1:300" s="789" customFormat="1" ht="18.75" customHeight="1">
      <c r="A648" s="794">
        <v>646</v>
      </c>
      <c r="B648" s="785" t="s">
        <v>1889</v>
      </c>
      <c r="C648" s="785" t="s">
        <v>1286</v>
      </c>
      <c r="D648" s="824">
        <v>38353</v>
      </c>
      <c r="E648" s="824">
        <v>38596</v>
      </c>
      <c r="F648" s="791">
        <v>2005</v>
      </c>
      <c r="G648" s="785" t="s">
        <v>5</v>
      </c>
      <c r="H648" s="837" t="s">
        <v>1451</v>
      </c>
      <c r="I648" s="821" t="s">
        <v>1997</v>
      </c>
      <c r="J648" s="812" t="s">
        <v>2438</v>
      </c>
      <c r="K648" s="842">
        <f>11500*5</f>
        <v>57500</v>
      </c>
      <c r="L648" s="787">
        <v>1383356</v>
      </c>
      <c r="M648" s="787">
        <v>1420284</v>
      </c>
      <c r="N648" s="787">
        <v>1371860</v>
      </c>
      <c r="O648" s="808">
        <f t="shared" si="40"/>
        <v>23.858434782608697</v>
      </c>
      <c r="P648" s="787">
        <f>142028400/1383356</f>
        <v>102.66945023551422</v>
      </c>
      <c r="Q648" s="787">
        <v>30000</v>
      </c>
      <c r="R648" s="787"/>
      <c r="S648" s="787">
        <v>30000</v>
      </c>
      <c r="T648" s="787"/>
      <c r="U648" s="787"/>
      <c r="V648" s="787">
        <v>30000</v>
      </c>
      <c r="W648" s="787">
        <v>33907</v>
      </c>
      <c r="X648" s="787">
        <v>16114</v>
      </c>
      <c r="Y648" s="808">
        <f>X648/S648</f>
        <v>0.53713333333333335</v>
      </c>
      <c r="Z648" s="787"/>
      <c r="AA648" s="787">
        <v>1092</v>
      </c>
      <c r="AB648" s="787">
        <v>529</v>
      </c>
      <c r="AC648" s="787">
        <v>60</v>
      </c>
      <c r="AD648" s="817"/>
      <c r="AE648" s="787">
        <v>12000</v>
      </c>
      <c r="AF648" s="787"/>
      <c r="AG648" s="787"/>
      <c r="AH648" s="808"/>
      <c r="AI648" s="787"/>
      <c r="AJ648" s="787">
        <f t="shared" si="37"/>
        <v>1092</v>
      </c>
      <c r="AK648" s="787">
        <v>1500</v>
      </c>
      <c r="AL648" s="787">
        <v>1188</v>
      </c>
      <c r="AM648" s="822"/>
      <c r="AN648" s="822"/>
      <c r="AO648" s="822"/>
      <c r="AP648" s="822"/>
      <c r="AQ648" s="822"/>
      <c r="AR648" s="822"/>
      <c r="AS648" s="842">
        <v>5</v>
      </c>
      <c r="AT648" s="822"/>
      <c r="AU648" s="821" t="s">
        <v>1996</v>
      </c>
      <c r="AV648" s="821"/>
      <c r="AW648" s="821"/>
      <c r="AX648" s="821"/>
      <c r="AY648" s="821"/>
      <c r="AZ648" s="821"/>
      <c r="BA648" s="821"/>
      <c r="BB648" s="821"/>
      <c r="BC648" s="821"/>
      <c r="BD648" s="821"/>
      <c r="BE648" s="821"/>
      <c r="BF648" s="821"/>
      <c r="BG648" s="821"/>
      <c r="BH648" s="821"/>
      <c r="BI648" s="821"/>
      <c r="BJ648" s="821"/>
      <c r="BK648" s="821"/>
      <c r="BL648" s="821"/>
      <c r="BM648" s="815"/>
    </row>
    <row r="649" spans="1:300" s="802" customFormat="1" ht="18.75" customHeight="1">
      <c r="A649" s="794">
        <v>647</v>
      </c>
      <c r="B649" s="802" t="s">
        <v>276</v>
      </c>
      <c r="C649" s="802" t="s">
        <v>1278</v>
      </c>
      <c r="D649" s="840">
        <v>38443</v>
      </c>
      <c r="E649" s="840">
        <v>39052</v>
      </c>
      <c r="F649" s="791">
        <v>2005</v>
      </c>
      <c r="G649" s="804" t="s">
        <v>286</v>
      </c>
      <c r="H649" s="837" t="s">
        <v>1452</v>
      </c>
      <c r="I649" s="802" t="s">
        <v>285</v>
      </c>
      <c r="J649" s="812" t="s">
        <v>2438</v>
      </c>
      <c r="K649" s="817">
        <v>43315</v>
      </c>
      <c r="L649" s="839">
        <v>495043</v>
      </c>
      <c r="M649" s="817">
        <v>373202</v>
      </c>
      <c r="N649" s="817">
        <v>373202</v>
      </c>
      <c r="O649" s="808">
        <f t="shared" si="40"/>
        <v>8.6159990765323791</v>
      </c>
      <c r="P649" s="839">
        <v>75</v>
      </c>
      <c r="Q649" s="817" t="s">
        <v>134</v>
      </c>
      <c r="R649" s="817" t="s">
        <v>134</v>
      </c>
      <c r="S649" s="817" t="s">
        <v>134</v>
      </c>
      <c r="T649" s="817" t="s">
        <v>134</v>
      </c>
      <c r="U649" s="817" t="s">
        <v>134</v>
      </c>
      <c r="V649" s="817" t="s">
        <v>134</v>
      </c>
      <c r="W649" s="817">
        <v>321856</v>
      </c>
      <c r="X649" s="817">
        <v>237052</v>
      </c>
      <c r="Y649" s="817"/>
      <c r="Z649" s="817" t="s">
        <v>206</v>
      </c>
      <c r="AA649" s="817" t="s">
        <v>206</v>
      </c>
      <c r="AB649" s="817" t="s">
        <v>206</v>
      </c>
      <c r="AC649" s="817" t="s">
        <v>206</v>
      </c>
      <c r="AD649" s="817" t="s">
        <v>206</v>
      </c>
      <c r="AE649" s="817" t="s">
        <v>206</v>
      </c>
      <c r="AF649" s="817" t="s">
        <v>206</v>
      </c>
      <c r="AG649" s="817" t="s">
        <v>206</v>
      </c>
      <c r="AH649" s="817" t="s">
        <v>134</v>
      </c>
      <c r="AI649" s="817" t="s">
        <v>134</v>
      </c>
      <c r="AJ649" s="787">
        <f t="shared" si="37"/>
        <v>0</v>
      </c>
      <c r="AK649" s="817" t="s">
        <v>66</v>
      </c>
      <c r="AL649" s="817" t="s">
        <v>66</v>
      </c>
      <c r="AM649" s="839"/>
      <c r="AN649" s="817" t="s">
        <v>75</v>
      </c>
      <c r="AO649" s="817" t="s">
        <v>75</v>
      </c>
      <c r="AP649" s="817" t="s">
        <v>75</v>
      </c>
      <c r="AQ649" s="817" t="s">
        <v>75</v>
      </c>
      <c r="AR649" s="817" t="s">
        <v>75</v>
      </c>
      <c r="AS649" s="817" t="s">
        <v>75</v>
      </c>
      <c r="AT649" s="817" t="s">
        <v>75</v>
      </c>
      <c r="AU649" s="804" t="s">
        <v>287</v>
      </c>
      <c r="BM649" s="789"/>
      <c r="BN649" s="789"/>
      <c r="BO649" s="789"/>
      <c r="BP649" s="789"/>
      <c r="BQ649" s="789"/>
      <c r="BR649" s="789"/>
      <c r="BS649" s="789"/>
      <c r="BT649" s="789"/>
      <c r="BU649" s="789"/>
      <c r="BV649" s="789"/>
      <c r="BW649" s="789"/>
      <c r="BX649" s="789"/>
      <c r="BY649" s="789"/>
      <c r="BZ649" s="789"/>
      <c r="CA649" s="789"/>
      <c r="CB649" s="789"/>
      <c r="CC649" s="789"/>
      <c r="CD649" s="789"/>
      <c r="CE649" s="789"/>
      <c r="CF649" s="789"/>
      <c r="CG649" s="789"/>
      <c r="CH649" s="789"/>
      <c r="CI649" s="789"/>
      <c r="CJ649" s="789"/>
      <c r="CK649" s="789"/>
      <c r="CL649" s="789"/>
      <c r="CM649" s="789"/>
      <c r="CN649" s="789"/>
      <c r="CO649" s="789"/>
      <c r="CP649" s="789"/>
      <c r="CQ649" s="789"/>
      <c r="CR649" s="789"/>
      <c r="CS649" s="789"/>
      <c r="CT649" s="789"/>
      <c r="CU649" s="789"/>
      <c r="CV649" s="789"/>
      <c r="CW649" s="789"/>
      <c r="CX649" s="789"/>
      <c r="CY649" s="789"/>
      <c r="CZ649" s="789"/>
      <c r="DA649" s="789"/>
      <c r="DB649" s="789"/>
      <c r="DC649" s="789"/>
      <c r="DD649" s="789"/>
      <c r="DE649" s="789"/>
      <c r="DF649" s="789"/>
      <c r="DG649" s="789"/>
      <c r="DH649" s="789"/>
      <c r="DI649" s="789"/>
      <c r="DJ649" s="789"/>
      <c r="DK649" s="789"/>
      <c r="DL649" s="789"/>
      <c r="DM649" s="789"/>
      <c r="DN649" s="789"/>
      <c r="DO649" s="789"/>
      <c r="DP649" s="789"/>
      <c r="DQ649" s="789"/>
      <c r="DR649" s="789"/>
      <c r="DS649" s="789"/>
      <c r="DT649" s="789"/>
      <c r="DU649" s="789"/>
      <c r="DV649" s="789"/>
      <c r="DW649" s="789"/>
      <c r="DX649" s="789"/>
      <c r="DY649" s="789"/>
      <c r="DZ649" s="789"/>
      <c r="EA649" s="789"/>
      <c r="EB649" s="789"/>
      <c r="EC649" s="789"/>
      <c r="ED649" s="789"/>
      <c r="EE649" s="789"/>
      <c r="EF649" s="789"/>
      <c r="EG649" s="789"/>
      <c r="EH649" s="789"/>
      <c r="EI649" s="789"/>
      <c r="EJ649" s="789"/>
      <c r="EK649" s="789"/>
      <c r="EL649" s="789"/>
      <c r="EM649" s="789"/>
      <c r="EN649" s="789"/>
      <c r="EO649" s="789"/>
      <c r="EP649" s="789"/>
      <c r="EQ649" s="789"/>
      <c r="ER649" s="789"/>
      <c r="ES649" s="789"/>
      <c r="ET649" s="789"/>
      <c r="EU649" s="789"/>
      <c r="EV649" s="789"/>
      <c r="EW649" s="789"/>
      <c r="EX649" s="789"/>
      <c r="EY649" s="789"/>
      <c r="EZ649" s="789"/>
      <c r="FA649" s="789"/>
      <c r="FB649" s="789"/>
      <c r="FC649" s="789"/>
      <c r="FD649" s="789"/>
      <c r="FE649" s="789"/>
      <c r="FF649" s="789"/>
      <c r="FG649" s="789"/>
      <c r="FH649" s="789"/>
      <c r="FI649" s="789"/>
      <c r="FJ649" s="789"/>
      <c r="FK649" s="789"/>
      <c r="FL649" s="789"/>
      <c r="FM649" s="789"/>
      <c r="FN649" s="789"/>
      <c r="FO649" s="789"/>
      <c r="FP649" s="789"/>
      <c r="FQ649" s="789"/>
      <c r="FR649" s="789"/>
      <c r="FS649" s="789"/>
      <c r="FT649" s="789"/>
      <c r="FU649" s="789"/>
      <c r="FV649" s="789"/>
      <c r="FW649" s="789"/>
      <c r="FX649" s="789"/>
      <c r="FY649" s="789"/>
      <c r="FZ649" s="789"/>
      <c r="GA649" s="789"/>
      <c r="GB649" s="789"/>
      <c r="GC649" s="789"/>
      <c r="GD649" s="789"/>
      <c r="GE649" s="789"/>
      <c r="GF649" s="789"/>
      <c r="GG649" s="789"/>
      <c r="GH649" s="789"/>
      <c r="GI649" s="789"/>
      <c r="GJ649" s="789"/>
      <c r="GK649" s="789"/>
      <c r="GL649" s="789"/>
      <c r="GM649" s="789"/>
      <c r="GN649" s="789"/>
      <c r="GO649" s="789"/>
      <c r="GP649" s="789"/>
      <c r="GQ649" s="789"/>
      <c r="GR649" s="789"/>
      <c r="GS649" s="789"/>
      <c r="GT649" s="789"/>
      <c r="GU649" s="789"/>
      <c r="GV649" s="789"/>
      <c r="GW649" s="789"/>
      <c r="GX649" s="789"/>
      <c r="GY649" s="789"/>
      <c r="GZ649" s="789"/>
      <c r="HA649" s="789"/>
      <c r="HB649" s="789"/>
      <c r="HC649" s="789"/>
      <c r="HD649" s="789"/>
      <c r="HE649" s="789"/>
      <c r="HF649" s="789"/>
      <c r="HG649" s="789"/>
      <c r="HH649" s="789"/>
      <c r="HI649" s="789"/>
      <c r="HJ649" s="789"/>
      <c r="KN649" s="789"/>
    </row>
    <row r="650" spans="1:300" s="802" customFormat="1" ht="18.75" customHeight="1">
      <c r="A650" s="794">
        <v>648</v>
      </c>
      <c r="B650" s="789" t="s">
        <v>129</v>
      </c>
      <c r="C650" s="802" t="s">
        <v>1278</v>
      </c>
      <c r="D650" s="840">
        <v>38657</v>
      </c>
      <c r="E650" s="840">
        <v>39083</v>
      </c>
      <c r="F650" s="791">
        <v>2005</v>
      </c>
      <c r="G650" s="836" t="s">
        <v>130</v>
      </c>
      <c r="H650" s="837" t="s">
        <v>1452</v>
      </c>
      <c r="I650" s="789" t="s">
        <v>128</v>
      </c>
      <c r="J650" s="812" t="s">
        <v>2438</v>
      </c>
      <c r="K650" s="817">
        <v>350000</v>
      </c>
      <c r="L650" s="817">
        <v>7953524</v>
      </c>
      <c r="M650" s="817">
        <v>3094067</v>
      </c>
      <c r="N650" s="817">
        <v>3094067</v>
      </c>
      <c r="O650" s="808">
        <f t="shared" si="40"/>
        <v>8.840191428571428</v>
      </c>
      <c r="P650" s="817">
        <v>50</v>
      </c>
      <c r="Q650" s="817"/>
      <c r="R650" s="817"/>
      <c r="S650" s="817"/>
      <c r="T650" s="817" t="s">
        <v>233</v>
      </c>
      <c r="U650" s="817"/>
      <c r="V650" s="817"/>
      <c r="W650" s="817" t="s">
        <v>66</v>
      </c>
      <c r="X650" s="817" t="s">
        <v>66</v>
      </c>
      <c r="Y650" s="817"/>
      <c r="Z650" s="817"/>
      <c r="AA650" s="817"/>
      <c r="AB650" s="817"/>
      <c r="AC650" s="817"/>
      <c r="AD650" s="817"/>
      <c r="AE650" s="817"/>
      <c r="AF650" s="817" t="s">
        <v>75</v>
      </c>
      <c r="AG650" s="817" t="s">
        <v>75</v>
      </c>
      <c r="AH650" s="817"/>
      <c r="AI650" s="817"/>
      <c r="AJ650" s="787">
        <f t="shared" ref="AJ650:AJ713" si="41">SUM(Z650,AA650,AH650)</f>
        <v>0</v>
      </c>
      <c r="AK650" s="817">
        <v>77248</v>
      </c>
      <c r="AL650" s="817">
        <v>77248</v>
      </c>
      <c r="AM650" s="817"/>
      <c r="AN650" s="817" t="s">
        <v>75</v>
      </c>
      <c r="AO650" s="817" t="s">
        <v>75</v>
      </c>
      <c r="AP650" s="817" t="s">
        <v>75</v>
      </c>
      <c r="AQ650" s="817" t="s">
        <v>75</v>
      </c>
      <c r="AR650" s="817" t="s">
        <v>75</v>
      </c>
      <c r="AS650" s="817" t="s">
        <v>75</v>
      </c>
      <c r="AT650" s="817" t="s">
        <v>75</v>
      </c>
      <c r="AU650" s="407" t="s">
        <v>133</v>
      </c>
      <c r="AV650" s="789"/>
      <c r="AW650" s="789"/>
      <c r="AX650" s="789"/>
      <c r="AY650" s="789"/>
      <c r="AZ650" s="789"/>
      <c r="BA650" s="789"/>
      <c r="BB650" s="789"/>
      <c r="BC650" s="789"/>
      <c r="BD650" s="789"/>
      <c r="BE650" s="789"/>
      <c r="BF650" s="789"/>
      <c r="BG650" s="789"/>
      <c r="BH650" s="789"/>
      <c r="BI650" s="789"/>
      <c r="BJ650" s="789"/>
      <c r="BK650" s="789"/>
      <c r="BL650" s="789"/>
      <c r="BM650" s="789"/>
      <c r="BN650" s="789"/>
      <c r="BO650" s="789"/>
      <c r="BP650" s="789"/>
      <c r="BQ650" s="789"/>
      <c r="BR650" s="789"/>
      <c r="BS650" s="789"/>
      <c r="BT650" s="789"/>
      <c r="BU650" s="789"/>
      <c r="BV650" s="789"/>
      <c r="BW650" s="789"/>
      <c r="BX650" s="789"/>
      <c r="BY650" s="789"/>
      <c r="BZ650" s="789"/>
      <c r="CA650" s="789"/>
      <c r="CB650" s="789"/>
      <c r="CC650" s="789"/>
      <c r="CD650" s="789"/>
      <c r="CE650" s="789"/>
      <c r="CF650" s="789"/>
      <c r="CG650" s="789"/>
      <c r="CH650" s="789"/>
      <c r="CI650" s="789"/>
      <c r="CJ650" s="789"/>
      <c r="CK650" s="789"/>
      <c r="CL650" s="789"/>
      <c r="CM650" s="789"/>
      <c r="CN650" s="789"/>
      <c r="CO650" s="789"/>
      <c r="CP650" s="789"/>
      <c r="CQ650" s="789"/>
      <c r="CR650" s="789"/>
      <c r="CS650" s="789"/>
      <c r="CT650" s="789"/>
      <c r="CU650" s="789"/>
      <c r="CV650" s="789"/>
      <c r="CW650" s="789"/>
      <c r="CX650" s="789"/>
      <c r="CY650" s="789"/>
      <c r="CZ650" s="789"/>
      <c r="DA650" s="789"/>
      <c r="DB650" s="789"/>
      <c r="DC650" s="789"/>
      <c r="DD650" s="789"/>
      <c r="DE650" s="789"/>
      <c r="DF650" s="789"/>
      <c r="DG650" s="789"/>
      <c r="DH650" s="789"/>
      <c r="DI650" s="789"/>
      <c r="DJ650" s="789"/>
      <c r="DK650" s="789"/>
      <c r="DL650" s="789"/>
      <c r="DM650" s="789"/>
      <c r="DN650" s="789"/>
      <c r="DO650" s="789"/>
      <c r="DP650" s="789"/>
      <c r="DQ650" s="789"/>
      <c r="DR650" s="789"/>
      <c r="DS650" s="789"/>
      <c r="DT650" s="789"/>
      <c r="DU650" s="789"/>
      <c r="DV650" s="789"/>
      <c r="DW650" s="789"/>
      <c r="DX650" s="789"/>
      <c r="DY650" s="789"/>
      <c r="DZ650" s="789"/>
      <c r="EA650" s="789"/>
      <c r="EB650" s="789"/>
      <c r="EC650" s="789"/>
      <c r="ED650" s="789"/>
      <c r="EE650" s="789"/>
      <c r="EF650" s="789"/>
      <c r="EG650" s="789"/>
      <c r="EH650" s="789"/>
      <c r="EI650" s="789"/>
      <c r="EJ650" s="789"/>
      <c r="EK650" s="789"/>
      <c r="EL650" s="789"/>
      <c r="EM650" s="789"/>
      <c r="EN650" s="789"/>
      <c r="EO650" s="789"/>
      <c r="EP650" s="789"/>
      <c r="EQ650" s="789"/>
      <c r="ER650" s="789"/>
      <c r="ES650" s="789"/>
      <c r="ET650" s="789"/>
      <c r="EU650" s="789"/>
      <c r="EV650" s="789"/>
      <c r="EW650" s="789"/>
      <c r="EX650" s="789"/>
      <c r="EY650" s="789"/>
      <c r="EZ650" s="789"/>
      <c r="FA650" s="789"/>
      <c r="FB650" s="789"/>
      <c r="FC650" s="789"/>
      <c r="FD650" s="789"/>
      <c r="FE650" s="789"/>
      <c r="FF650" s="789"/>
      <c r="FG650" s="789"/>
      <c r="FH650" s="789"/>
      <c r="FI650" s="789"/>
      <c r="FJ650" s="789"/>
      <c r="FK650" s="789"/>
      <c r="FL650" s="789"/>
      <c r="FM650" s="789"/>
      <c r="FN650" s="789"/>
      <c r="FO650" s="789"/>
      <c r="FP650" s="789"/>
      <c r="FQ650" s="789"/>
      <c r="FR650" s="789"/>
      <c r="FS650" s="789"/>
      <c r="FT650" s="789"/>
      <c r="FU650" s="789"/>
      <c r="FV650" s="789"/>
      <c r="FW650" s="789"/>
      <c r="FX650" s="789"/>
      <c r="FY650" s="789"/>
      <c r="FZ650" s="789"/>
      <c r="GA650" s="789"/>
      <c r="GB650" s="789"/>
      <c r="GC650" s="789"/>
      <c r="GD650" s="789"/>
      <c r="GE650" s="789"/>
      <c r="GF650" s="789"/>
      <c r="GG650" s="789"/>
      <c r="GH650" s="789"/>
      <c r="GI650" s="789"/>
      <c r="GJ650" s="789"/>
      <c r="GK650" s="789"/>
      <c r="GL650" s="789"/>
      <c r="GM650" s="789"/>
      <c r="GN650" s="789"/>
      <c r="GO650" s="789"/>
      <c r="GP650" s="789"/>
      <c r="GQ650" s="789"/>
      <c r="GR650" s="789"/>
      <c r="GS650" s="789"/>
      <c r="GT650" s="789"/>
      <c r="GU650" s="789"/>
      <c r="GV650" s="789"/>
      <c r="GW650" s="789"/>
      <c r="GX650" s="789"/>
      <c r="GY650" s="789"/>
      <c r="GZ650" s="789"/>
      <c r="HA650" s="789"/>
      <c r="HB650" s="789"/>
      <c r="HC650" s="789"/>
      <c r="HD650" s="789"/>
      <c r="HE650" s="789"/>
      <c r="HF650" s="789"/>
      <c r="HG650" s="789"/>
      <c r="HH650" s="789"/>
      <c r="HI650" s="789"/>
      <c r="HJ650" s="789"/>
      <c r="KN650" s="789"/>
    </row>
    <row r="651" spans="1:300" s="802" customFormat="1" ht="18.75" customHeight="1">
      <c r="A651" s="794">
        <v>649</v>
      </c>
      <c r="B651" s="802" t="s">
        <v>12</v>
      </c>
      <c r="C651" s="804" t="s">
        <v>1299</v>
      </c>
      <c r="D651" s="805">
        <v>38504</v>
      </c>
      <c r="E651" s="805">
        <v>38657</v>
      </c>
      <c r="F651" s="791">
        <v>2005</v>
      </c>
      <c r="G651" s="804" t="s">
        <v>5</v>
      </c>
      <c r="H651" s="837" t="s">
        <v>1451</v>
      </c>
      <c r="I651" s="802" t="s">
        <v>255</v>
      </c>
      <c r="J651" s="800" t="s">
        <v>2331</v>
      </c>
      <c r="K651" s="817">
        <v>15168</v>
      </c>
      <c r="L651" s="839">
        <v>100021</v>
      </c>
      <c r="M651" s="839">
        <v>100021</v>
      </c>
      <c r="N651" s="817">
        <v>100021</v>
      </c>
      <c r="O651" s="808">
        <f t="shared" si="40"/>
        <v>6.5942114978902957</v>
      </c>
      <c r="P651" s="817">
        <v>100</v>
      </c>
      <c r="Q651" s="839" t="s">
        <v>75</v>
      </c>
      <c r="R651" s="839" t="s">
        <v>75</v>
      </c>
      <c r="S651" s="817" t="s">
        <v>75</v>
      </c>
      <c r="T651" s="817" t="s">
        <v>75</v>
      </c>
      <c r="U651" s="839" t="s">
        <v>75</v>
      </c>
      <c r="V651" s="817" t="s">
        <v>75</v>
      </c>
      <c r="W651" s="817" t="s">
        <v>66</v>
      </c>
      <c r="X651" s="817" t="s">
        <v>66</v>
      </c>
      <c r="Y651" s="817"/>
      <c r="Z651" s="817" t="s">
        <v>75</v>
      </c>
      <c r="AA651" s="817" t="s">
        <v>75</v>
      </c>
      <c r="AB651" s="817" t="s">
        <v>75</v>
      </c>
      <c r="AC651" s="817" t="s">
        <v>75</v>
      </c>
      <c r="AD651" s="817" t="s">
        <v>75</v>
      </c>
      <c r="AE651" s="839">
        <v>300</v>
      </c>
      <c r="AF651" s="817" t="s">
        <v>75</v>
      </c>
      <c r="AG651" s="817" t="s">
        <v>75</v>
      </c>
      <c r="AH651" s="817" t="s">
        <v>75</v>
      </c>
      <c r="AI651" s="817" t="s">
        <v>75</v>
      </c>
      <c r="AJ651" s="787">
        <f t="shared" si="41"/>
        <v>0</v>
      </c>
      <c r="AK651" s="817" t="s">
        <v>66</v>
      </c>
      <c r="AL651" s="817" t="s">
        <v>66</v>
      </c>
      <c r="AM651" s="839"/>
      <c r="AN651" s="817" t="s">
        <v>75</v>
      </c>
      <c r="AO651" s="817" t="s">
        <v>75</v>
      </c>
      <c r="AP651" s="817" t="s">
        <v>75</v>
      </c>
      <c r="AQ651" s="817" t="s">
        <v>75</v>
      </c>
      <c r="AR651" s="817" t="s">
        <v>75</v>
      </c>
      <c r="AS651" s="817" t="s">
        <v>75</v>
      </c>
      <c r="AT651" s="817" t="s">
        <v>75</v>
      </c>
      <c r="AU651" s="804" t="s">
        <v>256</v>
      </c>
      <c r="BM651" s="789"/>
      <c r="BN651" s="789"/>
      <c r="BO651" s="789"/>
      <c r="BP651" s="789"/>
      <c r="BQ651" s="789"/>
      <c r="BR651" s="789"/>
      <c r="BS651" s="789"/>
      <c r="BT651" s="789"/>
      <c r="BU651" s="789"/>
      <c r="BV651" s="789"/>
      <c r="BW651" s="789"/>
      <c r="BX651" s="789"/>
      <c r="BY651" s="789"/>
      <c r="BZ651" s="789"/>
      <c r="CA651" s="789"/>
      <c r="CB651" s="789"/>
      <c r="CC651" s="789"/>
      <c r="CD651" s="789"/>
      <c r="CE651" s="789"/>
      <c r="CF651" s="789"/>
      <c r="CG651" s="789"/>
      <c r="CH651" s="789"/>
      <c r="CI651" s="789"/>
      <c r="CJ651" s="789"/>
      <c r="CK651" s="789"/>
      <c r="CL651" s="789"/>
      <c r="CM651" s="789"/>
      <c r="CN651" s="789"/>
      <c r="CO651" s="789"/>
      <c r="CP651" s="789"/>
      <c r="CQ651" s="789"/>
      <c r="CR651" s="789"/>
      <c r="CS651" s="789"/>
      <c r="CT651" s="789"/>
      <c r="CU651" s="789"/>
      <c r="CV651" s="789"/>
      <c r="CW651" s="789"/>
      <c r="CX651" s="789"/>
      <c r="CY651" s="789"/>
      <c r="CZ651" s="789"/>
      <c r="DA651" s="789"/>
      <c r="DB651" s="789"/>
      <c r="DC651" s="789"/>
      <c r="DD651" s="789"/>
      <c r="DE651" s="789"/>
      <c r="DF651" s="789"/>
      <c r="DG651" s="789"/>
      <c r="DH651" s="789"/>
      <c r="DI651" s="789"/>
      <c r="DJ651" s="789"/>
      <c r="DK651" s="789"/>
      <c r="DL651" s="789"/>
      <c r="DM651" s="789"/>
      <c r="DN651" s="789"/>
      <c r="DO651" s="789"/>
      <c r="DP651" s="789"/>
      <c r="DQ651" s="789"/>
      <c r="DR651" s="789"/>
      <c r="DS651" s="789"/>
      <c r="DT651" s="789"/>
      <c r="DU651" s="789"/>
      <c r="DV651" s="789"/>
      <c r="DW651" s="789"/>
      <c r="DX651" s="789"/>
      <c r="DY651" s="789"/>
      <c r="DZ651" s="789"/>
      <c r="EA651" s="789"/>
      <c r="EB651" s="789"/>
      <c r="EC651" s="789"/>
      <c r="ED651" s="789"/>
      <c r="EE651" s="789"/>
      <c r="EF651" s="789"/>
      <c r="EG651" s="789"/>
      <c r="EH651" s="789"/>
      <c r="EI651" s="789"/>
      <c r="EJ651" s="789"/>
      <c r="EK651" s="789"/>
      <c r="EL651" s="789"/>
      <c r="EM651" s="789"/>
      <c r="EN651" s="789"/>
      <c r="EO651" s="789"/>
      <c r="EP651" s="789"/>
      <c r="EQ651" s="789"/>
      <c r="ER651" s="789"/>
      <c r="ES651" s="789"/>
      <c r="ET651" s="789"/>
      <c r="EU651" s="789"/>
      <c r="EV651" s="789"/>
      <c r="EW651" s="789"/>
      <c r="EX651" s="789"/>
      <c r="EY651" s="789"/>
      <c r="EZ651" s="789"/>
      <c r="FA651" s="789"/>
      <c r="FB651" s="789"/>
      <c r="FC651" s="789"/>
      <c r="FD651" s="789"/>
      <c r="FE651" s="789"/>
      <c r="FF651" s="789"/>
      <c r="FG651" s="789"/>
      <c r="FH651" s="789"/>
      <c r="FI651" s="789"/>
      <c r="FJ651" s="789"/>
      <c r="FK651" s="789"/>
      <c r="FL651" s="789"/>
      <c r="FM651" s="789"/>
      <c r="FN651" s="789"/>
      <c r="FO651" s="789"/>
      <c r="FP651" s="789"/>
      <c r="FQ651" s="789"/>
      <c r="FR651" s="789"/>
      <c r="FS651" s="789"/>
      <c r="FT651" s="789"/>
      <c r="FU651" s="789"/>
      <c r="FV651" s="789"/>
      <c r="FW651" s="789"/>
      <c r="FX651" s="789"/>
      <c r="FY651" s="789"/>
      <c r="FZ651" s="789"/>
      <c r="GA651" s="789"/>
      <c r="GB651" s="789"/>
      <c r="GC651" s="789"/>
      <c r="GD651" s="789"/>
      <c r="GE651" s="789"/>
      <c r="GF651" s="789"/>
      <c r="GG651" s="789"/>
      <c r="GH651" s="789"/>
      <c r="GI651" s="789"/>
      <c r="GJ651" s="789"/>
      <c r="GK651" s="789"/>
      <c r="GL651" s="789"/>
      <c r="GM651" s="789"/>
      <c r="GN651" s="789"/>
      <c r="GO651" s="789"/>
      <c r="GP651" s="789"/>
      <c r="GQ651" s="789"/>
      <c r="GR651" s="789"/>
      <c r="GS651" s="789"/>
      <c r="GT651" s="789"/>
      <c r="GU651" s="789"/>
      <c r="GV651" s="789"/>
      <c r="GW651" s="789"/>
      <c r="GX651" s="789"/>
      <c r="GY651" s="789"/>
      <c r="GZ651" s="789"/>
      <c r="HA651" s="789"/>
      <c r="HB651" s="789"/>
      <c r="HC651" s="789"/>
      <c r="HD651" s="789"/>
      <c r="HE651" s="789"/>
      <c r="HF651" s="789"/>
      <c r="HG651" s="789"/>
      <c r="HH651" s="789"/>
      <c r="HI651" s="789"/>
      <c r="HJ651" s="789"/>
      <c r="KN651" s="789"/>
    </row>
    <row r="652" spans="1:300" s="802" customFormat="1" ht="18.75" customHeight="1">
      <c r="A652" s="794">
        <v>650</v>
      </c>
      <c r="B652" s="785" t="s">
        <v>12</v>
      </c>
      <c r="C652" s="796" t="s">
        <v>1299</v>
      </c>
      <c r="D652" s="792">
        <v>38534</v>
      </c>
      <c r="E652" s="792">
        <v>38687</v>
      </c>
      <c r="F652" s="791">
        <v>2005</v>
      </c>
      <c r="G652" s="785" t="s">
        <v>345</v>
      </c>
      <c r="H652" s="837" t="s">
        <v>1452</v>
      </c>
      <c r="I652" s="785" t="s">
        <v>344</v>
      </c>
      <c r="J652" s="800" t="s">
        <v>2331</v>
      </c>
      <c r="K652" s="842">
        <v>7500</v>
      </c>
      <c r="L652" s="842">
        <v>0</v>
      </c>
      <c r="M652" s="842">
        <v>200000</v>
      </c>
      <c r="N652" s="842">
        <v>200000</v>
      </c>
      <c r="O652" s="808">
        <f t="shared" si="40"/>
        <v>26.666666666666668</v>
      </c>
      <c r="P652" s="842" t="s">
        <v>66</v>
      </c>
      <c r="Q652" s="842" t="s">
        <v>134</v>
      </c>
      <c r="R652" s="842" t="s">
        <v>75</v>
      </c>
      <c r="S652" s="842" t="s">
        <v>75</v>
      </c>
      <c r="T652" s="842" t="s">
        <v>233</v>
      </c>
      <c r="U652" s="842" t="s">
        <v>75</v>
      </c>
      <c r="V652" s="842" t="s">
        <v>75</v>
      </c>
      <c r="W652" s="842" t="s">
        <v>66</v>
      </c>
      <c r="X652" s="842" t="s">
        <v>66</v>
      </c>
      <c r="Y652" s="842"/>
      <c r="Z652" s="842" t="s">
        <v>75</v>
      </c>
      <c r="AA652" s="842" t="s">
        <v>75</v>
      </c>
      <c r="AB652" s="842" t="s">
        <v>134</v>
      </c>
      <c r="AC652" s="842" t="s">
        <v>75</v>
      </c>
      <c r="AD652" s="842" t="s">
        <v>75</v>
      </c>
      <c r="AE652" s="842">
        <v>2260</v>
      </c>
      <c r="AF652" s="842" t="s">
        <v>75</v>
      </c>
      <c r="AG652" s="842" t="s">
        <v>75</v>
      </c>
      <c r="AH652" s="842" t="s">
        <v>267</v>
      </c>
      <c r="AI652" s="842" t="s">
        <v>267</v>
      </c>
      <c r="AJ652" s="787">
        <f t="shared" si="41"/>
        <v>0</v>
      </c>
      <c r="AK652" s="842" t="s">
        <v>66</v>
      </c>
      <c r="AL652" s="842" t="s">
        <v>66</v>
      </c>
      <c r="AM652" s="842"/>
      <c r="AN652" s="842" t="s">
        <v>75</v>
      </c>
      <c r="AO652" s="842" t="s">
        <v>75</v>
      </c>
      <c r="AP652" s="842" t="s">
        <v>75</v>
      </c>
      <c r="AQ652" s="842" t="s">
        <v>75</v>
      </c>
      <c r="AR652" s="842" t="s">
        <v>75</v>
      </c>
      <c r="AS652" s="842" t="s">
        <v>75</v>
      </c>
      <c r="AT652" s="842" t="s">
        <v>75</v>
      </c>
      <c r="AU652" s="276" t="s">
        <v>346</v>
      </c>
      <c r="AV652" s="785"/>
      <c r="AW652" s="785"/>
      <c r="AX652" s="785"/>
      <c r="AY652" s="785"/>
      <c r="AZ652" s="785"/>
      <c r="BA652" s="785"/>
      <c r="BB652" s="785"/>
      <c r="BC652" s="785"/>
      <c r="BD652" s="785"/>
      <c r="BE652" s="785"/>
      <c r="BF652" s="785"/>
      <c r="BG652" s="785"/>
      <c r="BH652" s="785"/>
      <c r="BI652" s="785"/>
      <c r="BJ652" s="785"/>
      <c r="BK652" s="785"/>
      <c r="BL652" s="785"/>
      <c r="BM652" s="785"/>
      <c r="BN652" s="789"/>
      <c r="BO652" s="789"/>
      <c r="BP652" s="789"/>
      <c r="BQ652" s="789"/>
      <c r="BR652" s="789"/>
      <c r="BS652" s="789"/>
      <c r="BT652" s="789"/>
      <c r="BU652" s="789"/>
      <c r="BV652" s="789"/>
      <c r="BW652" s="789"/>
      <c r="BX652" s="789"/>
      <c r="BY652" s="789"/>
      <c r="BZ652" s="789"/>
      <c r="CA652" s="789"/>
      <c r="CB652" s="789"/>
      <c r="CC652" s="789"/>
      <c r="CD652" s="789"/>
      <c r="CE652" s="789"/>
      <c r="CF652" s="789"/>
      <c r="CG652" s="789"/>
      <c r="CH652" s="789"/>
      <c r="CI652" s="789"/>
      <c r="CJ652" s="789"/>
      <c r="CK652" s="789"/>
      <c r="CL652" s="789"/>
      <c r="CM652" s="789"/>
      <c r="CN652" s="789"/>
      <c r="CO652" s="789"/>
      <c r="CP652" s="789"/>
      <c r="CQ652" s="789"/>
      <c r="CR652" s="789"/>
      <c r="CS652" s="789"/>
      <c r="CT652" s="789"/>
      <c r="CU652" s="789"/>
      <c r="CV652" s="789"/>
      <c r="CW652" s="789"/>
      <c r="CX652" s="789"/>
      <c r="CY652" s="789"/>
      <c r="CZ652" s="789"/>
      <c r="DA652" s="789"/>
      <c r="DB652" s="789"/>
      <c r="DC652" s="789"/>
      <c r="DD652" s="789"/>
      <c r="DE652" s="789"/>
      <c r="DF652" s="789"/>
      <c r="DG652" s="789"/>
      <c r="DH652" s="789"/>
      <c r="DI652" s="789"/>
      <c r="DJ652" s="789"/>
      <c r="DK652" s="789"/>
      <c r="DL652" s="789"/>
      <c r="DM652" s="789"/>
      <c r="DN652" s="789"/>
      <c r="DO652" s="789"/>
      <c r="DP652" s="789"/>
      <c r="DQ652" s="789"/>
      <c r="DR652" s="789"/>
      <c r="DS652" s="789"/>
      <c r="DT652" s="789"/>
      <c r="DU652" s="789"/>
      <c r="DV652" s="789"/>
      <c r="DW652" s="789"/>
      <c r="DX652" s="789"/>
      <c r="DY652" s="789"/>
      <c r="DZ652" s="789"/>
      <c r="EA652" s="789"/>
      <c r="EB652" s="789"/>
      <c r="EC652" s="789"/>
      <c r="ED652" s="789"/>
      <c r="EE652" s="789"/>
      <c r="EF652" s="789"/>
      <c r="EG652" s="789"/>
      <c r="EH652" s="789"/>
      <c r="EI652" s="789"/>
      <c r="EJ652" s="789"/>
      <c r="EK652" s="789"/>
      <c r="EL652" s="789"/>
      <c r="EM652" s="789"/>
      <c r="EN652" s="789"/>
      <c r="EO652" s="789"/>
      <c r="EP652" s="789"/>
      <c r="EQ652" s="789"/>
      <c r="ER652" s="789"/>
      <c r="ES652" s="789"/>
      <c r="ET652" s="789"/>
      <c r="EU652" s="789"/>
      <c r="EV652" s="789"/>
      <c r="EW652" s="789"/>
      <c r="EX652" s="789"/>
      <c r="EY652" s="789"/>
      <c r="EZ652" s="789"/>
      <c r="FA652" s="789"/>
      <c r="FB652" s="789"/>
      <c r="FC652" s="789"/>
      <c r="FD652" s="789"/>
      <c r="FE652" s="789"/>
      <c r="FF652" s="789"/>
      <c r="FG652" s="789"/>
      <c r="FH652" s="789"/>
      <c r="FI652" s="789"/>
      <c r="FJ652" s="789"/>
      <c r="FK652" s="789"/>
      <c r="FL652" s="789"/>
      <c r="FM652" s="789"/>
      <c r="FN652" s="789"/>
      <c r="FO652" s="789"/>
      <c r="FP652" s="789"/>
      <c r="FQ652" s="789"/>
      <c r="FR652" s="789"/>
      <c r="FS652" s="789"/>
      <c r="FT652" s="789"/>
      <c r="FU652" s="789"/>
      <c r="FV652" s="789"/>
      <c r="FW652" s="789"/>
      <c r="FX652" s="789"/>
      <c r="FY652" s="789"/>
      <c r="FZ652" s="789"/>
      <c r="GA652" s="789"/>
      <c r="GB652" s="789"/>
      <c r="GC652" s="789"/>
      <c r="GD652" s="789"/>
      <c r="GE652" s="789"/>
      <c r="GF652" s="789"/>
      <c r="GG652" s="789"/>
      <c r="GH652" s="789"/>
      <c r="GI652" s="789"/>
      <c r="GJ652" s="789"/>
      <c r="GK652" s="789"/>
      <c r="GL652" s="789"/>
      <c r="GM652" s="789"/>
      <c r="GN652" s="789"/>
      <c r="GO652" s="789"/>
      <c r="GP652" s="789"/>
      <c r="GQ652" s="789"/>
      <c r="GR652" s="789"/>
      <c r="GS652" s="789"/>
      <c r="GT652" s="789"/>
      <c r="GU652" s="789"/>
      <c r="GV652" s="789"/>
      <c r="GW652" s="789"/>
      <c r="GX652" s="789"/>
      <c r="GY652" s="789"/>
      <c r="GZ652" s="789"/>
      <c r="HA652" s="789"/>
      <c r="HB652" s="789"/>
      <c r="HC652" s="789"/>
      <c r="HD652" s="789"/>
      <c r="HE652" s="789"/>
      <c r="HF652" s="789"/>
      <c r="HG652" s="789"/>
      <c r="HH652" s="789"/>
      <c r="HI652" s="789"/>
      <c r="HJ652" s="789"/>
      <c r="KN652" s="789"/>
    </row>
    <row r="653" spans="1:300" s="789" customFormat="1" ht="18.75" customHeight="1">
      <c r="A653" s="794">
        <v>651</v>
      </c>
      <c r="B653" s="785" t="s">
        <v>374</v>
      </c>
      <c r="C653" s="802" t="s">
        <v>1278</v>
      </c>
      <c r="D653" s="792">
        <v>38443</v>
      </c>
      <c r="E653" s="792">
        <v>38596</v>
      </c>
      <c r="F653" s="791">
        <v>2005</v>
      </c>
      <c r="G653" s="785" t="s">
        <v>426</v>
      </c>
      <c r="H653" s="841" t="s">
        <v>1452</v>
      </c>
      <c r="I653" s="785" t="s">
        <v>427</v>
      </c>
      <c r="J653" s="812" t="s">
        <v>2438</v>
      </c>
      <c r="K653" s="842" t="s">
        <v>75</v>
      </c>
      <c r="L653" s="842">
        <v>387000</v>
      </c>
      <c r="M653" s="842">
        <v>193114</v>
      </c>
      <c r="N653" s="842">
        <v>193114</v>
      </c>
      <c r="O653" s="808"/>
      <c r="P653" s="842">
        <v>49.9</v>
      </c>
      <c r="Q653" s="842" t="s">
        <v>75</v>
      </c>
      <c r="R653" s="842" t="s">
        <v>75</v>
      </c>
      <c r="S653" s="842" t="s">
        <v>75</v>
      </c>
      <c r="T653" s="842" t="s">
        <v>75</v>
      </c>
      <c r="U653" s="842" t="s">
        <v>75</v>
      </c>
      <c r="V653" s="842" t="s">
        <v>75</v>
      </c>
      <c r="W653" s="842" t="s">
        <v>66</v>
      </c>
      <c r="X653" s="842" t="s">
        <v>66</v>
      </c>
      <c r="Y653" s="842"/>
      <c r="Z653" s="842" t="s">
        <v>75</v>
      </c>
      <c r="AA653" s="842" t="s">
        <v>75</v>
      </c>
      <c r="AB653" s="842" t="s">
        <v>75</v>
      </c>
      <c r="AC653" s="842" t="s">
        <v>75</v>
      </c>
      <c r="AD653" s="842" t="s">
        <v>75</v>
      </c>
      <c r="AE653" s="842" t="s">
        <v>75</v>
      </c>
      <c r="AF653" s="842" t="s">
        <v>75</v>
      </c>
      <c r="AG653" s="842" t="s">
        <v>75</v>
      </c>
      <c r="AH653" s="842" t="s">
        <v>75</v>
      </c>
      <c r="AI653" s="842" t="s">
        <v>75</v>
      </c>
      <c r="AJ653" s="787">
        <f t="shared" si="41"/>
        <v>0</v>
      </c>
      <c r="AK653" s="842">
        <v>18000</v>
      </c>
      <c r="AL653" s="842" t="s">
        <v>66</v>
      </c>
      <c r="AM653" s="842"/>
      <c r="AN653" s="842" t="s">
        <v>75</v>
      </c>
      <c r="AO653" s="842" t="s">
        <v>75</v>
      </c>
      <c r="AP653" s="842" t="s">
        <v>75</v>
      </c>
      <c r="AQ653" s="842" t="s">
        <v>75</v>
      </c>
      <c r="AR653" s="842" t="s">
        <v>75</v>
      </c>
      <c r="AS653" s="842" t="s">
        <v>75</v>
      </c>
      <c r="AT653" s="842" t="s">
        <v>75</v>
      </c>
      <c r="AU653" s="785" t="s">
        <v>425</v>
      </c>
      <c r="AV653" s="785"/>
      <c r="AW653" s="785"/>
      <c r="AX653" s="785"/>
      <c r="AY653" s="785"/>
      <c r="AZ653" s="785"/>
      <c r="BA653" s="785"/>
      <c r="BB653" s="785"/>
      <c r="BC653" s="785"/>
      <c r="BD653" s="785"/>
      <c r="BE653" s="785"/>
      <c r="BF653" s="785"/>
      <c r="BG653" s="785"/>
      <c r="BH653" s="785"/>
      <c r="BI653" s="785"/>
      <c r="BJ653" s="785"/>
      <c r="BK653" s="785"/>
      <c r="BL653" s="785"/>
      <c r="BM653" s="785"/>
    </row>
    <row r="654" spans="1:300" s="789" customFormat="1" ht="18.75" customHeight="1">
      <c r="A654" s="794">
        <v>652</v>
      </c>
      <c r="B654" s="847" t="s">
        <v>139</v>
      </c>
      <c r="C654" s="836" t="s">
        <v>1299</v>
      </c>
      <c r="D654" s="840">
        <v>38626</v>
      </c>
      <c r="E654" s="840">
        <v>38961</v>
      </c>
      <c r="F654" s="791">
        <v>2005</v>
      </c>
      <c r="G654" s="836" t="s">
        <v>116</v>
      </c>
      <c r="H654" s="841" t="s">
        <v>1452</v>
      </c>
      <c r="I654" s="836" t="s">
        <v>132</v>
      </c>
      <c r="J654" s="812" t="s">
        <v>2438</v>
      </c>
      <c r="K654" s="838">
        <v>1500000</v>
      </c>
      <c r="L654" s="838">
        <v>11067382</v>
      </c>
      <c r="M654" s="838">
        <v>11180755</v>
      </c>
      <c r="N654" s="838">
        <v>11181153</v>
      </c>
      <c r="O654" s="808">
        <f>N654/K654</f>
        <v>7.4541019999999998</v>
      </c>
      <c r="P654" s="817">
        <v>100</v>
      </c>
      <c r="Q654" s="817" t="s">
        <v>2</v>
      </c>
      <c r="R654" s="817" t="s">
        <v>2</v>
      </c>
      <c r="S654" s="817" t="s">
        <v>134</v>
      </c>
      <c r="T654" s="817" t="s">
        <v>233</v>
      </c>
      <c r="U654" s="817"/>
      <c r="V654" s="817"/>
      <c r="W654" s="838">
        <v>488876</v>
      </c>
      <c r="X654" s="838">
        <v>222562</v>
      </c>
      <c r="Y654" s="838"/>
      <c r="Z654" s="817"/>
      <c r="AA654" s="817"/>
      <c r="AB654" s="817"/>
      <c r="AC654" s="817"/>
      <c r="AD654" s="817"/>
      <c r="AE654" s="817"/>
      <c r="AF654" s="838" t="s">
        <v>75</v>
      </c>
      <c r="AG654" s="838" t="s">
        <v>75</v>
      </c>
      <c r="AH654" s="817"/>
      <c r="AI654" s="817"/>
      <c r="AJ654" s="787">
        <f t="shared" si="41"/>
        <v>0</v>
      </c>
      <c r="AK654" s="838">
        <v>0</v>
      </c>
      <c r="AL654" s="838">
        <v>5836</v>
      </c>
      <c r="AM654" s="817"/>
      <c r="AN654" s="838" t="s">
        <v>75</v>
      </c>
      <c r="AO654" s="838" t="s">
        <v>75</v>
      </c>
      <c r="AP654" s="838" t="s">
        <v>75</v>
      </c>
      <c r="AQ654" s="838" t="s">
        <v>75</v>
      </c>
      <c r="AR654" s="838" t="s">
        <v>75</v>
      </c>
      <c r="AS654" s="838" t="s">
        <v>75</v>
      </c>
      <c r="AT654" s="838" t="s">
        <v>75</v>
      </c>
      <c r="AU654" s="407" t="s">
        <v>137</v>
      </c>
    </row>
    <row r="655" spans="1:300" s="789" customFormat="1" ht="18.75" customHeight="1">
      <c r="A655" s="794">
        <v>653</v>
      </c>
      <c r="B655" s="847" t="s">
        <v>140</v>
      </c>
      <c r="C655" s="836" t="s">
        <v>1299</v>
      </c>
      <c r="D655" s="840">
        <v>38626</v>
      </c>
      <c r="E655" s="840">
        <v>38961</v>
      </c>
      <c r="F655" s="791">
        <v>2005</v>
      </c>
      <c r="G655" s="836" t="s">
        <v>116</v>
      </c>
      <c r="H655" s="841" t="s">
        <v>1452</v>
      </c>
      <c r="I655" s="836" t="s">
        <v>132</v>
      </c>
      <c r="J655" s="812" t="s">
        <v>2438</v>
      </c>
      <c r="K655" s="838"/>
      <c r="L655" s="838"/>
      <c r="M655" s="838"/>
      <c r="N655" s="838"/>
      <c r="O655" s="808"/>
      <c r="P655" s="817"/>
      <c r="Q655" s="817">
        <v>29000</v>
      </c>
      <c r="R655" s="817" t="s">
        <v>134</v>
      </c>
      <c r="S655" s="817">
        <v>29000</v>
      </c>
      <c r="T655" s="817" t="s">
        <v>2</v>
      </c>
      <c r="U655" s="817"/>
      <c r="V655" s="817"/>
      <c r="W655" s="838"/>
      <c r="X655" s="838"/>
      <c r="Y655" s="808">
        <f>X655/S655</f>
        <v>0</v>
      </c>
      <c r="Z655" s="817"/>
      <c r="AA655" s="817"/>
      <c r="AB655" s="817"/>
      <c r="AC655" s="817"/>
      <c r="AD655" s="817"/>
      <c r="AE655" s="817"/>
      <c r="AF655" s="838"/>
      <c r="AG655" s="838"/>
      <c r="AH655" s="817"/>
      <c r="AI655" s="817"/>
      <c r="AJ655" s="787">
        <f t="shared" si="41"/>
        <v>0</v>
      </c>
      <c r="AK655" s="838"/>
      <c r="AL655" s="838"/>
      <c r="AM655" s="817"/>
      <c r="AN655" s="838"/>
      <c r="AO655" s="838"/>
      <c r="AP655" s="838"/>
      <c r="AQ655" s="838"/>
      <c r="AR655" s="838"/>
      <c r="AS655" s="838"/>
      <c r="AT655" s="838"/>
      <c r="AU655" s="415" t="s">
        <v>137</v>
      </c>
    </row>
    <row r="656" spans="1:300" s="789" customFormat="1" ht="18.75" customHeight="1">
      <c r="A656" s="794">
        <v>654</v>
      </c>
      <c r="B656" s="847" t="s">
        <v>143</v>
      </c>
      <c r="C656" s="836" t="s">
        <v>1299</v>
      </c>
      <c r="D656" s="840">
        <v>38626</v>
      </c>
      <c r="E656" s="840">
        <v>38961</v>
      </c>
      <c r="F656" s="791">
        <v>2005</v>
      </c>
      <c r="G656" s="836" t="s">
        <v>116</v>
      </c>
      <c r="H656" s="841" t="s">
        <v>1452</v>
      </c>
      <c r="I656" s="836" t="s">
        <v>132</v>
      </c>
      <c r="J656" s="812" t="s">
        <v>2438</v>
      </c>
      <c r="K656" s="838"/>
      <c r="L656" s="838"/>
      <c r="M656" s="838"/>
      <c r="N656" s="838"/>
      <c r="O656" s="808"/>
      <c r="P656" s="817"/>
      <c r="Q656" s="817">
        <v>8500</v>
      </c>
      <c r="R656" s="817">
        <v>10000</v>
      </c>
      <c r="S656" s="817">
        <v>10000</v>
      </c>
      <c r="T656" s="817" t="s">
        <v>2</v>
      </c>
      <c r="U656" s="817"/>
      <c r="V656" s="817"/>
      <c r="W656" s="838"/>
      <c r="X656" s="838"/>
      <c r="Y656" s="808">
        <f>X656/S656</f>
        <v>0</v>
      </c>
      <c r="Z656" s="817"/>
      <c r="AA656" s="817"/>
      <c r="AB656" s="817"/>
      <c r="AC656" s="817"/>
      <c r="AD656" s="817"/>
      <c r="AE656" s="817"/>
      <c r="AF656" s="838"/>
      <c r="AG656" s="838"/>
      <c r="AH656" s="817"/>
      <c r="AI656" s="817"/>
      <c r="AJ656" s="787">
        <f t="shared" si="41"/>
        <v>0</v>
      </c>
      <c r="AK656" s="838"/>
      <c r="AL656" s="838"/>
      <c r="AM656" s="817"/>
      <c r="AN656" s="838"/>
      <c r="AO656" s="838"/>
      <c r="AP656" s="838"/>
      <c r="AQ656" s="838"/>
      <c r="AR656" s="838"/>
      <c r="AS656" s="838"/>
      <c r="AT656" s="838"/>
      <c r="AU656" s="407" t="s">
        <v>137</v>
      </c>
    </row>
    <row r="657" spans="1:300" s="789" customFormat="1" ht="18.75" customHeight="1">
      <c r="A657" s="794">
        <v>655</v>
      </c>
      <c r="B657" s="847" t="s">
        <v>144</v>
      </c>
      <c r="C657" s="836" t="s">
        <v>1299</v>
      </c>
      <c r="D657" s="840">
        <v>38626</v>
      </c>
      <c r="E657" s="840">
        <v>38961</v>
      </c>
      <c r="F657" s="791">
        <v>2005</v>
      </c>
      <c r="G657" s="836" t="s">
        <v>116</v>
      </c>
      <c r="H657" s="841" t="s">
        <v>1452</v>
      </c>
      <c r="I657" s="836" t="s">
        <v>132</v>
      </c>
      <c r="J657" s="812" t="s">
        <v>2438</v>
      </c>
      <c r="K657" s="838"/>
      <c r="L657" s="838"/>
      <c r="M657" s="838"/>
      <c r="N657" s="838"/>
      <c r="O657" s="808"/>
      <c r="P657" s="817"/>
      <c r="Q657" s="817" t="s">
        <v>134</v>
      </c>
      <c r="R657" s="817" t="s">
        <v>134</v>
      </c>
      <c r="S657" s="817" t="s">
        <v>134</v>
      </c>
      <c r="T657" s="817" t="s">
        <v>233</v>
      </c>
      <c r="U657" s="817"/>
      <c r="V657" s="817"/>
      <c r="W657" s="838"/>
      <c r="X657" s="838"/>
      <c r="Y657" s="838"/>
      <c r="Z657" s="817"/>
      <c r="AA657" s="817"/>
      <c r="AB657" s="817"/>
      <c r="AC657" s="817"/>
      <c r="AD657" s="817"/>
      <c r="AE657" s="817"/>
      <c r="AF657" s="838"/>
      <c r="AG657" s="838"/>
      <c r="AH657" s="817"/>
      <c r="AI657" s="817"/>
      <c r="AJ657" s="787">
        <f t="shared" si="41"/>
        <v>0</v>
      </c>
      <c r="AK657" s="838"/>
      <c r="AL657" s="838"/>
      <c r="AM657" s="817"/>
      <c r="AN657" s="838"/>
      <c r="AO657" s="838"/>
      <c r="AP657" s="838"/>
      <c r="AQ657" s="838"/>
      <c r="AR657" s="838"/>
      <c r="AS657" s="838"/>
      <c r="AT657" s="838"/>
      <c r="AU657" s="407" t="s">
        <v>137</v>
      </c>
    </row>
    <row r="658" spans="1:300" s="785" customFormat="1" ht="18.75" customHeight="1">
      <c r="A658" s="794">
        <v>656</v>
      </c>
      <c r="B658" s="847" t="s">
        <v>138</v>
      </c>
      <c r="C658" s="836" t="s">
        <v>1299</v>
      </c>
      <c r="D658" s="840">
        <v>38626</v>
      </c>
      <c r="E658" s="840">
        <v>38961</v>
      </c>
      <c r="F658" s="791">
        <v>2005</v>
      </c>
      <c r="G658" s="836" t="s">
        <v>116</v>
      </c>
      <c r="H658" s="841" t="s">
        <v>1452</v>
      </c>
      <c r="I658" s="836" t="s">
        <v>132</v>
      </c>
      <c r="J658" s="812" t="s">
        <v>2438</v>
      </c>
      <c r="K658" s="838"/>
      <c r="L658" s="838"/>
      <c r="M658" s="838"/>
      <c r="N658" s="838"/>
      <c r="O658" s="808"/>
      <c r="P658" s="817"/>
      <c r="Q658" s="817" t="s">
        <v>134</v>
      </c>
      <c r="R658" s="817" t="s">
        <v>134</v>
      </c>
      <c r="S658" s="817" t="s">
        <v>134</v>
      </c>
      <c r="T658" s="817" t="s">
        <v>233</v>
      </c>
      <c r="U658" s="817"/>
      <c r="V658" s="817"/>
      <c r="W658" s="838"/>
      <c r="X658" s="838"/>
      <c r="Y658" s="838"/>
      <c r="Z658" s="817"/>
      <c r="AA658" s="817"/>
      <c r="AB658" s="817"/>
      <c r="AC658" s="817"/>
      <c r="AD658" s="817"/>
      <c r="AE658" s="817"/>
      <c r="AF658" s="838"/>
      <c r="AG658" s="838"/>
      <c r="AH658" s="817"/>
      <c r="AI658" s="817"/>
      <c r="AJ658" s="787">
        <f t="shared" si="41"/>
        <v>0</v>
      </c>
      <c r="AK658" s="838"/>
      <c r="AL658" s="838"/>
      <c r="AM658" s="817"/>
      <c r="AN658" s="838"/>
      <c r="AO658" s="838"/>
      <c r="AP658" s="838"/>
      <c r="AQ658" s="838"/>
      <c r="AR658" s="838"/>
      <c r="AS658" s="838"/>
      <c r="AT658" s="838"/>
      <c r="AU658" s="407" t="s">
        <v>137</v>
      </c>
      <c r="AV658" s="789"/>
      <c r="AW658" s="789"/>
      <c r="AX658" s="789"/>
      <c r="AY658" s="789"/>
      <c r="AZ658" s="789"/>
      <c r="BA658" s="789"/>
      <c r="BB658" s="789"/>
      <c r="BC658" s="789"/>
      <c r="BD658" s="789"/>
      <c r="BE658" s="789"/>
      <c r="BF658" s="789"/>
      <c r="BG658" s="789"/>
      <c r="BH658" s="789"/>
      <c r="BI658" s="789"/>
      <c r="BJ658" s="789"/>
      <c r="BK658" s="789"/>
      <c r="BL658" s="789"/>
      <c r="BM658" s="789"/>
    </row>
    <row r="659" spans="1:300" s="815" customFormat="1" ht="18" customHeight="1">
      <c r="A659" s="794">
        <v>657</v>
      </c>
      <c r="B659" s="847" t="s">
        <v>141</v>
      </c>
      <c r="C659" s="836" t="s">
        <v>1299</v>
      </c>
      <c r="D659" s="840">
        <v>38626</v>
      </c>
      <c r="E659" s="840">
        <v>38961</v>
      </c>
      <c r="F659" s="791">
        <v>2005</v>
      </c>
      <c r="G659" s="836" t="s">
        <v>116</v>
      </c>
      <c r="H659" s="841" t="s">
        <v>1452</v>
      </c>
      <c r="I659" s="836" t="s">
        <v>132</v>
      </c>
      <c r="J659" s="812" t="s">
        <v>2438</v>
      </c>
      <c r="K659" s="838"/>
      <c r="L659" s="838"/>
      <c r="M659" s="838"/>
      <c r="N659" s="838"/>
      <c r="O659" s="808"/>
      <c r="P659" s="817"/>
      <c r="Q659" s="817">
        <v>20000</v>
      </c>
      <c r="R659" s="817">
        <v>20820</v>
      </c>
      <c r="S659" s="817">
        <v>20820</v>
      </c>
      <c r="T659" s="817" t="s">
        <v>2</v>
      </c>
      <c r="U659" s="817">
        <v>135</v>
      </c>
      <c r="V659" s="817"/>
      <c r="W659" s="838"/>
      <c r="X659" s="838"/>
      <c r="Y659" s="808">
        <f>X659/S659</f>
        <v>0</v>
      </c>
      <c r="Z659" s="817"/>
      <c r="AA659" s="817"/>
      <c r="AB659" s="817"/>
      <c r="AC659" s="817"/>
      <c r="AD659" s="817"/>
      <c r="AE659" s="817"/>
      <c r="AF659" s="838"/>
      <c r="AG659" s="838"/>
      <c r="AH659" s="817"/>
      <c r="AI659" s="817"/>
      <c r="AJ659" s="787">
        <f t="shared" si="41"/>
        <v>0</v>
      </c>
      <c r="AK659" s="838"/>
      <c r="AL659" s="838"/>
      <c r="AM659" s="817"/>
      <c r="AN659" s="838"/>
      <c r="AO659" s="838"/>
      <c r="AP659" s="838"/>
      <c r="AQ659" s="838"/>
      <c r="AR659" s="838"/>
      <c r="AS659" s="838"/>
      <c r="AT659" s="838"/>
      <c r="AU659" s="407" t="s">
        <v>137</v>
      </c>
      <c r="AV659" s="789"/>
      <c r="AW659" s="789"/>
      <c r="AX659" s="789"/>
      <c r="AY659" s="789"/>
      <c r="AZ659" s="789"/>
      <c r="BA659" s="789"/>
      <c r="BB659" s="789"/>
      <c r="BC659" s="789"/>
      <c r="BD659" s="789"/>
      <c r="BE659" s="789"/>
      <c r="BF659" s="789"/>
      <c r="BG659" s="789"/>
      <c r="BH659" s="789"/>
      <c r="BI659" s="789"/>
      <c r="BJ659" s="789"/>
      <c r="BK659" s="789"/>
      <c r="BL659" s="789"/>
      <c r="BM659" s="789"/>
    </row>
    <row r="660" spans="1:300" s="815" customFormat="1" ht="15" customHeight="1">
      <c r="A660" s="794">
        <v>658</v>
      </c>
      <c r="B660" s="847" t="s">
        <v>142</v>
      </c>
      <c r="C660" s="836" t="s">
        <v>1299</v>
      </c>
      <c r="D660" s="840">
        <v>38626</v>
      </c>
      <c r="E660" s="840">
        <v>38961</v>
      </c>
      <c r="F660" s="791">
        <v>2005</v>
      </c>
      <c r="G660" s="836" t="s">
        <v>116</v>
      </c>
      <c r="H660" s="841" t="s">
        <v>1452</v>
      </c>
      <c r="I660" s="836" t="s">
        <v>132</v>
      </c>
      <c r="J660" s="812" t="s">
        <v>2438</v>
      </c>
      <c r="K660" s="838"/>
      <c r="L660" s="838"/>
      <c r="M660" s="838"/>
      <c r="N660" s="838"/>
      <c r="O660" s="808"/>
      <c r="P660" s="817"/>
      <c r="Q660" s="817">
        <v>10500</v>
      </c>
      <c r="R660" s="817">
        <v>5020</v>
      </c>
      <c r="S660" s="817">
        <v>10500</v>
      </c>
      <c r="T660" s="817" t="s">
        <v>2</v>
      </c>
      <c r="U660" s="817">
        <v>130</v>
      </c>
      <c r="V660" s="817"/>
      <c r="W660" s="838"/>
      <c r="X660" s="838"/>
      <c r="Y660" s="808">
        <f>X660/S660</f>
        <v>0</v>
      </c>
      <c r="Z660" s="817"/>
      <c r="AA660" s="817"/>
      <c r="AB660" s="817"/>
      <c r="AC660" s="817"/>
      <c r="AD660" s="817"/>
      <c r="AE660" s="817"/>
      <c r="AF660" s="838"/>
      <c r="AG660" s="838"/>
      <c r="AH660" s="817"/>
      <c r="AI660" s="817"/>
      <c r="AJ660" s="787">
        <f t="shared" si="41"/>
        <v>0</v>
      </c>
      <c r="AK660" s="838"/>
      <c r="AL660" s="838"/>
      <c r="AM660" s="817"/>
      <c r="AN660" s="838"/>
      <c r="AO660" s="838"/>
      <c r="AP660" s="838"/>
      <c r="AQ660" s="838"/>
      <c r="AR660" s="838"/>
      <c r="AS660" s="838"/>
      <c r="AT660" s="838"/>
      <c r="AU660" s="407" t="s">
        <v>137</v>
      </c>
      <c r="AV660" s="789"/>
      <c r="AW660" s="789"/>
      <c r="AX660" s="789"/>
      <c r="AY660" s="789"/>
      <c r="AZ660" s="789"/>
      <c r="BA660" s="789"/>
      <c r="BB660" s="789"/>
      <c r="BC660" s="789"/>
      <c r="BD660" s="789"/>
      <c r="BE660" s="789"/>
      <c r="BF660" s="789"/>
      <c r="BG660" s="789"/>
      <c r="BH660" s="789"/>
      <c r="BI660" s="789"/>
      <c r="BJ660" s="789"/>
      <c r="BK660" s="789"/>
      <c r="BL660" s="789"/>
      <c r="BM660" s="789"/>
    </row>
    <row r="661" spans="1:300" s="802" customFormat="1" ht="18.75" customHeight="1">
      <c r="A661" s="794">
        <v>659</v>
      </c>
      <c r="B661" s="802" t="s">
        <v>120</v>
      </c>
      <c r="C661" s="804" t="s">
        <v>1299</v>
      </c>
      <c r="D661" s="840">
        <v>38657</v>
      </c>
      <c r="E661" s="805">
        <v>38687</v>
      </c>
      <c r="F661" s="791">
        <v>2005</v>
      </c>
      <c r="G661" s="836" t="s">
        <v>228</v>
      </c>
      <c r="H661" s="837" t="s">
        <v>1449</v>
      </c>
      <c r="I661" s="802" t="s">
        <v>304</v>
      </c>
      <c r="J661" s="800" t="s">
        <v>2331</v>
      </c>
      <c r="K661" s="817">
        <v>2000000</v>
      </c>
      <c r="L661" s="839">
        <v>18408</v>
      </c>
      <c r="M661" s="839">
        <v>18409</v>
      </c>
      <c r="N661" s="839">
        <v>18409</v>
      </c>
      <c r="O661" s="808">
        <f t="shared" ref="O661:O673" si="42">N661/K661</f>
        <v>9.2044999999999991E-3</v>
      </c>
      <c r="P661" s="817">
        <v>100</v>
      </c>
      <c r="Q661" s="817" t="s">
        <v>75</v>
      </c>
      <c r="R661" s="817" t="s">
        <v>75</v>
      </c>
      <c r="S661" s="817" t="s">
        <v>75</v>
      </c>
      <c r="T661" s="817" t="s">
        <v>75</v>
      </c>
      <c r="U661" s="817" t="s">
        <v>75</v>
      </c>
      <c r="V661" s="817" t="s">
        <v>75</v>
      </c>
      <c r="W661" s="817" t="s">
        <v>66</v>
      </c>
      <c r="X661" s="817" t="s">
        <v>66</v>
      </c>
      <c r="Y661" s="817"/>
      <c r="Z661" s="817" t="s">
        <v>75</v>
      </c>
      <c r="AA661" s="817">
        <v>2000000</v>
      </c>
      <c r="AB661" s="839">
        <v>800</v>
      </c>
      <c r="AC661" s="817" t="s">
        <v>75</v>
      </c>
      <c r="AD661" s="817" t="s">
        <v>134</v>
      </c>
      <c r="AE661" s="817" t="s">
        <v>206</v>
      </c>
      <c r="AF661" s="817" t="s">
        <v>75</v>
      </c>
      <c r="AG661" s="817" t="s">
        <v>75</v>
      </c>
      <c r="AH661" s="817" t="s">
        <v>75</v>
      </c>
      <c r="AI661" s="817" t="s">
        <v>75</v>
      </c>
      <c r="AJ661" s="787">
        <f t="shared" si="41"/>
        <v>2000000</v>
      </c>
      <c r="AK661" s="817" t="s">
        <v>66</v>
      </c>
      <c r="AL661" s="817" t="s">
        <v>66</v>
      </c>
      <c r="AM661" s="839"/>
      <c r="AN661" s="817" t="s">
        <v>75</v>
      </c>
      <c r="AO661" s="817" t="s">
        <v>75</v>
      </c>
      <c r="AP661" s="817" t="s">
        <v>75</v>
      </c>
      <c r="AQ661" s="817" t="s">
        <v>75</v>
      </c>
      <c r="AR661" s="817" t="s">
        <v>75</v>
      </c>
      <c r="AS661" s="817" t="s">
        <v>75</v>
      </c>
      <c r="AT661" s="817" t="s">
        <v>75</v>
      </c>
      <c r="AU661" s="804" t="s">
        <v>303</v>
      </c>
      <c r="BM661" s="789"/>
      <c r="BN661" s="789"/>
      <c r="BO661" s="789"/>
      <c r="BP661" s="789"/>
      <c r="BQ661" s="789"/>
      <c r="BR661" s="789"/>
      <c r="BS661" s="789"/>
      <c r="BT661" s="789"/>
      <c r="BU661" s="789"/>
      <c r="BV661" s="789"/>
      <c r="BW661" s="789"/>
      <c r="BX661" s="789"/>
      <c r="BY661" s="789"/>
      <c r="BZ661" s="789"/>
      <c r="CA661" s="789"/>
      <c r="CB661" s="789"/>
      <c r="CC661" s="789"/>
      <c r="CD661" s="789"/>
      <c r="CE661" s="789"/>
      <c r="CF661" s="789"/>
      <c r="CG661" s="789"/>
      <c r="CH661" s="789"/>
      <c r="CI661" s="789"/>
      <c r="CJ661" s="789"/>
      <c r="CK661" s="789"/>
      <c r="CL661" s="789"/>
      <c r="CM661" s="789"/>
      <c r="CN661" s="789"/>
      <c r="CO661" s="789"/>
      <c r="CP661" s="789"/>
      <c r="CQ661" s="789"/>
      <c r="CR661" s="789"/>
      <c r="CS661" s="789"/>
      <c r="CT661" s="789"/>
      <c r="CU661" s="789"/>
      <c r="CV661" s="789"/>
      <c r="CW661" s="789"/>
      <c r="CX661" s="789"/>
      <c r="CY661" s="789"/>
      <c r="CZ661" s="789"/>
      <c r="DA661" s="789"/>
      <c r="DB661" s="789"/>
      <c r="DC661" s="789"/>
      <c r="DD661" s="789"/>
      <c r="DE661" s="789"/>
      <c r="DF661" s="789"/>
      <c r="DG661" s="789"/>
      <c r="DH661" s="789"/>
      <c r="DI661" s="789"/>
      <c r="DJ661" s="789"/>
      <c r="DK661" s="789"/>
      <c r="DL661" s="789"/>
      <c r="DM661" s="789"/>
      <c r="DN661" s="789"/>
      <c r="DO661" s="789"/>
      <c r="DP661" s="789"/>
      <c r="DQ661" s="789"/>
      <c r="DR661" s="789"/>
      <c r="DS661" s="789"/>
      <c r="DT661" s="789"/>
      <c r="DU661" s="789"/>
      <c r="DV661" s="789"/>
      <c r="DW661" s="789"/>
      <c r="DX661" s="789"/>
      <c r="DY661" s="789"/>
      <c r="DZ661" s="789"/>
      <c r="EA661" s="789"/>
      <c r="EB661" s="789"/>
      <c r="EC661" s="789"/>
      <c r="ED661" s="789"/>
      <c r="EE661" s="789"/>
      <c r="EF661" s="789"/>
      <c r="EG661" s="789"/>
      <c r="EH661" s="789"/>
      <c r="EI661" s="789"/>
      <c r="EJ661" s="789"/>
      <c r="EK661" s="789"/>
      <c r="EL661" s="789"/>
      <c r="EM661" s="789"/>
      <c r="EN661" s="789"/>
      <c r="EO661" s="789"/>
      <c r="EP661" s="789"/>
      <c r="EQ661" s="789"/>
      <c r="ER661" s="789"/>
      <c r="ES661" s="789"/>
      <c r="ET661" s="789"/>
      <c r="EU661" s="789"/>
      <c r="EV661" s="789"/>
      <c r="EW661" s="789"/>
      <c r="EX661" s="789"/>
      <c r="EY661" s="789"/>
      <c r="EZ661" s="789"/>
      <c r="FA661" s="789"/>
      <c r="FB661" s="789"/>
      <c r="FC661" s="789"/>
      <c r="FD661" s="789"/>
      <c r="FE661" s="789"/>
      <c r="FF661" s="789"/>
      <c r="FG661" s="789"/>
      <c r="FH661" s="789"/>
      <c r="FI661" s="789"/>
      <c r="FJ661" s="789"/>
      <c r="FK661" s="789"/>
      <c r="FL661" s="789"/>
      <c r="FM661" s="789"/>
      <c r="FN661" s="789"/>
      <c r="FO661" s="789"/>
      <c r="FP661" s="789"/>
      <c r="FQ661" s="789"/>
      <c r="FR661" s="789"/>
      <c r="FS661" s="789"/>
      <c r="FT661" s="789"/>
      <c r="FU661" s="789"/>
      <c r="FV661" s="789"/>
      <c r="FW661" s="789"/>
      <c r="FX661" s="789"/>
      <c r="FY661" s="789"/>
      <c r="FZ661" s="789"/>
      <c r="GA661" s="789"/>
      <c r="GB661" s="789"/>
      <c r="GC661" s="789"/>
      <c r="GD661" s="789"/>
      <c r="GE661" s="789"/>
      <c r="GF661" s="789"/>
      <c r="GG661" s="789"/>
      <c r="GH661" s="789"/>
      <c r="GI661" s="789"/>
      <c r="GJ661" s="789"/>
      <c r="GK661" s="789"/>
      <c r="GL661" s="789"/>
      <c r="GM661" s="789"/>
      <c r="GN661" s="789"/>
      <c r="GO661" s="789"/>
      <c r="GP661" s="789"/>
      <c r="GQ661" s="789"/>
      <c r="GR661" s="789"/>
      <c r="GS661" s="789"/>
      <c r="GT661" s="789"/>
      <c r="GU661" s="789"/>
      <c r="GV661" s="789"/>
      <c r="GW661" s="789"/>
      <c r="GX661" s="789"/>
      <c r="GY661" s="789"/>
      <c r="GZ661" s="789"/>
      <c r="HA661" s="789"/>
      <c r="HB661" s="789"/>
      <c r="HC661" s="789"/>
      <c r="HD661" s="789"/>
      <c r="HE661" s="789"/>
      <c r="HF661" s="789"/>
      <c r="HG661" s="789"/>
      <c r="HH661" s="789"/>
      <c r="HI661" s="789"/>
      <c r="HJ661" s="789"/>
      <c r="KN661" s="789"/>
    </row>
    <row r="662" spans="1:300" s="802" customFormat="1" ht="18.75" customHeight="1">
      <c r="A662" s="794">
        <v>660</v>
      </c>
      <c r="B662" s="785" t="s">
        <v>934</v>
      </c>
      <c r="C662" s="785" t="s">
        <v>1260</v>
      </c>
      <c r="D662" s="799">
        <v>38565</v>
      </c>
      <c r="E662" s="792">
        <v>38687</v>
      </c>
      <c r="F662" s="791">
        <v>2005</v>
      </c>
      <c r="G662" s="785" t="s">
        <v>5</v>
      </c>
      <c r="H662" s="837" t="s">
        <v>1451</v>
      </c>
      <c r="I662" s="785" t="s">
        <v>559</v>
      </c>
      <c r="J662" s="800" t="s">
        <v>2331</v>
      </c>
      <c r="K662" s="842">
        <v>3000</v>
      </c>
      <c r="L662" s="842">
        <v>50000</v>
      </c>
      <c r="M662" s="842">
        <v>50000</v>
      </c>
      <c r="N662" s="842">
        <v>50000</v>
      </c>
      <c r="O662" s="808">
        <f t="shared" si="42"/>
        <v>16.666666666666668</v>
      </c>
      <c r="P662" s="842">
        <v>100</v>
      </c>
      <c r="Q662" s="842">
        <v>2390</v>
      </c>
      <c r="R662" s="842" t="s">
        <v>75</v>
      </c>
      <c r="S662" s="842">
        <v>2390</v>
      </c>
      <c r="T662" s="842" t="s">
        <v>233</v>
      </c>
      <c r="U662" s="842" t="s">
        <v>75</v>
      </c>
      <c r="V662" s="842" t="s">
        <v>75</v>
      </c>
      <c r="W662" s="842" t="s">
        <v>66</v>
      </c>
      <c r="X662" s="842" t="s">
        <v>66</v>
      </c>
      <c r="Y662" s="808"/>
      <c r="Z662" s="842" t="s">
        <v>75</v>
      </c>
      <c r="AA662" s="842" t="s">
        <v>75</v>
      </c>
      <c r="AB662" s="842" t="s">
        <v>75</v>
      </c>
      <c r="AC662" s="842" t="s">
        <v>75</v>
      </c>
      <c r="AD662" s="842" t="s">
        <v>75</v>
      </c>
      <c r="AE662" s="842" t="s">
        <v>75</v>
      </c>
      <c r="AF662" s="842" t="s">
        <v>75</v>
      </c>
      <c r="AG662" s="842" t="s">
        <v>75</v>
      </c>
      <c r="AH662" s="842" t="s">
        <v>75</v>
      </c>
      <c r="AI662" s="842" t="s">
        <v>75</v>
      </c>
      <c r="AJ662" s="787">
        <f t="shared" si="41"/>
        <v>0</v>
      </c>
      <c r="AK662" s="842" t="s">
        <v>66</v>
      </c>
      <c r="AL662" s="842" t="s">
        <v>66</v>
      </c>
      <c r="AM662" s="842"/>
      <c r="AN662" s="842"/>
      <c r="AO662" s="842"/>
      <c r="AP662" s="842"/>
      <c r="AQ662" s="842"/>
      <c r="AR662" s="842"/>
      <c r="AS662" s="842" t="s">
        <v>75</v>
      </c>
      <c r="AT662" s="842" t="s">
        <v>75</v>
      </c>
      <c r="AU662" s="785" t="s">
        <v>556</v>
      </c>
      <c r="AV662" s="785"/>
      <c r="AW662" s="785"/>
      <c r="AX662" s="785"/>
      <c r="AY662" s="785"/>
      <c r="AZ662" s="785"/>
      <c r="BA662" s="785"/>
      <c r="BB662" s="785"/>
      <c r="BC662" s="785"/>
      <c r="BD662" s="785"/>
      <c r="BE662" s="785"/>
      <c r="BF662" s="785"/>
      <c r="BG662" s="785"/>
      <c r="BH662" s="785"/>
      <c r="BI662" s="785"/>
      <c r="BJ662" s="785"/>
      <c r="BK662" s="785"/>
      <c r="BL662" s="785"/>
      <c r="BM662" s="785"/>
      <c r="BN662" s="789"/>
      <c r="BO662" s="789"/>
      <c r="BP662" s="789"/>
      <c r="BQ662" s="789"/>
      <c r="BR662" s="789"/>
      <c r="BS662" s="789"/>
      <c r="BT662" s="789"/>
      <c r="BU662" s="789"/>
      <c r="BV662" s="789"/>
      <c r="BW662" s="789"/>
      <c r="BX662" s="789"/>
      <c r="BY662" s="789"/>
      <c r="BZ662" s="789"/>
      <c r="CA662" s="789"/>
      <c r="CB662" s="789"/>
      <c r="CC662" s="789"/>
      <c r="CD662" s="789"/>
      <c r="CE662" s="789"/>
      <c r="CF662" s="789"/>
      <c r="CG662" s="789"/>
      <c r="CH662" s="789"/>
      <c r="CI662" s="789"/>
      <c r="CJ662" s="789"/>
      <c r="CK662" s="789"/>
      <c r="CL662" s="789"/>
      <c r="CM662" s="789"/>
      <c r="CN662" s="789"/>
      <c r="CO662" s="789"/>
      <c r="CP662" s="789"/>
      <c r="CQ662" s="789"/>
      <c r="CR662" s="789"/>
      <c r="CS662" s="789"/>
      <c r="CT662" s="789"/>
      <c r="CU662" s="789"/>
      <c r="CV662" s="789"/>
      <c r="CW662" s="789"/>
      <c r="CX662" s="789"/>
      <c r="CY662" s="789"/>
      <c r="CZ662" s="789"/>
      <c r="DA662" s="789"/>
      <c r="DB662" s="789"/>
      <c r="DC662" s="789"/>
      <c r="DD662" s="789"/>
      <c r="DE662" s="789"/>
      <c r="DF662" s="789"/>
      <c r="DG662" s="789"/>
      <c r="DH662" s="789"/>
      <c r="DI662" s="789"/>
      <c r="DJ662" s="789"/>
      <c r="DK662" s="789"/>
      <c r="DL662" s="789"/>
      <c r="DM662" s="789"/>
      <c r="DN662" s="789"/>
      <c r="DO662" s="789"/>
      <c r="DP662" s="789"/>
      <c r="DQ662" s="789"/>
      <c r="DR662" s="789"/>
      <c r="DS662" s="789"/>
      <c r="DT662" s="789"/>
      <c r="DU662" s="789"/>
      <c r="DV662" s="789"/>
      <c r="DW662" s="789"/>
      <c r="DX662" s="789"/>
      <c r="DY662" s="789"/>
      <c r="DZ662" s="789"/>
      <c r="EA662" s="789"/>
      <c r="EB662" s="789"/>
      <c r="EC662" s="789"/>
      <c r="ED662" s="789"/>
      <c r="EE662" s="789"/>
      <c r="EF662" s="789"/>
      <c r="EG662" s="789"/>
      <c r="EH662" s="789"/>
      <c r="EI662" s="789"/>
      <c r="EJ662" s="789"/>
      <c r="EK662" s="789"/>
      <c r="EL662" s="789"/>
      <c r="EM662" s="789"/>
      <c r="EN662" s="789"/>
      <c r="EO662" s="789"/>
      <c r="EP662" s="789"/>
      <c r="EQ662" s="789"/>
      <c r="ER662" s="789"/>
      <c r="ES662" s="789"/>
      <c r="ET662" s="789"/>
      <c r="EU662" s="789"/>
      <c r="EV662" s="789"/>
      <c r="EW662" s="789"/>
      <c r="EX662" s="789"/>
      <c r="EY662" s="789"/>
      <c r="EZ662" s="789"/>
      <c r="FA662" s="789"/>
      <c r="FB662" s="789"/>
      <c r="FC662" s="789"/>
      <c r="FD662" s="789"/>
      <c r="FE662" s="789"/>
      <c r="FF662" s="789"/>
      <c r="FG662" s="789"/>
      <c r="FH662" s="789"/>
      <c r="FI662" s="789"/>
      <c r="FJ662" s="789"/>
      <c r="FK662" s="789"/>
      <c r="FL662" s="789"/>
      <c r="FM662" s="789"/>
      <c r="FN662" s="789"/>
      <c r="FO662" s="789"/>
      <c r="FP662" s="789"/>
      <c r="FQ662" s="789"/>
      <c r="FR662" s="789"/>
      <c r="FS662" s="789"/>
      <c r="FT662" s="789"/>
      <c r="FU662" s="789"/>
      <c r="FV662" s="789"/>
      <c r="FW662" s="789"/>
      <c r="FX662" s="789"/>
      <c r="FY662" s="789"/>
      <c r="FZ662" s="789"/>
      <c r="GA662" s="789"/>
      <c r="GB662" s="789"/>
      <c r="GC662" s="789"/>
      <c r="GD662" s="789"/>
      <c r="GE662" s="789"/>
      <c r="GF662" s="789"/>
      <c r="GG662" s="789"/>
      <c r="GH662" s="789"/>
      <c r="GI662" s="789"/>
      <c r="GJ662" s="789"/>
      <c r="GK662" s="789"/>
      <c r="GL662" s="789"/>
      <c r="GM662" s="789"/>
      <c r="GN662" s="789"/>
      <c r="GO662" s="789"/>
      <c r="GP662" s="789"/>
      <c r="GQ662" s="789"/>
      <c r="GR662" s="789"/>
      <c r="GS662" s="789"/>
      <c r="GT662" s="789"/>
      <c r="GU662" s="789"/>
      <c r="GV662" s="789"/>
      <c r="GW662" s="789"/>
      <c r="GX662" s="789"/>
      <c r="GY662" s="789"/>
      <c r="GZ662" s="789"/>
      <c r="HA662" s="789"/>
      <c r="HB662" s="789"/>
      <c r="HC662" s="789"/>
      <c r="HD662" s="789"/>
      <c r="HE662" s="789"/>
      <c r="HF662" s="789"/>
      <c r="HG662" s="789"/>
      <c r="HH662" s="789"/>
      <c r="HI662" s="789"/>
      <c r="HJ662" s="789"/>
      <c r="KN662" s="789"/>
    </row>
    <row r="663" spans="1:300" s="785" customFormat="1" ht="27" customHeight="1">
      <c r="A663" s="794">
        <v>661</v>
      </c>
      <c r="B663" s="802" t="s">
        <v>145</v>
      </c>
      <c r="C663" s="804" t="s">
        <v>1299</v>
      </c>
      <c r="D663" s="805">
        <v>38565</v>
      </c>
      <c r="E663" s="805">
        <v>38657</v>
      </c>
      <c r="F663" s="791">
        <v>2005</v>
      </c>
      <c r="G663" s="804" t="s">
        <v>5</v>
      </c>
      <c r="H663" s="837" t="s">
        <v>1451</v>
      </c>
      <c r="I663" s="802" t="s">
        <v>269</v>
      </c>
      <c r="J663" s="800" t="s">
        <v>2331</v>
      </c>
      <c r="K663" s="817">
        <v>50000</v>
      </c>
      <c r="L663" s="839">
        <v>0</v>
      </c>
      <c r="M663" s="839">
        <v>100000</v>
      </c>
      <c r="N663" s="817">
        <v>100000</v>
      </c>
      <c r="O663" s="808">
        <f t="shared" si="42"/>
        <v>2</v>
      </c>
      <c r="P663" s="839" t="s">
        <v>66</v>
      </c>
      <c r="Q663" s="839" t="s">
        <v>75</v>
      </c>
      <c r="R663" s="839" t="s">
        <v>75</v>
      </c>
      <c r="S663" s="817" t="s">
        <v>75</v>
      </c>
      <c r="T663" s="817" t="s">
        <v>233</v>
      </c>
      <c r="U663" s="839">
        <v>50</v>
      </c>
      <c r="V663" s="817">
        <v>50000</v>
      </c>
      <c r="W663" s="817" t="s">
        <v>66</v>
      </c>
      <c r="X663" s="817" t="s">
        <v>66</v>
      </c>
      <c r="Y663" s="817"/>
      <c r="Z663" s="817" t="s">
        <v>75</v>
      </c>
      <c r="AA663" s="817" t="s">
        <v>75</v>
      </c>
      <c r="AB663" s="817" t="s">
        <v>75</v>
      </c>
      <c r="AC663" s="817" t="s">
        <v>75</v>
      </c>
      <c r="AD663" s="817" t="s">
        <v>75</v>
      </c>
      <c r="AE663" s="817" t="s">
        <v>75</v>
      </c>
      <c r="AF663" s="817" t="s">
        <v>75</v>
      </c>
      <c r="AG663" s="817" t="s">
        <v>75</v>
      </c>
      <c r="AH663" s="817" t="s">
        <v>75</v>
      </c>
      <c r="AI663" s="817" t="s">
        <v>75</v>
      </c>
      <c r="AJ663" s="787">
        <f t="shared" si="41"/>
        <v>0</v>
      </c>
      <c r="AK663" s="817">
        <v>0</v>
      </c>
      <c r="AL663" s="817">
        <v>3856</v>
      </c>
      <c r="AM663" s="839"/>
      <c r="AN663" s="817" t="s">
        <v>75</v>
      </c>
      <c r="AO663" s="817" t="s">
        <v>75</v>
      </c>
      <c r="AP663" s="817" t="s">
        <v>75</v>
      </c>
      <c r="AQ663" s="817" t="s">
        <v>75</v>
      </c>
      <c r="AR663" s="817" t="s">
        <v>75</v>
      </c>
      <c r="AS663" s="817" t="s">
        <v>75</v>
      </c>
      <c r="AT663" s="817" t="s">
        <v>75</v>
      </c>
      <c r="AU663" s="404" t="s">
        <v>268</v>
      </c>
      <c r="AV663" s="802"/>
      <c r="AW663" s="802"/>
      <c r="AX663" s="802"/>
      <c r="AY663" s="802"/>
      <c r="AZ663" s="802"/>
      <c r="BA663" s="802"/>
      <c r="BB663" s="802"/>
      <c r="BC663" s="802"/>
      <c r="BD663" s="802"/>
      <c r="BE663" s="802"/>
      <c r="BF663" s="802"/>
      <c r="BG663" s="802"/>
      <c r="BH663" s="802"/>
      <c r="BI663" s="802"/>
      <c r="BJ663" s="802"/>
      <c r="BK663" s="802"/>
      <c r="BL663" s="802"/>
      <c r="BM663" s="789"/>
    </row>
    <row r="664" spans="1:300" s="785" customFormat="1" ht="15">
      <c r="A664" s="794">
        <v>662</v>
      </c>
      <c r="B664" s="785" t="s">
        <v>28</v>
      </c>
      <c r="C664" s="785" t="s">
        <v>1261</v>
      </c>
      <c r="D664" s="792">
        <v>38384</v>
      </c>
      <c r="E664" s="792">
        <v>38596</v>
      </c>
      <c r="F664" s="791">
        <v>2005</v>
      </c>
      <c r="G664" s="785" t="s">
        <v>558</v>
      </c>
      <c r="H664" s="837" t="s">
        <v>1451</v>
      </c>
      <c r="I664" s="785" t="s">
        <v>850</v>
      </c>
      <c r="J664" s="800" t="s">
        <v>2331</v>
      </c>
      <c r="K664" s="842">
        <v>10000</v>
      </c>
      <c r="L664" s="842">
        <v>100000</v>
      </c>
      <c r="M664" s="842">
        <v>100000</v>
      </c>
      <c r="N664" s="842">
        <v>100000</v>
      </c>
      <c r="O664" s="808">
        <f t="shared" si="42"/>
        <v>10</v>
      </c>
      <c r="P664" s="842">
        <v>100</v>
      </c>
      <c r="Q664" s="842" t="s">
        <v>134</v>
      </c>
      <c r="R664" s="842" t="s">
        <v>75</v>
      </c>
      <c r="S664" s="842" t="s">
        <v>75</v>
      </c>
      <c r="T664" s="842" t="s">
        <v>233</v>
      </c>
      <c r="U664" s="842" t="s">
        <v>75</v>
      </c>
      <c r="V664" s="842" t="s">
        <v>75</v>
      </c>
      <c r="W664" s="842" t="s">
        <v>66</v>
      </c>
      <c r="X664" s="842" t="s">
        <v>66</v>
      </c>
      <c r="Y664" s="842"/>
      <c r="Z664" s="842" t="s">
        <v>75</v>
      </c>
      <c r="AA664" s="842" t="s">
        <v>75</v>
      </c>
      <c r="AB664" s="842" t="s">
        <v>75</v>
      </c>
      <c r="AC664" s="842" t="s">
        <v>75</v>
      </c>
      <c r="AD664" s="842" t="s">
        <v>75</v>
      </c>
      <c r="AE664" s="842" t="s">
        <v>75</v>
      </c>
      <c r="AF664" s="842" t="s">
        <v>75</v>
      </c>
      <c r="AG664" s="842" t="s">
        <v>75</v>
      </c>
      <c r="AH664" s="842" t="s">
        <v>75</v>
      </c>
      <c r="AI664" s="842" t="s">
        <v>75</v>
      </c>
      <c r="AJ664" s="787">
        <f t="shared" si="41"/>
        <v>0</v>
      </c>
      <c r="AK664" s="842" t="s">
        <v>66</v>
      </c>
      <c r="AL664" s="842" t="s">
        <v>66</v>
      </c>
      <c r="AM664" s="842"/>
      <c r="AN664" s="842"/>
      <c r="AO664" s="842"/>
      <c r="AP664" s="842"/>
      <c r="AQ664" s="842"/>
      <c r="AR664" s="842"/>
      <c r="AS664" s="842" t="s">
        <v>75</v>
      </c>
      <c r="AT664" s="842" t="s">
        <v>75</v>
      </c>
      <c r="AU664" s="785" t="s">
        <v>557</v>
      </c>
    </row>
    <row r="665" spans="1:300" s="785" customFormat="1" ht="15">
      <c r="A665" s="794">
        <v>663</v>
      </c>
      <c r="B665" s="785" t="s">
        <v>28</v>
      </c>
      <c r="C665" s="785" t="s">
        <v>1261</v>
      </c>
      <c r="D665" s="819">
        <v>38626</v>
      </c>
      <c r="E665" s="819">
        <v>40878</v>
      </c>
      <c r="F665" s="791">
        <v>2005</v>
      </c>
      <c r="G665" s="785" t="s">
        <v>24</v>
      </c>
      <c r="H665" s="841" t="s">
        <v>1454</v>
      </c>
      <c r="I665" s="818" t="s">
        <v>2009</v>
      </c>
      <c r="J665" s="812" t="s">
        <v>2438</v>
      </c>
      <c r="K665" s="808">
        <v>1085000</v>
      </c>
      <c r="L665" s="808">
        <v>167680883</v>
      </c>
      <c r="M665" s="808">
        <v>159683680</v>
      </c>
      <c r="N665" s="808">
        <v>152009472</v>
      </c>
      <c r="O665" s="808">
        <f t="shared" si="42"/>
        <v>140.10089585253456</v>
      </c>
      <c r="P665" s="808">
        <f>(M665*100)/L665</f>
        <v>95.230700806841526</v>
      </c>
      <c r="Q665" s="808">
        <v>128100</v>
      </c>
      <c r="R665" s="808">
        <v>129725</v>
      </c>
      <c r="S665" s="808">
        <v>152476</v>
      </c>
      <c r="T665" s="808" t="s">
        <v>2</v>
      </c>
      <c r="U665" s="808">
        <v>203</v>
      </c>
      <c r="V665" s="808">
        <v>93000</v>
      </c>
      <c r="W665" s="808">
        <v>1884256</v>
      </c>
      <c r="X665" s="808">
        <v>8908953</v>
      </c>
      <c r="Y665" s="808">
        <f>X665/S665</f>
        <v>58.428559248668641</v>
      </c>
      <c r="Z665" s="808">
        <v>32000</v>
      </c>
      <c r="AA665" s="808">
        <v>241500</v>
      </c>
      <c r="AB665" s="808">
        <v>3266</v>
      </c>
      <c r="AC665" s="808">
        <v>150</v>
      </c>
      <c r="AD665" s="808"/>
      <c r="AE665" s="808"/>
      <c r="AF665" s="808"/>
      <c r="AG665" s="808"/>
      <c r="AH665" s="808">
        <v>416916</v>
      </c>
      <c r="AI665" s="808"/>
      <c r="AJ665" s="787">
        <f t="shared" si="41"/>
        <v>690416</v>
      </c>
      <c r="AK665" s="808">
        <v>3518166</v>
      </c>
      <c r="AL665" s="808">
        <v>2704108</v>
      </c>
      <c r="AM665" s="816"/>
      <c r="AN665" s="816">
        <v>1</v>
      </c>
      <c r="AO665" s="816">
        <v>1</v>
      </c>
      <c r="AP665" s="816">
        <v>1</v>
      </c>
      <c r="AQ665" s="816">
        <v>1</v>
      </c>
      <c r="AR665" s="816">
        <v>6</v>
      </c>
      <c r="AS665" s="816" t="s">
        <v>2010</v>
      </c>
      <c r="AT665" s="816"/>
      <c r="AU665" s="815" t="s">
        <v>2008</v>
      </c>
      <c r="AV665" s="815"/>
      <c r="AW665" s="815"/>
      <c r="AX665" s="815"/>
      <c r="AY665" s="815"/>
      <c r="AZ665" s="815"/>
      <c r="BA665" s="815"/>
      <c r="BB665" s="815"/>
      <c r="BC665" s="815"/>
      <c r="BD665" s="815"/>
      <c r="BE665" s="815"/>
      <c r="BF665" s="815"/>
      <c r="BG665" s="815"/>
      <c r="BH665" s="815"/>
      <c r="BI665" s="815"/>
      <c r="BJ665" s="815"/>
      <c r="BK665" s="815"/>
      <c r="BL665" s="815"/>
      <c r="BM665" s="815"/>
    </row>
    <row r="666" spans="1:300" s="785" customFormat="1" ht="16.5" customHeight="1">
      <c r="A666" s="794">
        <v>664</v>
      </c>
      <c r="B666" s="846" t="s">
        <v>393</v>
      </c>
      <c r="C666" s="836" t="s">
        <v>1261</v>
      </c>
      <c r="D666" s="840">
        <v>38504</v>
      </c>
      <c r="E666" s="840">
        <v>38777</v>
      </c>
      <c r="F666" s="791">
        <v>2005</v>
      </c>
      <c r="G666" s="789" t="s">
        <v>392</v>
      </c>
      <c r="H666" s="837" t="s">
        <v>1454</v>
      </c>
      <c r="I666" s="789" t="s">
        <v>394</v>
      </c>
      <c r="J666" s="812" t="s">
        <v>2438</v>
      </c>
      <c r="K666" s="817">
        <v>11500</v>
      </c>
      <c r="L666" s="817">
        <v>747377</v>
      </c>
      <c r="M666" s="817">
        <v>833852</v>
      </c>
      <c r="N666" s="817">
        <v>833852</v>
      </c>
      <c r="O666" s="808">
        <f t="shared" si="42"/>
        <v>72.508869565217395</v>
      </c>
      <c r="P666" s="817">
        <v>112</v>
      </c>
      <c r="Q666" s="817" t="s">
        <v>75</v>
      </c>
      <c r="R666" s="817" t="s">
        <v>75</v>
      </c>
      <c r="S666" s="817" t="s">
        <v>75</v>
      </c>
      <c r="T666" s="817" t="s">
        <v>849</v>
      </c>
      <c r="U666" s="817" t="s">
        <v>75</v>
      </c>
      <c r="V666" s="817" t="s">
        <v>75</v>
      </c>
      <c r="W666" s="817">
        <v>5000</v>
      </c>
      <c r="X666" s="817">
        <v>42343</v>
      </c>
      <c r="Y666" s="817"/>
      <c r="Z666" s="817" t="s">
        <v>75</v>
      </c>
      <c r="AA666" s="817" t="s">
        <v>75</v>
      </c>
      <c r="AB666" s="817" t="s">
        <v>75</v>
      </c>
      <c r="AC666" s="817" t="s">
        <v>75</v>
      </c>
      <c r="AD666" s="817" t="s">
        <v>75</v>
      </c>
      <c r="AE666" s="817" t="s">
        <v>75</v>
      </c>
      <c r="AF666" s="817" t="s">
        <v>75</v>
      </c>
      <c r="AG666" s="817" t="s">
        <v>75</v>
      </c>
      <c r="AH666" s="817" t="s">
        <v>75</v>
      </c>
      <c r="AI666" s="817" t="s">
        <v>75</v>
      </c>
      <c r="AJ666" s="787">
        <f t="shared" si="41"/>
        <v>0</v>
      </c>
      <c r="AK666" s="817" t="s">
        <v>75</v>
      </c>
      <c r="AL666" s="817">
        <v>146</v>
      </c>
      <c r="AM666" s="817"/>
      <c r="AN666" s="817" t="s">
        <v>75</v>
      </c>
      <c r="AO666" s="817" t="s">
        <v>75</v>
      </c>
      <c r="AP666" s="817" t="s">
        <v>75</v>
      </c>
      <c r="AQ666" s="817" t="s">
        <v>75</v>
      </c>
      <c r="AR666" s="817" t="s">
        <v>75</v>
      </c>
      <c r="AS666" s="817" t="s">
        <v>75</v>
      </c>
      <c r="AT666" s="817" t="s">
        <v>75</v>
      </c>
      <c r="AU666" s="356" t="s">
        <v>760</v>
      </c>
      <c r="AV666" s="845"/>
      <c r="AW666" s="845"/>
      <c r="AX666" s="845"/>
      <c r="AY666" s="845"/>
      <c r="AZ666" s="845"/>
      <c r="BA666" s="845"/>
      <c r="BB666" s="845"/>
      <c r="BC666" s="845"/>
      <c r="BD666" s="845"/>
      <c r="BE666" s="845"/>
      <c r="BF666" s="845"/>
      <c r="BG666" s="845"/>
      <c r="BH666" s="845"/>
      <c r="BI666" s="845"/>
      <c r="BJ666" s="845"/>
      <c r="BK666" s="845"/>
      <c r="BL666" s="845"/>
      <c r="BM666" s="845"/>
    </row>
    <row r="667" spans="1:300" s="796" customFormat="1" ht="15">
      <c r="A667" s="794">
        <v>665</v>
      </c>
      <c r="B667" s="796" t="s">
        <v>355</v>
      </c>
      <c r="C667" s="796" t="s">
        <v>1260</v>
      </c>
      <c r="D667" s="792">
        <v>38443</v>
      </c>
      <c r="E667" s="799">
        <v>38838</v>
      </c>
      <c r="F667" s="791">
        <v>2005</v>
      </c>
      <c r="G667" s="796" t="s">
        <v>5</v>
      </c>
      <c r="H667" s="837" t="s">
        <v>1451</v>
      </c>
      <c r="I667" s="796" t="s">
        <v>369</v>
      </c>
      <c r="J667" s="812" t="s">
        <v>2438</v>
      </c>
      <c r="K667" s="842">
        <v>30000</v>
      </c>
      <c r="L667" s="843">
        <v>1055000</v>
      </c>
      <c r="M667" s="843">
        <v>622274</v>
      </c>
      <c r="N667" s="843">
        <v>622167</v>
      </c>
      <c r="O667" s="808">
        <f t="shared" si="42"/>
        <v>20.738900000000001</v>
      </c>
      <c r="P667" s="843">
        <v>59</v>
      </c>
      <c r="Q667" s="843">
        <v>10000</v>
      </c>
      <c r="R667" s="843" t="s">
        <v>75</v>
      </c>
      <c r="S667" s="843" t="s">
        <v>75</v>
      </c>
      <c r="T667" s="843" t="s">
        <v>233</v>
      </c>
      <c r="U667" s="843" t="s">
        <v>75</v>
      </c>
      <c r="V667" s="843" t="s">
        <v>75</v>
      </c>
      <c r="W667" s="842">
        <v>8000</v>
      </c>
      <c r="X667" s="843">
        <v>645</v>
      </c>
      <c r="Y667" s="842"/>
      <c r="Z667" s="843" t="s">
        <v>75</v>
      </c>
      <c r="AA667" s="843" t="s">
        <v>75</v>
      </c>
      <c r="AB667" s="843" t="s">
        <v>75</v>
      </c>
      <c r="AC667" s="843" t="s">
        <v>75</v>
      </c>
      <c r="AD667" s="843" t="s">
        <v>75</v>
      </c>
      <c r="AE667" s="843" t="s">
        <v>75</v>
      </c>
      <c r="AF667" s="843" t="s">
        <v>75</v>
      </c>
      <c r="AG667" s="843" t="s">
        <v>75</v>
      </c>
      <c r="AH667" s="842" t="s">
        <v>75</v>
      </c>
      <c r="AI667" s="843" t="s">
        <v>75</v>
      </c>
      <c r="AJ667" s="787">
        <f t="shared" si="41"/>
        <v>0</v>
      </c>
      <c r="AK667" s="842" t="s">
        <v>66</v>
      </c>
      <c r="AL667" s="843" t="s">
        <v>66</v>
      </c>
      <c r="AM667" s="843"/>
      <c r="AN667" s="843" t="s">
        <v>75</v>
      </c>
      <c r="AO667" s="843" t="s">
        <v>75</v>
      </c>
      <c r="AP667" s="843" t="s">
        <v>75</v>
      </c>
      <c r="AQ667" s="843" t="s">
        <v>75</v>
      </c>
      <c r="AR667" s="843" t="s">
        <v>75</v>
      </c>
      <c r="AS667" s="843" t="s">
        <v>371</v>
      </c>
      <c r="AT667" s="843" t="s">
        <v>75</v>
      </c>
      <c r="AU667" s="796" t="s">
        <v>370</v>
      </c>
      <c r="BM667" s="785"/>
      <c r="BN667" s="785"/>
      <c r="BO667" s="785"/>
      <c r="BP667" s="785"/>
      <c r="BQ667" s="785"/>
      <c r="BR667" s="785"/>
      <c r="BS667" s="785"/>
      <c r="BT667" s="785"/>
      <c r="BU667" s="785"/>
      <c r="BV667" s="785"/>
      <c r="BW667" s="785"/>
      <c r="BX667" s="785"/>
      <c r="BY667" s="785"/>
      <c r="BZ667" s="785"/>
      <c r="CA667" s="785"/>
      <c r="CB667" s="785"/>
      <c r="CC667" s="785"/>
      <c r="CD667" s="785"/>
      <c r="CE667" s="785"/>
      <c r="CF667" s="785"/>
      <c r="CG667" s="785"/>
      <c r="CH667" s="785"/>
      <c r="CI667" s="785"/>
      <c r="CJ667" s="785"/>
      <c r="CK667" s="785"/>
      <c r="CL667" s="785"/>
      <c r="CM667" s="785"/>
      <c r="CN667" s="785"/>
      <c r="CO667" s="785"/>
      <c r="CP667" s="785"/>
      <c r="CQ667" s="785"/>
      <c r="CR667" s="785"/>
      <c r="CS667" s="785"/>
      <c r="CT667" s="785"/>
      <c r="CU667" s="785"/>
      <c r="CV667" s="785"/>
      <c r="CW667" s="785"/>
      <c r="CX667" s="785"/>
      <c r="CY667" s="785"/>
      <c r="CZ667" s="785"/>
      <c r="DA667" s="785"/>
      <c r="DB667" s="785"/>
      <c r="DC667" s="785"/>
      <c r="DD667" s="785"/>
      <c r="DE667" s="785"/>
      <c r="DF667" s="785"/>
      <c r="DG667" s="785"/>
      <c r="DH667" s="785"/>
      <c r="DI667" s="785"/>
      <c r="DJ667" s="785"/>
      <c r="DK667" s="785"/>
      <c r="DL667" s="785"/>
      <c r="DM667" s="785"/>
      <c r="DN667" s="785"/>
      <c r="DO667" s="785"/>
      <c r="DP667" s="785"/>
      <c r="DQ667" s="785"/>
      <c r="DR667" s="785"/>
      <c r="DS667" s="785"/>
      <c r="DT667" s="785"/>
      <c r="DU667" s="785"/>
      <c r="DV667" s="785"/>
      <c r="DW667" s="785"/>
      <c r="DX667" s="785"/>
      <c r="DY667" s="785"/>
      <c r="DZ667" s="785"/>
      <c r="EA667" s="785"/>
      <c r="EB667" s="785"/>
      <c r="EC667" s="785"/>
      <c r="ED667" s="785"/>
      <c r="EE667" s="785"/>
      <c r="EF667" s="785"/>
      <c r="EG667" s="785"/>
      <c r="EH667" s="785"/>
      <c r="EI667" s="785"/>
      <c r="EJ667" s="785"/>
      <c r="EK667" s="785"/>
      <c r="EL667" s="785"/>
      <c r="EM667" s="785"/>
      <c r="EN667" s="785"/>
      <c r="EO667" s="785"/>
      <c r="EP667" s="785"/>
      <c r="EQ667" s="785"/>
      <c r="ER667" s="785"/>
      <c r="ES667" s="785"/>
      <c r="ET667" s="785"/>
      <c r="EU667" s="785"/>
      <c r="EV667" s="785"/>
      <c r="EW667" s="785"/>
      <c r="EX667" s="785"/>
      <c r="EY667" s="785"/>
      <c r="EZ667" s="785"/>
      <c r="FA667" s="785"/>
      <c r="FB667" s="785"/>
      <c r="FC667" s="785"/>
      <c r="FD667" s="785"/>
      <c r="FE667" s="785"/>
      <c r="FF667" s="785"/>
      <c r="FG667" s="785"/>
      <c r="FH667" s="785"/>
      <c r="FI667" s="785"/>
      <c r="FJ667" s="785"/>
      <c r="FK667" s="785"/>
      <c r="FL667" s="785"/>
      <c r="FM667" s="785"/>
      <c r="FN667" s="785"/>
      <c r="FO667" s="785"/>
      <c r="FP667" s="785"/>
      <c r="FQ667" s="785"/>
      <c r="FR667" s="785"/>
      <c r="FS667" s="785"/>
      <c r="FT667" s="785"/>
      <c r="FU667" s="785"/>
      <c r="FV667" s="785"/>
      <c r="FW667" s="785"/>
      <c r="FX667" s="785"/>
      <c r="FY667" s="785"/>
      <c r="FZ667" s="785"/>
      <c r="GA667" s="785"/>
      <c r="GB667" s="785"/>
      <c r="GC667" s="785"/>
      <c r="GD667" s="785"/>
      <c r="GE667" s="785"/>
      <c r="GF667" s="785"/>
      <c r="GG667" s="785"/>
      <c r="GH667" s="785"/>
      <c r="GI667" s="785"/>
      <c r="GJ667" s="785"/>
      <c r="GK667" s="785"/>
      <c r="GL667" s="785"/>
      <c r="GM667" s="785"/>
      <c r="GN667" s="785"/>
      <c r="GO667" s="785"/>
      <c r="GP667" s="785"/>
      <c r="GQ667" s="785"/>
      <c r="GR667" s="785"/>
      <c r="GS667" s="785"/>
      <c r="GT667" s="785"/>
      <c r="GU667" s="785"/>
      <c r="GV667" s="785"/>
      <c r="GW667" s="785"/>
      <c r="GX667" s="785"/>
      <c r="GY667" s="785"/>
      <c r="GZ667" s="785"/>
      <c r="HA667" s="785"/>
      <c r="HB667" s="785"/>
      <c r="HC667" s="785"/>
      <c r="HD667" s="785"/>
      <c r="HE667" s="785"/>
      <c r="HF667" s="785"/>
      <c r="HG667" s="785"/>
      <c r="HH667" s="785"/>
      <c r="HI667" s="785"/>
      <c r="HJ667" s="785"/>
      <c r="KN667" s="785"/>
    </row>
    <row r="668" spans="1:300" s="796" customFormat="1" ht="15">
      <c r="A668" s="794">
        <v>666</v>
      </c>
      <c r="B668" s="796" t="s">
        <v>355</v>
      </c>
      <c r="C668" s="796" t="s">
        <v>1260</v>
      </c>
      <c r="D668" s="792">
        <v>38534</v>
      </c>
      <c r="E668" s="799">
        <v>38749</v>
      </c>
      <c r="F668" s="791">
        <v>2005</v>
      </c>
      <c r="G668" s="796" t="s">
        <v>5</v>
      </c>
      <c r="H668" s="837" t="s">
        <v>1455</v>
      </c>
      <c r="I668" s="796" t="s">
        <v>380</v>
      </c>
      <c r="J668" s="800" t="s">
        <v>2331</v>
      </c>
      <c r="K668" s="842">
        <v>10000</v>
      </c>
      <c r="L668" s="843">
        <v>240938</v>
      </c>
      <c r="M668" s="843">
        <v>240938</v>
      </c>
      <c r="N668" s="843">
        <v>240650</v>
      </c>
      <c r="O668" s="808">
        <f t="shared" si="42"/>
        <v>24.065000000000001</v>
      </c>
      <c r="P668" s="843">
        <v>100</v>
      </c>
      <c r="Q668" s="843" t="s">
        <v>134</v>
      </c>
      <c r="R668" s="843" t="s">
        <v>134</v>
      </c>
      <c r="S668" s="843" t="s">
        <v>75</v>
      </c>
      <c r="T668" s="843" t="s">
        <v>233</v>
      </c>
      <c r="U668" s="843" t="s">
        <v>75</v>
      </c>
      <c r="V668" s="843" t="s">
        <v>75</v>
      </c>
      <c r="W668" s="842">
        <v>0</v>
      </c>
      <c r="X668" s="843">
        <v>134</v>
      </c>
      <c r="Y668" s="842"/>
      <c r="Z668" s="843" t="s">
        <v>75</v>
      </c>
      <c r="AA668" s="843" t="s">
        <v>75</v>
      </c>
      <c r="AB668" s="843" t="s">
        <v>75</v>
      </c>
      <c r="AC668" s="843" t="s">
        <v>75</v>
      </c>
      <c r="AD668" s="843" t="s">
        <v>75</v>
      </c>
      <c r="AE668" s="843" t="s">
        <v>75</v>
      </c>
      <c r="AF668" s="843" t="s">
        <v>75</v>
      </c>
      <c r="AG668" s="843" t="s">
        <v>75</v>
      </c>
      <c r="AH668" s="842" t="s">
        <v>75</v>
      </c>
      <c r="AI668" s="843" t="s">
        <v>75</v>
      </c>
      <c r="AJ668" s="787">
        <f t="shared" si="41"/>
        <v>0</v>
      </c>
      <c r="AK668" s="842">
        <v>360</v>
      </c>
      <c r="AL668" s="843">
        <v>359</v>
      </c>
      <c r="AM668" s="843"/>
      <c r="AN668" s="843" t="s">
        <v>75</v>
      </c>
      <c r="AO668" s="843" t="s">
        <v>75</v>
      </c>
      <c r="AP668" s="843" t="s">
        <v>75</v>
      </c>
      <c r="AQ668" s="843" t="s">
        <v>75</v>
      </c>
      <c r="AR668" s="843" t="s">
        <v>75</v>
      </c>
      <c r="AS668" s="844" t="s">
        <v>382</v>
      </c>
      <c r="AT668" s="843" t="s">
        <v>75</v>
      </c>
      <c r="AU668" s="796" t="s">
        <v>381</v>
      </c>
      <c r="BM668" s="785"/>
      <c r="BN668" s="785"/>
      <c r="BO668" s="785"/>
      <c r="BP668" s="785"/>
      <c r="BQ668" s="785"/>
      <c r="BR668" s="785"/>
      <c r="BS668" s="785"/>
      <c r="BT668" s="785"/>
      <c r="BU668" s="785"/>
      <c r="BV668" s="785"/>
      <c r="BW668" s="785"/>
      <c r="BX668" s="785"/>
      <c r="BY668" s="785"/>
      <c r="BZ668" s="785"/>
      <c r="CA668" s="785"/>
      <c r="CB668" s="785"/>
      <c r="CC668" s="785"/>
      <c r="CD668" s="785"/>
      <c r="CE668" s="785"/>
      <c r="CF668" s="785"/>
      <c r="CG668" s="785"/>
      <c r="CH668" s="785"/>
      <c r="CI668" s="785"/>
      <c r="CJ668" s="785"/>
      <c r="CK668" s="785"/>
      <c r="CL668" s="785"/>
      <c r="CM668" s="785"/>
      <c r="CN668" s="785"/>
      <c r="CO668" s="785"/>
      <c r="CP668" s="785"/>
      <c r="CQ668" s="785"/>
      <c r="CR668" s="785"/>
      <c r="CS668" s="785"/>
      <c r="CT668" s="785"/>
      <c r="CU668" s="785"/>
      <c r="CV668" s="785"/>
      <c r="CW668" s="785"/>
      <c r="CX668" s="785"/>
      <c r="CY668" s="785"/>
      <c r="CZ668" s="785"/>
      <c r="DA668" s="785"/>
      <c r="DB668" s="785"/>
      <c r="DC668" s="785"/>
      <c r="DD668" s="785"/>
      <c r="DE668" s="785"/>
      <c r="DF668" s="785"/>
      <c r="DG668" s="785"/>
      <c r="DH668" s="785"/>
      <c r="DI668" s="785"/>
      <c r="DJ668" s="785"/>
      <c r="DK668" s="785"/>
      <c r="DL668" s="785"/>
      <c r="DM668" s="785"/>
      <c r="DN668" s="785"/>
      <c r="DO668" s="785"/>
      <c r="DP668" s="785"/>
      <c r="DQ668" s="785"/>
      <c r="DR668" s="785"/>
      <c r="DS668" s="785"/>
      <c r="DT668" s="785"/>
      <c r="DU668" s="785"/>
      <c r="DV668" s="785"/>
      <c r="DW668" s="785"/>
      <c r="DX668" s="785"/>
      <c r="DY668" s="785"/>
      <c r="DZ668" s="785"/>
      <c r="EA668" s="785"/>
      <c r="EB668" s="785"/>
      <c r="EC668" s="785"/>
      <c r="ED668" s="785"/>
      <c r="EE668" s="785"/>
      <c r="EF668" s="785"/>
      <c r="EG668" s="785"/>
      <c r="EH668" s="785"/>
      <c r="EI668" s="785"/>
      <c r="EJ668" s="785"/>
      <c r="EK668" s="785"/>
      <c r="EL668" s="785"/>
      <c r="EM668" s="785"/>
      <c r="EN668" s="785"/>
      <c r="EO668" s="785"/>
      <c r="EP668" s="785"/>
      <c r="EQ668" s="785"/>
      <c r="ER668" s="785"/>
      <c r="ES668" s="785"/>
      <c r="ET668" s="785"/>
      <c r="EU668" s="785"/>
      <c r="EV668" s="785"/>
      <c r="EW668" s="785"/>
      <c r="EX668" s="785"/>
      <c r="EY668" s="785"/>
      <c r="EZ668" s="785"/>
      <c r="FA668" s="785"/>
      <c r="FB668" s="785"/>
      <c r="FC668" s="785"/>
      <c r="FD668" s="785"/>
      <c r="FE668" s="785"/>
      <c r="FF668" s="785"/>
      <c r="FG668" s="785"/>
      <c r="FH668" s="785"/>
      <c r="FI668" s="785"/>
      <c r="FJ668" s="785"/>
      <c r="FK668" s="785"/>
      <c r="FL668" s="785"/>
      <c r="FM668" s="785"/>
      <c r="FN668" s="785"/>
      <c r="FO668" s="785"/>
      <c r="FP668" s="785"/>
      <c r="FQ668" s="785"/>
      <c r="FR668" s="785"/>
      <c r="FS668" s="785"/>
      <c r="FT668" s="785"/>
      <c r="FU668" s="785"/>
      <c r="FV668" s="785"/>
      <c r="FW668" s="785"/>
      <c r="FX668" s="785"/>
      <c r="FY668" s="785"/>
      <c r="FZ668" s="785"/>
      <c r="GA668" s="785"/>
      <c r="GB668" s="785"/>
      <c r="GC668" s="785"/>
      <c r="GD668" s="785"/>
      <c r="GE668" s="785"/>
      <c r="GF668" s="785"/>
      <c r="GG668" s="785"/>
      <c r="GH668" s="785"/>
      <c r="GI668" s="785"/>
      <c r="GJ668" s="785"/>
      <c r="GK668" s="785"/>
      <c r="GL668" s="785"/>
      <c r="GM668" s="785"/>
      <c r="GN668" s="785"/>
      <c r="GO668" s="785"/>
      <c r="GP668" s="785"/>
      <c r="GQ668" s="785"/>
      <c r="GR668" s="785"/>
      <c r="GS668" s="785"/>
      <c r="GT668" s="785"/>
      <c r="GU668" s="785"/>
      <c r="GV668" s="785"/>
      <c r="GW668" s="785"/>
      <c r="GX668" s="785"/>
      <c r="GY668" s="785"/>
      <c r="GZ668" s="785"/>
      <c r="HA668" s="785"/>
      <c r="HB668" s="785"/>
      <c r="HC668" s="785"/>
      <c r="HD668" s="785"/>
      <c r="HE668" s="785"/>
      <c r="HF668" s="785"/>
      <c r="HG668" s="785"/>
      <c r="HH668" s="785"/>
      <c r="HI668" s="785"/>
      <c r="HJ668" s="785"/>
      <c r="KN668" s="785"/>
    </row>
    <row r="669" spans="1:300" s="796" customFormat="1" ht="17.25" customHeight="1">
      <c r="A669" s="794">
        <v>667</v>
      </c>
      <c r="B669" s="802" t="s">
        <v>248</v>
      </c>
      <c r="C669" s="804" t="s">
        <v>1299</v>
      </c>
      <c r="D669" s="805">
        <v>38596</v>
      </c>
      <c r="E669" s="805">
        <v>38687</v>
      </c>
      <c r="F669" s="791">
        <v>2005</v>
      </c>
      <c r="G669" s="804" t="s">
        <v>5</v>
      </c>
      <c r="H669" s="837" t="s">
        <v>1451</v>
      </c>
      <c r="I669" s="802" t="s">
        <v>247</v>
      </c>
      <c r="J669" s="800" t="s">
        <v>2331</v>
      </c>
      <c r="K669" s="817">
        <v>7547</v>
      </c>
      <c r="L669" s="839">
        <v>31715</v>
      </c>
      <c r="M669" s="839">
        <v>29158</v>
      </c>
      <c r="N669" s="817">
        <v>29158</v>
      </c>
      <c r="O669" s="808">
        <f t="shared" si="42"/>
        <v>3.863521929243408</v>
      </c>
      <c r="P669" s="817">
        <v>92</v>
      </c>
      <c r="Q669" s="839" t="s">
        <v>75</v>
      </c>
      <c r="R669" s="839">
        <v>4120</v>
      </c>
      <c r="S669" s="817">
        <v>4120</v>
      </c>
      <c r="T669" s="817" t="s">
        <v>233</v>
      </c>
      <c r="U669" s="839">
        <v>61</v>
      </c>
      <c r="V669" s="817">
        <v>4120</v>
      </c>
      <c r="W669" s="817" t="s">
        <v>66</v>
      </c>
      <c r="X669" s="817" t="s">
        <v>66</v>
      </c>
      <c r="Y669" s="808"/>
      <c r="Z669" s="817" t="s">
        <v>206</v>
      </c>
      <c r="AA669" s="817" t="s">
        <v>134</v>
      </c>
      <c r="AB669" s="839">
        <v>46</v>
      </c>
      <c r="AC669" s="817" t="s">
        <v>206</v>
      </c>
      <c r="AD669" s="817" t="s">
        <v>206</v>
      </c>
      <c r="AE669" s="817" t="s">
        <v>75</v>
      </c>
      <c r="AF669" s="817" t="s">
        <v>75</v>
      </c>
      <c r="AG669" s="817" t="s">
        <v>75</v>
      </c>
      <c r="AH669" s="817">
        <v>1464</v>
      </c>
      <c r="AI669" s="817" t="s">
        <v>75</v>
      </c>
      <c r="AJ669" s="787">
        <f t="shared" si="41"/>
        <v>1464</v>
      </c>
      <c r="AK669" s="817" t="s">
        <v>66</v>
      </c>
      <c r="AL669" s="817" t="s">
        <v>66</v>
      </c>
      <c r="AM669" s="839"/>
      <c r="AN669" s="817" t="s">
        <v>75</v>
      </c>
      <c r="AO669" s="817" t="s">
        <v>75</v>
      </c>
      <c r="AP669" s="817" t="s">
        <v>75</v>
      </c>
      <c r="AQ669" s="817" t="s">
        <v>75</v>
      </c>
      <c r="AR669" s="817" t="s">
        <v>75</v>
      </c>
      <c r="AS669" s="817" t="s">
        <v>75</v>
      </c>
      <c r="AT669" s="817" t="s">
        <v>75</v>
      </c>
      <c r="AU669" s="404" t="s">
        <v>249</v>
      </c>
      <c r="AV669" s="802"/>
      <c r="AW669" s="802"/>
      <c r="AX669" s="802"/>
      <c r="AY669" s="802"/>
      <c r="AZ669" s="802"/>
      <c r="BA669" s="802"/>
      <c r="BB669" s="802"/>
      <c r="BC669" s="802"/>
      <c r="BD669" s="802"/>
      <c r="BE669" s="802"/>
      <c r="BF669" s="802"/>
      <c r="BG669" s="802"/>
      <c r="BH669" s="802"/>
      <c r="BI669" s="802"/>
      <c r="BJ669" s="802"/>
      <c r="BK669" s="802"/>
      <c r="BL669" s="802"/>
      <c r="BM669" s="789"/>
      <c r="BN669" s="785"/>
      <c r="BO669" s="785"/>
      <c r="BP669" s="785"/>
      <c r="BQ669" s="785"/>
      <c r="BR669" s="785"/>
      <c r="BS669" s="785"/>
      <c r="BT669" s="785"/>
      <c r="BU669" s="785"/>
      <c r="BV669" s="785"/>
      <c r="BW669" s="785"/>
      <c r="BX669" s="785"/>
      <c r="BY669" s="785"/>
      <c r="BZ669" s="785"/>
      <c r="CA669" s="785"/>
      <c r="CB669" s="785"/>
      <c r="CC669" s="785"/>
      <c r="CD669" s="785"/>
      <c r="CE669" s="785"/>
      <c r="CF669" s="785"/>
      <c r="CG669" s="785"/>
      <c r="CH669" s="785"/>
      <c r="CI669" s="785"/>
      <c r="CJ669" s="785"/>
      <c r="CK669" s="785"/>
      <c r="CL669" s="785"/>
      <c r="CM669" s="785"/>
      <c r="CN669" s="785"/>
      <c r="CO669" s="785"/>
      <c r="CP669" s="785"/>
      <c r="CQ669" s="785"/>
      <c r="CR669" s="785"/>
      <c r="CS669" s="785"/>
      <c r="CT669" s="785"/>
      <c r="CU669" s="785"/>
      <c r="CV669" s="785"/>
      <c r="CW669" s="785"/>
      <c r="CX669" s="785"/>
      <c r="CY669" s="785"/>
      <c r="CZ669" s="785"/>
      <c r="DA669" s="785"/>
      <c r="DB669" s="785"/>
      <c r="DC669" s="785"/>
      <c r="DD669" s="785"/>
      <c r="DE669" s="785"/>
      <c r="DF669" s="785"/>
      <c r="DG669" s="785"/>
      <c r="DH669" s="785"/>
      <c r="DI669" s="785"/>
      <c r="DJ669" s="785"/>
      <c r="DK669" s="785"/>
      <c r="DL669" s="785"/>
      <c r="DM669" s="785"/>
      <c r="DN669" s="785"/>
      <c r="DO669" s="785"/>
      <c r="DP669" s="785"/>
      <c r="DQ669" s="785"/>
      <c r="DR669" s="785"/>
      <c r="DS669" s="785"/>
      <c r="DT669" s="785"/>
      <c r="DU669" s="785"/>
      <c r="DV669" s="785"/>
      <c r="DW669" s="785"/>
      <c r="DX669" s="785"/>
      <c r="DY669" s="785"/>
      <c r="DZ669" s="785"/>
      <c r="EA669" s="785"/>
      <c r="EB669" s="785"/>
      <c r="EC669" s="785"/>
      <c r="ED669" s="785"/>
      <c r="EE669" s="785"/>
      <c r="EF669" s="785"/>
      <c r="EG669" s="785"/>
      <c r="EH669" s="785"/>
      <c r="EI669" s="785"/>
      <c r="EJ669" s="785"/>
      <c r="EK669" s="785"/>
      <c r="EL669" s="785"/>
      <c r="EM669" s="785"/>
      <c r="EN669" s="785"/>
      <c r="EO669" s="785"/>
      <c r="EP669" s="785"/>
      <c r="EQ669" s="785"/>
      <c r="ER669" s="785"/>
      <c r="ES669" s="785"/>
      <c r="ET669" s="785"/>
      <c r="EU669" s="785"/>
      <c r="EV669" s="785"/>
      <c r="EW669" s="785"/>
      <c r="EX669" s="785"/>
      <c r="EY669" s="785"/>
      <c r="EZ669" s="785"/>
      <c r="FA669" s="785"/>
      <c r="FB669" s="785"/>
      <c r="FC669" s="785"/>
      <c r="FD669" s="785"/>
      <c r="FE669" s="785"/>
      <c r="FF669" s="785"/>
      <c r="FG669" s="785"/>
      <c r="FH669" s="785"/>
      <c r="FI669" s="785"/>
      <c r="FJ669" s="785"/>
      <c r="FK669" s="785"/>
      <c r="FL669" s="785"/>
      <c r="FM669" s="785"/>
      <c r="FN669" s="785"/>
      <c r="FO669" s="785"/>
      <c r="FP669" s="785"/>
      <c r="FQ669" s="785"/>
      <c r="FR669" s="785"/>
      <c r="FS669" s="785"/>
      <c r="FT669" s="785"/>
      <c r="FU669" s="785"/>
      <c r="FV669" s="785"/>
      <c r="FW669" s="785"/>
      <c r="FX669" s="785"/>
      <c r="FY669" s="785"/>
      <c r="FZ669" s="785"/>
      <c r="GA669" s="785"/>
      <c r="GB669" s="785"/>
      <c r="GC669" s="785"/>
      <c r="GD669" s="785"/>
      <c r="GE669" s="785"/>
      <c r="GF669" s="785"/>
      <c r="GG669" s="785"/>
      <c r="GH669" s="785"/>
      <c r="GI669" s="785"/>
      <c r="GJ669" s="785"/>
      <c r="GK669" s="785"/>
      <c r="GL669" s="785"/>
      <c r="GM669" s="785"/>
      <c r="GN669" s="785"/>
      <c r="GO669" s="785"/>
      <c r="GP669" s="785"/>
      <c r="GQ669" s="785"/>
      <c r="GR669" s="785"/>
      <c r="GS669" s="785"/>
      <c r="GT669" s="785"/>
      <c r="GU669" s="785"/>
      <c r="GV669" s="785"/>
      <c r="GW669" s="785"/>
      <c r="GX669" s="785"/>
      <c r="GY669" s="785"/>
      <c r="GZ669" s="785"/>
      <c r="HA669" s="785"/>
      <c r="HB669" s="785"/>
      <c r="HC669" s="785"/>
      <c r="HD669" s="785"/>
      <c r="HE669" s="785"/>
      <c r="HF669" s="785"/>
      <c r="HG669" s="785"/>
      <c r="HH669" s="785"/>
      <c r="HI669" s="785"/>
      <c r="HJ669" s="785"/>
      <c r="KN669" s="785"/>
    </row>
    <row r="670" spans="1:300" s="796" customFormat="1" ht="16.5" customHeight="1">
      <c r="A670" s="794">
        <v>668</v>
      </c>
      <c r="B670" s="802" t="s">
        <v>248</v>
      </c>
      <c r="C670" s="804" t="s">
        <v>1299</v>
      </c>
      <c r="D670" s="805">
        <v>38412</v>
      </c>
      <c r="E670" s="805">
        <v>38534</v>
      </c>
      <c r="F670" s="791">
        <v>2005</v>
      </c>
      <c r="G670" s="804" t="s">
        <v>168</v>
      </c>
      <c r="H670" s="837" t="s">
        <v>1449</v>
      </c>
      <c r="I670" s="802" t="s">
        <v>253</v>
      </c>
      <c r="J670" s="800" t="s">
        <v>2331</v>
      </c>
      <c r="K670" s="817">
        <v>5400</v>
      </c>
      <c r="L670" s="839">
        <v>52096</v>
      </c>
      <c r="M670" s="839">
        <v>52058</v>
      </c>
      <c r="N670" s="817">
        <v>52058</v>
      </c>
      <c r="O670" s="808">
        <f t="shared" si="42"/>
        <v>9.6403703703703698</v>
      </c>
      <c r="P670" s="817">
        <v>100</v>
      </c>
      <c r="Q670" s="839" t="s">
        <v>75</v>
      </c>
      <c r="R670" s="839" t="s">
        <v>75</v>
      </c>
      <c r="S670" s="817" t="s">
        <v>134</v>
      </c>
      <c r="T670" s="817" t="s">
        <v>233</v>
      </c>
      <c r="U670" s="839" t="s">
        <v>134</v>
      </c>
      <c r="V670" s="817" t="s">
        <v>134</v>
      </c>
      <c r="W670" s="817" t="s">
        <v>66</v>
      </c>
      <c r="X670" s="817" t="s">
        <v>66</v>
      </c>
      <c r="Y670" s="817"/>
      <c r="Z670" s="817" t="s">
        <v>75</v>
      </c>
      <c r="AA670" s="817" t="s">
        <v>206</v>
      </c>
      <c r="AB670" s="817" t="s">
        <v>206</v>
      </c>
      <c r="AC670" s="817" t="s">
        <v>75</v>
      </c>
      <c r="AD670" s="817" t="s">
        <v>134</v>
      </c>
      <c r="AE670" s="817" t="s">
        <v>75</v>
      </c>
      <c r="AF670" s="817" t="s">
        <v>75</v>
      </c>
      <c r="AG670" s="817" t="s">
        <v>75</v>
      </c>
      <c r="AH670" s="817" t="s">
        <v>75</v>
      </c>
      <c r="AI670" s="817" t="s">
        <v>75</v>
      </c>
      <c r="AJ670" s="787">
        <f t="shared" si="41"/>
        <v>0</v>
      </c>
      <c r="AK670" s="817" t="s">
        <v>66</v>
      </c>
      <c r="AL670" s="817" t="s">
        <v>66</v>
      </c>
      <c r="AM670" s="839"/>
      <c r="AN670" s="817" t="s">
        <v>75</v>
      </c>
      <c r="AO670" s="817" t="s">
        <v>75</v>
      </c>
      <c r="AP670" s="817" t="s">
        <v>75</v>
      </c>
      <c r="AQ670" s="817" t="s">
        <v>75</v>
      </c>
      <c r="AR670" s="817" t="s">
        <v>75</v>
      </c>
      <c r="AS670" s="817" t="s">
        <v>75</v>
      </c>
      <c r="AT670" s="817" t="s">
        <v>75</v>
      </c>
      <c r="AU670" s="404" t="s">
        <v>254</v>
      </c>
      <c r="AV670" s="802"/>
      <c r="AW670" s="802"/>
      <c r="AX670" s="802"/>
      <c r="AY670" s="802"/>
      <c r="AZ670" s="802"/>
      <c r="BA670" s="802"/>
      <c r="BB670" s="802"/>
      <c r="BC670" s="802"/>
      <c r="BD670" s="802"/>
      <c r="BE670" s="802"/>
      <c r="BF670" s="802"/>
      <c r="BG670" s="802"/>
      <c r="BH670" s="802"/>
      <c r="BI670" s="802"/>
      <c r="BJ670" s="802"/>
      <c r="BK670" s="802"/>
      <c r="BL670" s="802"/>
      <c r="BM670" s="789"/>
      <c r="BN670" s="785"/>
      <c r="BO670" s="785"/>
      <c r="BP670" s="785"/>
      <c r="BQ670" s="785"/>
      <c r="BR670" s="785"/>
      <c r="BS670" s="785"/>
      <c r="BT670" s="785"/>
      <c r="BU670" s="785"/>
      <c r="BV670" s="785"/>
      <c r="BW670" s="785"/>
      <c r="BX670" s="785"/>
      <c r="BY670" s="785"/>
      <c r="BZ670" s="785"/>
      <c r="CA670" s="785"/>
      <c r="CB670" s="785"/>
      <c r="CC670" s="785"/>
      <c r="CD670" s="785"/>
      <c r="CE670" s="785"/>
      <c r="CF670" s="785"/>
      <c r="CG670" s="785"/>
      <c r="CH670" s="785"/>
      <c r="CI670" s="785"/>
      <c r="CJ670" s="785"/>
      <c r="CK670" s="785"/>
      <c r="CL670" s="785"/>
      <c r="CM670" s="785"/>
      <c r="CN670" s="785"/>
      <c r="CO670" s="785"/>
      <c r="CP670" s="785"/>
      <c r="CQ670" s="785"/>
      <c r="CR670" s="785"/>
      <c r="CS670" s="785"/>
      <c r="CT670" s="785"/>
      <c r="CU670" s="785"/>
      <c r="CV670" s="785"/>
      <c r="CW670" s="785"/>
      <c r="CX670" s="785"/>
      <c r="CY670" s="785"/>
      <c r="CZ670" s="785"/>
      <c r="DA670" s="785"/>
      <c r="DB670" s="785"/>
      <c r="DC670" s="785"/>
      <c r="DD670" s="785"/>
      <c r="DE670" s="785"/>
      <c r="DF670" s="785"/>
      <c r="DG670" s="785"/>
      <c r="DH670" s="785"/>
      <c r="DI670" s="785"/>
      <c r="DJ670" s="785"/>
      <c r="DK670" s="785"/>
      <c r="DL670" s="785"/>
      <c r="DM670" s="785"/>
      <c r="DN670" s="785"/>
      <c r="DO670" s="785"/>
      <c r="DP670" s="785"/>
      <c r="DQ670" s="785"/>
      <c r="DR670" s="785"/>
      <c r="DS670" s="785"/>
      <c r="DT670" s="785"/>
      <c r="DU670" s="785"/>
      <c r="DV670" s="785"/>
      <c r="DW670" s="785"/>
      <c r="DX670" s="785"/>
      <c r="DY670" s="785"/>
      <c r="DZ670" s="785"/>
      <c r="EA670" s="785"/>
      <c r="EB670" s="785"/>
      <c r="EC670" s="785"/>
      <c r="ED670" s="785"/>
      <c r="EE670" s="785"/>
      <c r="EF670" s="785"/>
      <c r="EG670" s="785"/>
      <c r="EH670" s="785"/>
      <c r="EI670" s="785"/>
      <c r="EJ670" s="785"/>
      <c r="EK670" s="785"/>
      <c r="EL670" s="785"/>
      <c r="EM670" s="785"/>
      <c r="EN670" s="785"/>
      <c r="EO670" s="785"/>
      <c r="EP670" s="785"/>
      <c r="EQ670" s="785"/>
      <c r="ER670" s="785"/>
      <c r="ES670" s="785"/>
      <c r="ET670" s="785"/>
      <c r="EU670" s="785"/>
      <c r="EV670" s="785"/>
      <c r="EW670" s="785"/>
      <c r="EX670" s="785"/>
      <c r="EY670" s="785"/>
      <c r="EZ670" s="785"/>
      <c r="FA670" s="785"/>
      <c r="FB670" s="785"/>
      <c r="FC670" s="785"/>
      <c r="FD670" s="785"/>
      <c r="FE670" s="785"/>
      <c r="FF670" s="785"/>
      <c r="FG670" s="785"/>
      <c r="FH670" s="785"/>
      <c r="FI670" s="785"/>
      <c r="FJ670" s="785"/>
      <c r="FK670" s="785"/>
      <c r="FL670" s="785"/>
      <c r="FM670" s="785"/>
      <c r="FN670" s="785"/>
      <c r="FO670" s="785"/>
      <c r="FP670" s="785"/>
      <c r="FQ670" s="785"/>
      <c r="FR670" s="785"/>
      <c r="FS670" s="785"/>
      <c r="FT670" s="785"/>
      <c r="FU670" s="785"/>
      <c r="FV670" s="785"/>
      <c r="FW670" s="785"/>
      <c r="FX670" s="785"/>
      <c r="FY670" s="785"/>
      <c r="FZ670" s="785"/>
      <c r="GA670" s="785"/>
      <c r="GB670" s="785"/>
      <c r="GC670" s="785"/>
      <c r="GD670" s="785"/>
      <c r="GE670" s="785"/>
      <c r="GF670" s="785"/>
      <c r="GG670" s="785"/>
      <c r="GH670" s="785"/>
      <c r="GI670" s="785"/>
      <c r="GJ670" s="785"/>
      <c r="GK670" s="785"/>
      <c r="GL670" s="785"/>
      <c r="GM670" s="785"/>
      <c r="GN670" s="785"/>
      <c r="GO670" s="785"/>
      <c r="GP670" s="785"/>
      <c r="GQ670" s="785"/>
      <c r="GR670" s="785"/>
      <c r="GS670" s="785"/>
      <c r="GT670" s="785"/>
      <c r="GU670" s="785"/>
      <c r="GV670" s="785"/>
      <c r="GW670" s="785"/>
      <c r="GX670" s="785"/>
      <c r="GY670" s="785"/>
      <c r="GZ670" s="785"/>
      <c r="HA670" s="785"/>
      <c r="HB670" s="785"/>
      <c r="HC670" s="785"/>
      <c r="HD670" s="785"/>
      <c r="HE670" s="785"/>
      <c r="HF670" s="785"/>
      <c r="HG670" s="785"/>
      <c r="HH670" s="785"/>
      <c r="HI670" s="785"/>
      <c r="HJ670" s="785"/>
      <c r="KN670" s="785"/>
    </row>
    <row r="671" spans="1:300" s="796" customFormat="1" ht="15" customHeight="1">
      <c r="A671" s="794">
        <v>669</v>
      </c>
      <c r="B671" s="796" t="s">
        <v>421</v>
      </c>
      <c r="C671" s="796" t="s">
        <v>1260</v>
      </c>
      <c r="D671" s="792">
        <v>38443</v>
      </c>
      <c r="E671" s="799">
        <v>38749</v>
      </c>
      <c r="F671" s="791">
        <v>2005</v>
      </c>
      <c r="G671" s="796" t="s">
        <v>5</v>
      </c>
      <c r="H671" s="837" t="s">
        <v>1451</v>
      </c>
      <c r="I671" s="796" t="s">
        <v>422</v>
      </c>
      <c r="J671" s="812" t="s">
        <v>2438</v>
      </c>
      <c r="K671" s="842">
        <v>4000</v>
      </c>
      <c r="L671" s="843">
        <v>496310</v>
      </c>
      <c r="M671" s="843">
        <v>321313</v>
      </c>
      <c r="N671" s="843">
        <v>188138</v>
      </c>
      <c r="O671" s="808">
        <f t="shared" si="42"/>
        <v>47.034500000000001</v>
      </c>
      <c r="P671" s="843">
        <v>63.1</v>
      </c>
      <c r="Q671" s="843" t="s">
        <v>75</v>
      </c>
      <c r="R671" s="843" t="s">
        <v>75</v>
      </c>
      <c r="S671" s="843" t="s">
        <v>75</v>
      </c>
      <c r="T671" s="843" t="s">
        <v>233</v>
      </c>
      <c r="U671" s="843" t="s">
        <v>75</v>
      </c>
      <c r="V671" s="843" t="s">
        <v>75</v>
      </c>
      <c r="W671" s="842" t="s">
        <v>66</v>
      </c>
      <c r="X671" s="843" t="s">
        <v>66</v>
      </c>
      <c r="Y671" s="842"/>
      <c r="Z671" s="843" t="s">
        <v>2</v>
      </c>
      <c r="AA671" s="843" t="s">
        <v>75</v>
      </c>
      <c r="AB671" s="843" t="s">
        <v>75</v>
      </c>
      <c r="AC671" s="843" t="s">
        <v>75</v>
      </c>
      <c r="AD671" s="843" t="s">
        <v>75</v>
      </c>
      <c r="AE671" s="843" t="s">
        <v>75</v>
      </c>
      <c r="AF671" s="843" t="s">
        <v>75</v>
      </c>
      <c r="AG671" s="843" t="s">
        <v>75</v>
      </c>
      <c r="AH671" s="842" t="s">
        <v>75</v>
      </c>
      <c r="AI671" s="843" t="s">
        <v>75</v>
      </c>
      <c r="AJ671" s="787">
        <f t="shared" si="41"/>
        <v>0</v>
      </c>
      <c r="AK671" s="842" t="s">
        <v>66</v>
      </c>
      <c r="AL671" s="843" t="s">
        <v>66</v>
      </c>
      <c r="AM671" s="843"/>
      <c r="AN671" s="843"/>
      <c r="AO671" s="843"/>
      <c r="AP671" s="843"/>
      <c r="AQ671" s="843"/>
      <c r="AR671" s="843"/>
      <c r="AS671" s="843" t="s">
        <v>75</v>
      </c>
      <c r="AT671" s="843" t="s">
        <v>75</v>
      </c>
      <c r="AU671" s="796" t="s">
        <v>420</v>
      </c>
      <c r="BM671" s="785"/>
      <c r="BN671" s="785"/>
      <c r="BO671" s="785"/>
      <c r="BP671" s="785"/>
      <c r="BQ671" s="785"/>
      <c r="BR671" s="785"/>
      <c r="BS671" s="785"/>
      <c r="BT671" s="785"/>
      <c r="BU671" s="785"/>
      <c r="BV671" s="785"/>
      <c r="BW671" s="785"/>
      <c r="BX671" s="785"/>
      <c r="BY671" s="785"/>
      <c r="BZ671" s="785"/>
      <c r="CA671" s="785"/>
      <c r="CB671" s="785"/>
      <c r="CC671" s="785"/>
      <c r="CD671" s="785"/>
      <c r="CE671" s="785"/>
      <c r="CF671" s="785"/>
      <c r="CG671" s="785"/>
      <c r="CH671" s="785"/>
      <c r="CI671" s="785"/>
      <c r="CJ671" s="785"/>
      <c r="CK671" s="785"/>
      <c r="CL671" s="785"/>
      <c r="CM671" s="785"/>
      <c r="CN671" s="785"/>
      <c r="CO671" s="785"/>
      <c r="CP671" s="785"/>
      <c r="CQ671" s="785"/>
      <c r="CR671" s="785"/>
      <c r="CS671" s="785"/>
      <c r="CT671" s="785"/>
      <c r="CU671" s="785"/>
      <c r="CV671" s="785"/>
      <c r="CW671" s="785"/>
      <c r="CX671" s="785"/>
      <c r="CY671" s="785"/>
      <c r="CZ671" s="785"/>
      <c r="DA671" s="785"/>
      <c r="DB671" s="785"/>
      <c r="DC671" s="785"/>
      <c r="DD671" s="785"/>
      <c r="DE671" s="785"/>
      <c r="DF671" s="785"/>
      <c r="DG671" s="785"/>
      <c r="DH671" s="785"/>
      <c r="DI671" s="785"/>
      <c r="DJ671" s="785"/>
      <c r="DK671" s="785"/>
      <c r="DL671" s="785"/>
      <c r="DM671" s="785"/>
      <c r="DN671" s="785"/>
      <c r="DO671" s="785"/>
      <c r="DP671" s="785"/>
      <c r="DQ671" s="785"/>
      <c r="DR671" s="785"/>
      <c r="DS671" s="785"/>
      <c r="DT671" s="785"/>
      <c r="DU671" s="785"/>
      <c r="DV671" s="785"/>
      <c r="DW671" s="785"/>
      <c r="DX671" s="785"/>
      <c r="DY671" s="785"/>
      <c r="DZ671" s="785"/>
      <c r="EA671" s="785"/>
      <c r="EB671" s="785"/>
      <c r="EC671" s="785"/>
      <c r="ED671" s="785"/>
      <c r="EE671" s="785"/>
      <c r="EF671" s="785"/>
      <c r="EG671" s="785"/>
      <c r="EH671" s="785"/>
      <c r="EI671" s="785"/>
      <c r="EJ671" s="785"/>
      <c r="EK671" s="785"/>
      <c r="EL671" s="785"/>
      <c r="EM671" s="785"/>
      <c r="EN671" s="785"/>
      <c r="EO671" s="785"/>
      <c r="EP671" s="785"/>
      <c r="EQ671" s="785"/>
      <c r="ER671" s="785"/>
      <c r="ES671" s="785"/>
      <c r="ET671" s="785"/>
      <c r="EU671" s="785"/>
      <c r="EV671" s="785"/>
      <c r="EW671" s="785"/>
      <c r="EX671" s="785"/>
      <c r="EY671" s="785"/>
      <c r="EZ671" s="785"/>
      <c r="FA671" s="785"/>
      <c r="FB671" s="785"/>
      <c r="FC671" s="785"/>
      <c r="FD671" s="785"/>
      <c r="FE671" s="785"/>
      <c r="FF671" s="785"/>
      <c r="FG671" s="785"/>
      <c r="FH671" s="785"/>
      <c r="FI671" s="785"/>
      <c r="FJ671" s="785"/>
      <c r="FK671" s="785"/>
      <c r="FL671" s="785"/>
      <c r="FM671" s="785"/>
      <c r="FN671" s="785"/>
      <c r="FO671" s="785"/>
      <c r="FP671" s="785"/>
      <c r="FQ671" s="785"/>
      <c r="FR671" s="785"/>
      <c r="FS671" s="785"/>
      <c r="FT671" s="785"/>
      <c r="FU671" s="785"/>
      <c r="FV671" s="785"/>
      <c r="FW671" s="785"/>
      <c r="FX671" s="785"/>
      <c r="FY671" s="785"/>
      <c r="FZ671" s="785"/>
      <c r="GA671" s="785"/>
      <c r="GB671" s="785"/>
      <c r="GC671" s="785"/>
      <c r="GD671" s="785"/>
      <c r="GE671" s="785"/>
      <c r="GF671" s="785"/>
      <c r="GG671" s="785"/>
      <c r="GH671" s="785"/>
      <c r="GI671" s="785"/>
      <c r="GJ671" s="785"/>
      <c r="GK671" s="785"/>
      <c r="GL671" s="785"/>
      <c r="GM671" s="785"/>
      <c r="GN671" s="785"/>
      <c r="GO671" s="785"/>
      <c r="GP671" s="785"/>
      <c r="GQ671" s="785"/>
      <c r="GR671" s="785"/>
      <c r="GS671" s="785"/>
      <c r="GT671" s="785"/>
      <c r="GU671" s="785"/>
      <c r="GV671" s="785"/>
      <c r="GW671" s="785"/>
      <c r="GX671" s="785"/>
      <c r="GY671" s="785"/>
      <c r="GZ671" s="785"/>
      <c r="HA671" s="785"/>
      <c r="HB671" s="785"/>
      <c r="HC671" s="785"/>
      <c r="HD671" s="785"/>
      <c r="HE671" s="785"/>
      <c r="HF671" s="785"/>
      <c r="HG671" s="785"/>
      <c r="HH671" s="785"/>
      <c r="HI671" s="785"/>
      <c r="HJ671" s="785"/>
      <c r="KN671" s="785"/>
    </row>
    <row r="672" spans="1:300" s="796" customFormat="1" ht="15">
      <c r="A672" s="794">
        <v>670</v>
      </c>
      <c r="B672" s="796" t="s">
        <v>385</v>
      </c>
      <c r="C672" s="796" t="s">
        <v>1260</v>
      </c>
      <c r="D672" s="799">
        <v>38657</v>
      </c>
      <c r="E672" s="799">
        <v>38838</v>
      </c>
      <c r="F672" s="791">
        <v>2005</v>
      </c>
      <c r="G672" s="796" t="s">
        <v>386</v>
      </c>
      <c r="H672" s="837" t="s">
        <v>1453</v>
      </c>
      <c r="I672" s="796" t="s">
        <v>387</v>
      </c>
      <c r="J672" s="800" t="s">
        <v>2331</v>
      </c>
      <c r="K672" s="842">
        <v>1009</v>
      </c>
      <c r="L672" s="843">
        <v>123879</v>
      </c>
      <c r="M672" s="843">
        <v>91863</v>
      </c>
      <c r="N672" s="843">
        <v>91863</v>
      </c>
      <c r="O672" s="808">
        <f t="shared" si="42"/>
        <v>91.043607532210103</v>
      </c>
      <c r="P672" s="843">
        <v>74.099999999999994</v>
      </c>
      <c r="Q672" s="843" t="s">
        <v>75</v>
      </c>
      <c r="R672" s="843" t="s">
        <v>75</v>
      </c>
      <c r="S672" s="843" t="s">
        <v>75</v>
      </c>
      <c r="T672" s="843" t="s">
        <v>233</v>
      </c>
      <c r="U672" s="843" t="s">
        <v>75</v>
      </c>
      <c r="V672" s="843" t="s">
        <v>75</v>
      </c>
      <c r="W672" s="842" t="s">
        <v>66</v>
      </c>
      <c r="X672" s="843" t="s">
        <v>66</v>
      </c>
      <c r="Y672" s="842"/>
      <c r="Z672" s="843" t="s">
        <v>75</v>
      </c>
      <c r="AA672" s="843" t="s">
        <v>75</v>
      </c>
      <c r="AB672" s="843" t="s">
        <v>75</v>
      </c>
      <c r="AC672" s="843" t="s">
        <v>75</v>
      </c>
      <c r="AD672" s="843" t="s">
        <v>75</v>
      </c>
      <c r="AE672" s="843" t="s">
        <v>75</v>
      </c>
      <c r="AF672" s="843" t="s">
        <v>75</v>
      </c>
      <c r="AG672" s="843" t="s">
        <v>75</v>
      </c>
      <c r="AH672" s="842" t="s">
        <v>75</v>
      </c>
      <c r="AI672" s="843" t="s">
        <v>75</v>
      </c>
      <c r="AJ672" s="787">
        <f t="shared" si="41"/>
        <v>0</v>
      </c>
      <c r="AK672" s="842">
        <v>4000</v>
      </c>
      <c r="AL672" s="843">
        <v>3477</v>
      </c>
      <c r="AM672" s="843"/>
      <c r="AN672" s="843" t="s">
        <v>75</v>
      </c>
      <c r="AO672" s="843" t="s">
        <v>75</v>
      </c>
      <c r="AP672" s="843" t="s">
        <v>75</v>
      </c>
      <c r="AQ672" s="843" t="s">
        <v>75</v>
      </c>
      <c r="AR672" s="843" t="s">
        <v>75</v>
      </c>
      <c r="AS672" s="843" t="s">
        <v>75</v>
      </c>
      <c r="AT672" s="843" t="s">
        <v>75</v>
      </c>
      <c r="AU672" s="403" t="s">
        <v>388</v>
      </c>
      <c r="BM672" s="785"/>
      <c r="BN672" s="785"/>
      <c r="BO672" s="785"/>
      <c r="BP672" s="785"/>
      <c r="BQ672" s="785"/>
      <c r="BR672" s="785"/>
      <c r="BS672" s="785"/>
      <c r="BT672" s="785"/>
      <c r="BU672" s="785"/>
      <c r="BV672" s="785"/>
      <c r="BW672" s="785"/>
      <c r="BX672" s="785"/>
      <c r="BY672" s="785"/>
      <c r="BZ672" s="785"/>
      <c r="CA672" s="785"/>
      <c r="CB672" s="785"/>
      <c r="CC672" s="785"/>
      <c r="CD672" s="785"/>
      <c r="CE672" s="785"/>
      <c r="CF672" s="785"/>
      <c r="CG672" s="785"/>
      <c r="CH672" s="785"/>
      <c r="CI672" s="785"/>
      <c r="CJ672" s="785"/>
      <c r="CK672" s="785"/>
      <c r="CL672" s="785"/>
      <c r="CM672" s="785"/>
      <c r="CN672" s="785"/>
      <c r="CO672" s="785"/>
      <c r="CP672" s="785"/>
      <c r="CQ672" s="785"/>
      <c r="CR672" s="785"/>
      <c r="CS672" s="785"/>
      <c r="CT672" s="785"/>
      <c r="CU672" s="785"/>
      <c r="CV672" s="785"/>
      <c r="CW672" s="785"/>
      <c r="CX672" s="785"/>
      <c r="CY672" s="785"/>
      <c r="CZ672" s="785"/>
      <c r="DA672" s="785"/>
      <c r="DB672" s="785"/>
      <c r="DC672" s="785"/>
      <c r="DD672" s="785"/>
      <c r="DE672" s="785"/>
      <c r="DF672" s="785"/>
      <c r="DG672" s="785"/>
      <c r="DH672" s="785"/>
      <c r="DI672" s="785"/>
      <c r="DJ672" s="785"/>
      <c r="DK672" s="785"/>
      <c r="DL672" s="785"/>
      <c r="DM672" s="785"/>
      <c r="DN672" s="785"/>
      <c r="DO672" s="785"/>
      <c r="DP672" s="785"/>
      <c r="DQ672" s="785"/>
      <c r="DR672" s="785"/>
      <c r="DS672" s="785"/>
      <c r="DT672" s="785"/>
      <c r="DU672" s="785"/>
      <c r="DV672" s="785"/>
      <c r="DW672" s="785"/>
      <c r="DX672" s="785"/>
      <c r="DY672" s="785"/>
      <c r="DZ672" s="785"/>
      <c r="EA672" s="785"/>
      <c r="EB672" s="785"/>
      <c r="EC672" s="785"/>
      <c r="ED672" s="785"/>
      <c r="EE672" s="785"/>
      <c r="EF672" s="785"/>
      <c r="EG672" s="785"/>
      <c r="EH672" s="785"/>
      <c r="EI672" s="785"/>
      <c r="EJ672" s="785"/>
      <c r="EK672" s="785"/>
      <c r="EL672" s="785"/>
      <c r="EM672" s="785"/>
      <c r="EN672" s="785"/>
      <c r="EO672" s="785"/>
      <c r="EP672" s="785"/>
      <c r="EQ672" s="785"/>
      <c r="ER672" s="785"/>
      <c r="ES672" s="785"/>
      <c r="ET672" s="785"/>
      <c r="EU672" s="785"/>
      <c r="EV672" s="785"/>
      <c r="EW672" s="785"/>
      <c r="EX672" s="785"/>
      <c r="EY672" s="785"/>
      <c r="EZ672" s="785"/>
      <c r="FA672" s="785"/>
      <c r="FB672" s="785"/>
      <c r="FC672" s="785"/>
      <c r="FD672" s="785"/>
      <c r="FE672" s="785"/>
      <c r="FF672" s="785"/>
      <c r="FG672" s="785"/>
      <c r="FH672" s="785"/>
      <c r="FI672" s="785"/>
      <c r="FJ672" s="785"/>
      <c r="FK672" s="785"/>
      <c r="FL672" s="785"/>
      <c r="FM672" s="785"/>
      <c r="FN672" s="785"/>
      <c r="FO672" s="785"/>
      <c r="FP672" s="785"/>
      <c r="FQ672" s="785"/>
      <c r="FR672" s="785"/>
      <c r="FS672" s="785"/>
      <c r="FT672" s="785"/>
      <c r="FU672" s="785"/>
      <c r="FV672" s="785"/>
      <c r="FW672" s="785"/>
      <c r="FX672" s="785"/>
      <c r="FY672" s="785"/>
      <c r="FZ672" s="785"/>
      <c r="GA672" s="785"/>
      <c r="GB672" s="785"/>
      <c r="GC672" s="785"/>
      <c r="GD672" s="785"/>
      <c r="GE672" s="785"/>
      <c r="GF672" s="785"/>
      <c r="GG672" s="785"/>
      <c r="GH672" s="785"/>
      <c r="GI672" s="785"/>
      <c r="GJ672" s="785"/>
      <c r="GK672" s="785"/>
      <c r="GL672" s="785"/>
      <c r="GM672" s="785"/>
      <c r="GN672" s="785"/>
      <c r="GO672" s="785"/>
      <c r="GP672" s="785"/>
      <c r="GQ672" s="785"/>
      <c r="GR672" s="785"/>
      <c r="GS672" s="785"/>
      <c r="GT672" s="785"/>
      <c r="GU672" s="785"/>
      <c r="GV672" s="785"/>
      <c r="GW672" s="785"/>
      <c r="GX672" s="785"/>
      <c r="GY672" s="785"/>
      <c r="GZ672" s="785"/>
      <c r="HA672" s="785"/>
      <c r="HB672" s="785"/>
      <c r="HC672" s="785"/>
      <c r="HD672" s="785"/>
      <c r="HE672" s="785"/>
      <c r="HF672" s="785"/>
      <c r="HG672" s="785"/>
      <c r="HH672" s="785"/>
      <c r="HI672" s="785"/>
      <c r="HJ672" s="785"/>
      <c r="KN672" s="785"/>
    </row>
    <row r="673" spans="1:300" s="796" customFormat="1" ht="15">
      <c r="A673" s="794">
        <v>671</v>
      </c>
      <c r="B673" s="836" t="s">
        <v>2367</v>
      </c>
      <c r="C673" s="796" t="s">
        <v>1299</v>
      </c>
      <c r="D673" s="792">
        <v>38596</v>
      </c>
      <c r="E673" s="792">
        <v>38718</v>
      </c>
      <c r="F673" s="791">
        <v>2005</v>
      </c>
      <c r="G673" s="785" t="s">
        <v>338</v>
      </c>
      <c r="H673" s="837" t="s">
        <v>1451</v>
      </c>
      <c r="I673" s="785" t="s">
        <v>336</v>
      </c>
      <c r="J673" s="812" t="s">
        <v>2438</v>
      </c>
      <c r="K673" s="842">
        <v>7000</v>
      </c>
      <c r="L673" s="842">
        <v>234869</v>
      </c>
      <c r="M673" s="842">
        <v>116678</v>
      </c>
      <c r="N673" s="842">
        <v>116678</v>
      </c>
      <c r="O673" s="808">
        <f t="shared" si="42"/>
        <v>16.668285714285716</v>
      </c>
      <c r="P673" s="842">
        <v>49</v>
      </c>
      <c r="Q673" s="842" t="s">
        <v>134</v>
      </c>
      <c r="R673" s="842" t="s">
        <v>75</v>
      </c>
      <c r="S673" s="842" t="s">
        <v>134</v>
      </c>
      <c r="T673" s="842" t="s">
        <v>2</v>
      </c>
      <c r="U673" s="842">
        <v>50</v>
      </c>
      <c r="V673" s="842" t="s">
        <v>134</v>
      </c>
      <c r="W673" s="842">
        <v>889</v>
      </c>
      <c r="X673" s="842">
        <v>0</v>
      </c>
      <c r="Y673" s="842"/>
      <c r="Z673" s="842" t="s">
        <v>75</v>
      </c>
      <c r="AA673" s="842" t="s">
        <v>134</v>
      </c>
      <c r="AB673" s="842">
        <v>50</v>
      </c>
      <c r="AC673" s="842" t="s">
        <v>75</v>
      </c>
      <c r="AD673" s="842" t="s">
        <v>75</v>
      </c>
      <c r="AE673" s="842" t="s">
        <v>75</v>
      </c>
      <c r="AF673" s="842" t="s">
        <v>75</v>
      </c>
      <c r="AG673" s="842" t="s">
        <v>75</v>
      </c>
      <c r="AH673" s="842" t="s">
        <v>75</v>
      </c>
      <c r="AI673" s="842" t="s">
        <v>75</v>
      </c>
      <c r="AJ673" s="787">
        <f t="shared" si="41"/>
        <v>0</v>
      </c>
      <c r="AK673" s="842">
        <v>32329</v>
      </c>
      <c r="AL673" s="842">
        <v>1980</v>
      </c>
      <c r="AM673" s="842"/>
      <c r="AN673" s="842" t="s">
        <v>75</v>
      </c>
      <c r="AO673" s="842" t="s">
        <v>75</v>
      </c>
      <c r="AP673" s="842" t="s">
        <v>75</v>
      </c>
      <c r="AQ673" s="842" t="s">
        <v>75</v>
      </c>
      <c r="AR673" s="842" t="s">
        <v>75</v>
      </c>
      <c r="AS673" s="842" t="s">
        <v>75</v>
      </c>
      <c r="AT673" s="842" t="s">
        <v>75</v>
      </c>
      <c r="AU673" s="785" t="s">
        <v>337</v>
      </c>
      <c r="AV673" s="785"/>
      <c r="AW673" s="785"/>
      <c r="AX673" s="785"/>
      <c r="AY673" s="785"/>
      <c r="AZ673" s="785"/>
      <c r="BA673" s="785"/>
      <c r="BB673" s="785"/>
      <c r="BC673" s="785"/>
      <c r="BD673" s="785"/>
      <c r="BE673" s="785"/>
      <c r="BF673" s="785"/>
      <c r="BG673" s="785"/>
      <c r="BH673" s="785"/>
      <c r="BI673" s="785"/>
      <c r="BJ673" s="785"/>
      <c r="BK673" s="785"/>
      <c r="BL673" s="785"/>
      <c r="BM673" s="785"/>
      <c r="BN673" s="785"/>
      <c r="BO673" s="785"/>
      <c r="BP673" s="785"/>
      <c r="BQ673" s="785"/>
      <c r="BR673" s="785"/>
      <c r="BS673" s="785"/>
      <c r="BT673" s="785"/>
      <c r="BU673" s="785"/>
      <c r="BV673" s="785"/>
      <c r="BW673" s="785"/>
      <c r="BX673" s="785"/>
      <c r="BY673" s="785"/>
      <c r="BZ673" s="785"/>
      <c r="CA673" s="785"/>
      <c r="CB673" s="785"/>
      <c r="CC673" s="785"/>
      <c r="CD673" s="785"/>
      <c r="CE673" s="785"/>
      <c r="CF673" s="785"/>
      <c r="CG673" s="785"/>
      <c r="CH673" s="785"/>
      <c r="CI673" s="785"/>
      <c r="CJ673" s="785"/>
      <c r="CK673" s="785"/>
      <c r="CL673" s="785"/>
      <c r="CM673" s="785"/>
      <c r="CN673" s="785"/>
      <c r="CO673" s="785"/>
      <c r="CP673" s="785"/>
      <c r="CQ673" s="785"/>
      <c r="CR673" s="785"/>
      <c r="CS673" s="785"/>
      <c r="CT673" s="785"/>
      <c r="CU673" s="785"/>
      <c r="CV673" s="785"/>
      <c r="CW673" s="785"/>
      <c r="CX673" s="785"/>
      <c r="CY673" s="785"/>
      <c r="CZ673" s="785"/>
      <c r="DA673" s="785"/>
      <c r="DB673" s="785"/>
      <c r="DC673" s="785"/>
      <c r="DD673" s="785"/>
      <c r="DE673" s="785"/>
      <c r="DF673" s="785"/>
      <c r="DG673" s="785"/>
      <c r="DH673" s="785"/>
      <c r="DI673" s="785"/>
      <c r="DJ673" s="785"/>
      <c r="DK673" s="785"/>
      <c r="DL673" s="785"/>
      <c r="DM673" s="785"/>
      <c r="DN673" s="785"/>
      <c r="DO673" s="785"/>
      <c r="DP673" s="785"/>
      <c r="DQ673" s="785"/>
      <c r="DR673" s="785"/>
      <c r="DS673" s="785"/>
      <c r="DT673" s="785"/>
      <c r="DU673" s="785"/>
      <c r="DV673" s="785"/>
      <c r="DW673" s="785"/>
      <c r="DX673" s="785"/>
      <c r="DY673" s="785"/>
      <c r="DZ673" s="785"/>
      <c r="EA673" s="785"/>
      <c r="EB673" s="785"/>
      <c r="EC673" s="785"/>
      <c r="ED673" s="785"/>
      <c r="EE673" s="785"/>
      <c r="EF673" s="785"/>
      <c r="EG673" s="785"/>
      <c r="EH673" s="785"/>
      <c r="EI673" s="785"/>
      <c r="EJ673" s="785"/>
      <c r="EK673" s="785"/>
      <c r="EL673" s="785"/>
      <c r="EM673" s="785"/>
      <c r="EN673" s="785"/>
      <c r="EO673" s="785"/>
      <c r="EP673" s="785"/>
      <c r="EQ673" s="785"/>
      <c r="ER673" s="785"/>
      <c r="ES673" s="785"/>
      <c r="ET673" s="785"/>
      <c r="EU673" s="785"/>
      <c r="EV673" s="785"/>
      <c r="EW673" s="785"/>
      <c r="EX673" s="785"/>
      <c r="EY673" s="785"/>
      <c r="EZ673" s="785"/>
      <c r="FA673" s="785"/>
      <c r="FB673" s="785"/>
      <c r="FC673" s="785"/>
      <c r="FD673" s="785"/>
      <c r="FE673" s="785"/>
      <c r="FF673" s="785"/>
      <c r="FG673" s="785"/>
      <c r="FH673" s="785"/>
      <c r="FI673" s="785"/>
      <c r="FJ673" s="785"/>
      <c r="FK673" s="785"/>
      <c r="FL673" s="785"/>
      <c r="FM673" s="785"/>
      <c r="FN673" s="785"/>
      <c r="FO673" s="785"/>
      <c r="FP673" s="785"/>
      <c r="FQ673" s="785"/>
      <c r="FR673" s="785"/>
      <c r="FS673" s="785"/>
      <c r="FT673" s="785"/>
      <c r="FU673" s="785"/>
      <c r="FV673" s="785"/>
      <c r="FW673" s="785"/>
      <c r="FX673" s="785"/>
      <c r="FY673" s="785"/>
      <c r="FZ673" s="785"/>
      <c r="GA673" s="785"/>
      <c r="GB673" s="785"/>
      <c r="GC673" s="785"/>
      <c r="GD673" s="785"/>
      <c r="GE673" s="785"/>
      <c r="GF673" s="785"/>
      <c r="GG673" s="785"/>
      <c r="GH673" s="785"/>
      <c r="GI673" s="785"/>
      <c r="GJ673" s="785"/>
      <c r="GK673" s="785"/>
      <c r="GL673" s="785"/>
      <c r="GM673" s="785"/>
      <c r="GN673" s="785"/>
      <c r="GO673" s="785"/>
      <c r="GP673" s="785"/>
      <c r="GQ673" s="785"/>
      <c r="GR673" s="785"/>
      <c r="GS673" s="785"/>
      <c r="GT673" s="785"/>
      <c r="GU673" s="785"/>
      <c r="GV673" s="785"/>
      <c r="GW673" s="785"/>
      <c r="GX673" s="785"/>
      <c r="GY673" s="785"/>
      <c r="GZ673" s="785"/>
      <c r="HA673" s="785"/>
      <c r="HB673" s="785"/>
      <c r="HC673" s="785"/>
      <c r="HD673" s="785"/>
      <c r="HE673" s="785"/>
      <c r="HF673" s="785"/>
      <c r="HG673" s="785"/>
      <c r="HH673" s="785"/>
      <c r="HI673" s="785"/>
      <c r="HJ673" s="785"/>
      <c r="KN673" s="785"/>
    </row>
    <row r="674" spans="1:300" s="796" customFormat="1" ht="18.75" customHeight="1">
      <c r="A674" s="794">
        <v>672</v>
      </c>
      <c r="B674" s="802" t="s">
        <v>2375</v>
      </c>
      <c r="C674" s="804" t="s">
        <v>1299</v>
      </c>
      <c r="D674" s="840">
        <v>38412</v>
      </c>
      <c r="E674" s="805">
        <v>38687</v>
      </c>
      <c r="F674" s="791">
        <v>2005</v>
      </c>
      <c r="G674" s="836" t="s">
        <v>309</v>
      </c>
      <c r="H674" s="837" t="s">
        <v>1454</v>
      </c>
      <c r="I674" s="802" t="s">
        <v>308</v>
      </c>
      <c r="J674" s="800" t="s">
        <v>2331</v>
      </c>
      <c r="K674" s="817" t="s">
        <v>75</v>
      </c>
      <c r="L674" s="839">
        <v>69971</v>
      </c>
      <c r="M674" s="839">
        <v>69978</v>
      </c>
      <c r="N674" s="839">
        <v>69978</v>
      </c>
      <c r="O674" s="808"/>
      <c r="P674" s="817">
        <v>100</v>
      </c>
      <c r="Q674" s="817" t="s">
        <v>75</v>
      </c>
      <c r="R674" s="817" t="s">
        <v>75</v>
      </c>
      <c r="S674" s="817" t="s">
        <v>75</v>
      </c>
      <c r="T674" s="817" t="s">
        <v>75</v>
      </c>
      <c r="U674" s="817" t="s">
        <v>75</v>
      </c>
      <c r="V674" s="817" t="s">
        <v>75</v>
      </c>
      <c r="W674" s="817" t="s">
        <v>66</v>
      </c>
      <c r="X674" s="817" t="s">
        <v>66</v>
      </c>
      <c r="Y674" s="817"/>
      <c r="Z674" s="817" t="s">
        <v>75</v>
      </c>
      <c r="AA674" s="817" t="s">
        <v>75</v>
      </c>
      <c r="AB674" s="817" t="s">
        <v>75</v>
      </c>
      <c r="AC674" s="817" t="s">
        <v>75</v>
      </c>
      <c r="AD674" s="817" t="s">
        <v>75</v>
      </c>
      <c r="AE674" s="817" t="s">
        <v>75</v>
      </c>
      <c r="AF674" s="817" t="s">
        <v>75</v>
      </c>
      <c r="AG674" s="817" t="s">
        <v>75</v>
      </c>
      <c r="AH674" s="817" t="s">
        <v>75</v>
      </c>
      <c r="AI674" s="817" t="s">
        <v>75</v>
      </c>
      <c r="AJ674" s="787">
        <f t="shared" si="41"/>
        <v>0</v>
      </c>
      <c r="AK674" s="817" t="s">
        <v>66</v>
      </c>
      <c r="AL674" s="817" t="s">
        <v>66</v>
      </c>
      <c r="AM674" s="839"/>
      <c r="AN674" s="817" t="s">
        <v>75</v>
      </c>
      <c r="AO674" s="817" t="s">
        <v>75</v>
      </c>
      <c r="AP674" s="817" t="s">
        <v>75</v>
      </c>
      <c r="AQ674" s="817" t="s">
        <v>75</v>
      </c>
      <c r="AR674" s="817" t="s">
        <v>75</v>
      </c>
      <c r="AS674" s="817" t="s">
        <v>1292</v>
      </c>
      <c r="AT674" s="817"/>
      <c r="AU674" s="404" t="s">
        <v>307</v>
      </c>
      <c r="AV674" s="802"/>
      <c r="AW674" s="802"/>
      <c r="AX674" s="802"/>
      <c r="AY674" s="802"/>
      <c r="AZ674" s="802"/>
      <c r="BA674" s="802"/>
      <c r="BB674" s="802"/>
      <c r="BC674" s="802"/>
      <c r="BD674" s="802"/>
      <c r="BE674" s="802"/>
      <c r="BF674" s="802"/>
      <c r="BG674" s="802"/>
      <c r="BH674" s="802"/>
      <c r="BI674" s="802"/>
      <c r="BJ674" s="802"/>
      <c r="BK674" s="802"/>
      <c r="BL674" s="802"/>
      <c r="BM674" s="789"/>
      <c r="BN674" s="785"/>
      <c r="BO674" s="785"/>
      <c r="BP674" s="785"/>
      <c r="BQ674" s="785"/>
      <c r="BR674" s="785"/>
      <c r="BS674" s="785"/>
      <c r="BT674" s="785"/>
      <c r="BU674" s="785"/>
      <c r="BV674" s="785"/>
      <c r="BW674" s="785"/>
      <c r="BX674" s="785"/>
      <c r="BY674" s="785"/>
      <c r="BZ674" s="785"/>
      <c r="CA674" s="785"/>
      <c r="CB674" s="785"/>
      <c r="CC674" s="785"/>
      <c r="CD674" s="785"/>
      <c r="CE674" s="785"/>
      <c r="CF674" s="785"/>
      <c r="CG674" s="785"/>
      <c r="CH674" s="785"/>
      <c r="CI674" s="785"/>
      <c r="CJ674" s="785"/>
      <c r="CK674" s="785"/>
      <c r="CL674" s="785"/>
      <c r="CM674" s="785"/>
      <c r="CN674" s="785"/>
      <c r="CO674" s="785"/>
      <c r="CP674" s="785"/>
      <c r="CQ674" s="785"/>
      <c r="CR674" s="785"/>
      <c r="CS674" s="785"/>
      <c r="CT674" s="785"/>
      <c r="CU674" s="785"/>
      <c r="CV674" s="785"/>
      <c r="CW674" s="785"/>
      <c r="CX674" s="785"/>
      <c r="CY674" s="785"/>
      <c r="CZ674" s="785"/>
      <c r="DA674" s="785"/>
      <c r="DB674" s="785"/>
      <c r="DC674" s="785"/>
      <c r="DD674" s="785"/>
      <c r="DE674" s="785"/>
      <c r="DF674" s="785"/>
      <c r="DG674" s="785"/>
      <c r="DH674" s="785"/>
      <c r="DI674" s="785"/>
      <c r="DJ674" s="785"/>
      <c r="DK674" s="785"/>
      <c r="DL674" s="785"/>
      <c r="DM674" s="785"/>
      <c r="DN674" s="785"/>
      <c r="DO674" s="785"/>
      <c r="DP674" s="785"/>
      <c r="DQ674" s="785"/>
      <c r="DR674" s="785"/>
      <c r="DS674" s="785"/>
      <c r="DT674" s="785"/>
      <c r="DU674" s="785"/>
      <c r="DV674" s="785"/>
      <c r="DW674" s="785"/>
      <c r="DX674" s="785"/>
      <c r="DY674" s="785"/>
      <c r="DZ674" s="785"/>
      <c r="EA674" s="785"/>
      <c r="EB674" s="785"/>
      <c r="EC674" s="785"/>
      <c r="ED674" s="785"/>
      <c r="EE674" s="785"/>
      <c r="EF674" s="785"/>
      <c r="EG674" s="785"/>
      <c r="EH674" s="785"/>
      <c r="EI674" s="785"/>
      <c r="EJ674" s="785"/>
      <c r="EK674" s="785"/>
      <c r="EL674" s="785"/>
      <c r="EM674" s="785"/>
      <c r="EN674" s="785"/>
      <c r="EO674" s="785"/>
      <c r="EP674" s="785"/>
      <c r="EQ674" s="785"/>
      <c r="ER674" s="785"/>
      <c r="ES674" s="785"/>
      <c r="ET674" s="785"/>
      <c r="EU674" s="785"/>
      <c r="EV674" s="785"/>
      <c r="EW674" s="785"/>
      <c r="EX674" s="785"/>
      <c r="EY674" s="785"/>
      <c r="EZ674" s="785"/>
      <c r="FA674" s="785"/>
      <c r="FB674" s="785"/>
      <c r="FC674" s="785"/>
      <c r="FD674" s="785"/>
      <c r="FE674" s="785"/>
      <c r="FF674" s="785"/>
      <c r="FG674" s="785"/>
      <c r="FH674" s="785"/>
      <c r="FI674" s="785"/>
      <c r="FJ674" s="785"/>
      <c r="FK674" s="785"/>
      <c r="FL674" s="785"/>
      <c r="FM674" s="785"/>
      <c r="FN674" s="785"/>
      <c r="FO674" s="785"/>
      <c r="FP674" s="785"/>
      <c r="FQ674" s="785"/>
      <c r="FR674" s="785"/>
      <c r="FS674" s="785"/>
      <c r="FT674" s="785"/>
      <c r="FU674" s="785"/>
      <c r="FV674" s="785"/>
      <c r="FW674" s="785"/>
      <c r="FX674" s="785"/>
      <c r="FY674" s="785"/>
      <c r="FZ674" s="785"/>
      <c r="GA674" s="785"/>
      <c r="GB674" s="785"/>
      <c r="GC674" s="785"/>
      <c r="GD674" s="785"/>
      <c r="GE674" s="785"/>
      <c r="GF674" s="785"/>
      <c r="GG674" s="785"/>
      <c r="GH674" s="785"/>
      <c r="GI674" s="785"/>
      <c r="GJ674" s="785"/>
      <c r="GK674" s="785"/>
      <c r="GL674" s="785"/>
      <c r="GM674" s="785"/>
      <c r="GN674" s="785"/>
      <c r="GO674" s="785"/>
      <c r="GP674" s="785"/>
      <c r="GQ674" s="785"/>
      <c r="GR674" s="785"/>
      <c r="GS674" s="785"/>
      <c r="GT674" s="785"/>
      <c r="GU674" s="785"/>
      <c r="GV674" s="785"/>
      <c r="GW674" s="785"/>
      <c r="GX674" s="785"/>
      <c r="GY674" s="785"/>
      <c r="GZ674" s="785"/>
      <c r="HA674" s="785"/>
      <c r="HB674" s="785"/>
      <c r="HC674" s="785"/>
      <c r="HD674" s="785"/>
      <c r="HE674" s="785"/>
      <c r="HF674" s="785"/>
      <c r="HG674" s="785"/>
      <c r="HH674" s="785"/>
      <c r="HI674" s="785"/>
      <c r="HJ674" s="785"/>
      <c r="KN674" s="785"/>
    </row>
    <row r="675" spans="1:300" s="796" customFormat="1" ht="17.25" customHeight="1">
      <c r="A675" s="794">
        <v>673</v>
      </c>
      <c r="B675" s="802" t="s">
        <v>26</v>
      </c>
      <c r="C675" s="804" t="s">
        <v>1299</v>
      </c>
      <c r="D675" s="805">
        <v>38687</v>
      </c>
      <c r="E675" s="805">
        <v>38930</v>
      </c>
      <c r="F675" s="791">
        <v>2005</v>
      </c>
      <c r="G675" s="804" t="s">
        <v>228</v>
      </c>
      <c r="H675" s="837" t="s">
        <v>1449</v>
      </c>
      <c r="I675" s="802" t="s">
        <v>229</v>
      </c>
      <c r="J675" s="800" t="s">
        <v>2331</v>
      </c>
      <c r="K675" s="817">
        <v>556</v>
      </c>
      <c r="L675" s="839">
        <v>200000</v>
      </c>
      <c r="M675" s="839">
        <v>199946</v>
      </c>
      <c r="N675" s="817">
        <v>199946</v>
      </c>
      <c r="O675" s="808">
        <f t="shared" ref="O675:O687" si="43">N675/K675</f>
        <v>359.61510791366908</v>
      </c>
      <c r="P675" s="817">
        <v>100</v>
      </c>
      <c r="Q675" s="839" t="s">
        <v>75</v>
      </c>
      <c r="R675" s="839" t="s">
        <v>75</v>
      </c>
      <c r="S675" s="817" t="s">
        <v>75</v>
      </c>
      <c r="T675" s="817" t="s">
        <v>233</v>
      </c>
      <c r="U675" s="839" t="s">
        <v>75</v>
      </c>
      <c r="V675" s="817" t="s">
        <v>75</v>
      </c>
      <c r="W675" s="817" t="s">
        <v>66</v>
      </c>
      <c r="X675" s="817" t="s">
        <v>66</v>
      </c>
      <c r="Y675" s="817"/>
      <c r="Z675" s="817" t="s">
        <v>75</v>
      </c>
      <c r="AA675" s="817" t="s">
        <v>134</v>
      </c>
      <c r="AB675" s="839">
        <v>850</v>
      </c>
      <c r="AC675" s="817" t="s">
        <v>2</v>
      </c>
      <c r="AD675" s="817" t="s">
        <v>134</v>
      </c>
      <c r="AE675" s="839" t="s">
        <v>2</v>
      </c>
      <c r="AF675" s="817" t="s">
        <v>75</v>
      </c>
      <c r="AG675" s="817" t="s">
        <v>75</v>
      </c>
      <c r="AH675" s="817" t="s">
        <v>75</v>
      </c>
      <c r="AI675" s="839" t="s">
        <v>75</v>
      </c>
      <c r="AJ675" s="787">
        <f t="shared" si="41"/>
        <v>0</v>
      </c>
      <c r="AK675" s="838" t="s">
        <v>66</v>
      </c>
      <c r="AL675" s="817" t="s">
        <v>66</v>
      </c>
      <c r="AM675" s="839"/>
      <c r="AN675" s="817" t="s">
        <v>75</v>
      </c>
      <c r="AO675" s="817" t="s">
        <v>75</v>
      </c>
      <c r="AP675" s="817" t="s">
        <v>75</v>
      </c>
      <c r="AQ675" s="817" t="s">
        <v>75</v>
      </c>
      <c r="AR675" s="817" t="s">
        <v>75</v>
      </c>
      <c r="AS675" s="817" t="s">
        <v>75</v>
      </c>
      <c r="AT675" s="817" t="s">
        <v>75</v>
      </c>
      <c r="AU675" s="404" t="s">
        <v>231</v>
      </c>
      <c r="AV675" s="802"/>
      <c r="AW675" s="802"/>
      <c r="AX675" s="802"/>
      <c r="AY675" s="802"/>
      <c r="AZ675" s="802"/>
      <c r="BA675" s="802"/>
      <c r="BB675" s="802"/>
      <c r="BC675" s="802"/>
      <c r="BD675" s="802"/>
      <c r="BE675" s="802"/>
      <c r="BF675" s="802"/>
      <c r="BG675" s="802"/>
      <c r="BH675" s="802"/>
      <c r="BI675" s="802"/>
      <c r="BJ675" s="802"/>
      <c r="BK675" s="802"/>
      <c r="BL675" s="802"/>
      <c r="BM675" s="789"/>
      <c r="BN675" s="785"/>
      <c r="BO675" s="785"/>
      <c r="BP675" s="785"/>
      <c r="BQ675" s="785"/>
      <c r="BR675" s="785"/>
      <c r="BS675" s="785"/>
      <c r="BT675" s="785"/>
      <c r="BU675" s="785"/>
      <c r="BV675" s="785"/>
      <c r="BW675" s="785"/>
      <c r="BX675" s="785"/>
      <c r="BY675" s="785"/>
      <c r="BZ675" s="785"/>
      <c r="CA675" s="785"/>
      <c r="CB675" s="785"/>
      <c r="CC675" s="785"/>
      <c r="CD675" s="785"/>
      <c r="CE675" s="785"/>
      <c r="CF675" s="785"/>
      <c r="CG675" s="785"/>
      <c r="CH675" s="785"/>
      <c r="CI675" s="785"/>
      <c r="CJ675" s="785"/>
      <c r="CK675" s="785"/>
      <c r="CL675" s="785"/>
      <c r="CM675" s="785"/>
      <c r="CN675" s="785"/>
      <c r="CO675" s="785"/>
      <c r="CP675" s="785"/>
      <c r="CQ675" s="785"/>
      <c r="CR675" s="785"/>
      <c r="CS675" s="785"/>
      <c r="CT675" s="785"/>
      <c r="CU675" s="785"/>
      <c r="CV675" s="785"/>
      <c r="CW675" s="785"/>
      <c r="CX675" s="785"/>
      <c r="CY675" s="785"/>
      <c r="CZ675" s="785"/>
      <c r="DA675" s="785"/>
      <c r="DB675" s="785"/>
      <c r="DC675" s="785"/>
      <c r="DD675" s="785"/>
      <c r="DE675" s="785"/>
      <c r="DF675" s="785"/>
      <c r="DG675" s="785"/>
      <c r="DH675" s="785"/>
      <c r="DI675" s="785"/>
      <c r="DJ675" s="785"/>
      <c r="DK675" s="785"/>
      <c r="DL675" s="785"/>
      <c r="DM675" s="785"/>
      <c r="DN675" s="785"/>
      <c r="DO675" s="785"/>
      <c r="DP675" s="785"/>
      <c r="DQ675" s="785"/>
      <c r="DR675" s="785"/>
      <c r="DS675" s="785"/>
      <c r="DT675" s="785"/>
      <c r="DU675" s="785"/>
      <c r="DV675" s="785"/>
      <c r="DW675" s="785"/>
      <c r="DX675" s="785"/>
      <c r="DY675" s="785"/>
      <c r="DZ675" s="785"/>
      <c r="EA675" s="785"/>
      <c r="EB675" s="785"/>
      <c r="EC675" s="785"/>
      <c r="ED675" s="785"/>
      <c r="EE675" s="785"/>
      <c r="EF675" s="785"/>
      <c r="EG675" s="785"/>
      <c r="EH675" s="785"/>
      <c r="EI675" s="785"/>
      <c r="EJ675" s="785"/>
      <c r="EK675" s="785"/>
      <c r="EL675" s="785"/>
      <c r="EM675" s="785"/>
      <c r="EN675" s="785"/>
      <c r="EO675" s="785"/>
      <c r="EP675" s="785"/>
      <c r="EQ675" s="785"/>
      <c r="ER675" s="785"/>
      <c r="ES675" s="785"/>
      <c r="ET675" s="785"/>
      <c r="EU675" s="785"/>
      <c r="EV675" s="785"/>
      <c r="EW675" s="785"/>
      <c r="EX675" s="785"/>
      <c r="EY675" s="785"/>
      <c r="EZ675" s="785"/>
      <c r="FA675" s="785"/>
      <c r="FB675" s="785"/>
      <c r="FC675" s="785"/>
      <c r="FD675" s="785"/>
      <c r="FE675" s="785"/>
      <c r="FF675" s="785"/>
      <c r="FG675" s="785"/>
      <c r="FH675" s="785"/>
      <c r="FI675" s="785"/>
      <c r="FJ675" s="785"/>
      <c r="FK675" s="785"/>
      <c r="FL675" s="785"/>
      <c r="FM675" s="785"/>
      <c r="FN675" s="785"/>
      <c r="FO675" s="785"/>
      <c r="FP675" s="785"/>
      <c r="FQ675" s="785"/>
      <c r="FR675" s="785"/>
      <c r="FS675" s="785"/>
      <c r="FT675" s="785"/>
      <c r="FU675" s="785"/>
      <c r="FV675" s="785"/>
      <c r="FW675" s="785"/>
      <c r="FX675" s="785"/>
      <c r="FY675" s="785"/>
      <c r="FZ675" s="785"/>
      <c r="GA675" s="785"/>
      <c r="GB675" s="785"/>
      <c r="GC675" s="785"/>
      <c r="GD675" s="785"/>
      <c r="GE675" s="785"/>
      <c r="GF675" s="785"/>
      <c r="GG675" s="785"/>
      <c r="GH675" s="785"/>
      <c r="GI675" s="785"/>
      <c r="GJ675" s="785"/>
      <c r="GK675" s="785"/>
      <c r="GL675" s="785"/>
      <c r="GM675" s="785"/>
      <c r="GN675" s="785"/>
      <c r="GO675" s="785"/>
      <c r="GP675" s="785"/>
      <c r="GQ675" s="785"/>
      <c r="GR675" s="785"/>
      <c r="GS675" s="785"/>
      <c r="GT675" s="785"/>
      <c r="GU675" s="785"/>
      <c r="GV675" s="785"/>
      <c r="GW675" s="785"/>
      <c r="GX675" s="785"/>
      <c r="GY675" s="785"/>
      <c r="GZ675" s="785"/>
      <c r="HA675" s="785"/>
      <c r="HB675" s="785"/>
      <c r="HC675" s="785"/>
      <c r="HD675" s="785"/>
      <c r="HE675" s="785"/>
      <c r="HF675" s="785"/>
      <c r="HG675" s="785"/>
      <c r="HH675" s="785"/>
      <c r="HI675" s="785"/>
      <c r="HJ675" s="785"/>
      <c r="KN675" s="785"/>
    </row>
    <row r="676" spans="1:300" s="796" customFormat="1" ht="15">
      <c r="A676" s="794">
        <v>674</v>
      </c>
      <c r="B676" s="785" t="s">
        <v>26</v>
      </c>
      <c r="C676" s="796" t="s">
        <v>1299</v>
      </c>
      <c r="D676" s="792">
        <v>38412</v>
      </c>
      <c r="E676" s="792">
        <v>38687</v>
      </c>
      <c r="F676" s="791">
        <v>2005</v>
      </c>
      <c r="G676" s="785" t="s">
        <v>331</v>
      </c>
      <c r="H676" s="837" t="s">
        <v>1471</v>
      </c>
      <c r="I676" s="785" t="s">
        <v>334</v>
      </c>
      <c r="J676" s="800" t="s">
        <v>2331</v>
      </c>
      <c r="K676" s="842">
        <v>4500</v>
      </c>
      <c r="L676" s="842">
        <v>0</v>
      </c>
      <c r="M676" s="842">
        <v>199995</v>
      </c>
      <c r="N676" s="842">
        <v>199995</v>
      </c>
      <c r="O676" s="808">
        <f t="shared" si="43"/>
        <v>44.443333333333335</v>
      </c>
      <c r="P676" s="842" t="s">
        <v>66</v>
      </c>
      <c r="Q676" s="842" t="s">
        <v>75</v>
      </c>
      <c r="R676" s="842" t="s">
        <v>75</v>
      </c>
      <c r="S676" s="842" t="s">
        <v>75</v>
      </c>
      <c r="T676" s="842" t="s">
        <v>233</v>
      </c>
      <c r="U676" s="842" t="s">
        <v>75</v>
      </c>
      <c r="V676" s="842" t="s">
        <v>75</v>
      </c>
      <c r="W676" s="842" t="s">
        <v>66</v>
      </c>
      <c r="X676" s="842" t="s">
        <v>66</v>
      </c>
      <c r="Y676" s="842"/>
      <c r="Z676" s="842" t="s">
        <v>75</v>
      </c>
      <c r="AA676" s="842" t="s">
        <v>75</v>
      </c>
      <c r="AB676" s="842" t="s">
        <v>75</v>
      </c>
      <c r="AC676" s="842" t="s">
        <v>75</v>
      </c>
      <c r="AD676" s="842" t="s">
        <v>75</v>
      </c>
      <c r="AE676" s="842" t="s">
        <v>75</v>
      </c>
      <c r="AF676" s="842" t="s">
        <v>75</v>
      </c>
      <c r="AG676" s="842" t="s">
        <v>75</v>
      </c>
      <c r="AH676" s="842" t="s">
        <v>75</v>
      </c>
      <c r="AI676" s="842" t="s">
        <v>75</v>
      </c>
      <c r="AJ676" s="787">
        <f t="shared" si="41"/>
        <v>0</v>
      </c>
      <c r="AK676" s="842">
        <v>0</v>
      </c>
      <c r="AL676" s="842">
        <v>28295</v>
      </c>
      <c r="AM676" s="842"/>
      <c r="AN676" s="842" t="s">
        <v>75</v>
      </c>
      <c r="AO676" s="842" t="s">
        <v>75</v>
      </c>
      <c r="AP676" s="842" t="s">
        <v>75</v>
      </c>
      <c r="AQ676" s="842" t="s">
        <v>75</v>
      </c>
      <c r="AR676" s="842" t="s">
        <v>75</v>
      </c>
      <c r="AS676" s="842" t="s">
        <v>75</v>
      </c>
      <c r="AT676" s="842" t="s">
        <v>75</v>
      </c>
      <c r="AU676" s="293" t="s">
        <v>335</v>
      </c>
      <c r="AV676" s="785"/>
      <c r="AW676" s="785"/>
      <c r="AX676" s="785"/>
      <c r="AY676" s="785"/>
      <c r="AZ676" s="785"/>
      <c r="BA676" s="785"/>
      <c r="BB676" s="785"/>
      <c r="BC676" s="785"/>
      <c r="BD676" s="785"/>
      <c r="BE676" s="785"/>
      <c r="BF676" s="785"/>
      <c r="BG676" s="785"/>
      <c r="BH676" s="785"/>
      <c r="BI676" s="785"/>
      <c r="BJ676" s="785"/>
      <c r="BK676" s="785"/>
      <c r="BL676" s="785"/>
      <c r="BM676" s="785"/>
      <c r="BN676" s="785"/>
      <c r="BO676" s="785"/>
      <c r="BP676" s="785"/>
      <c r="BQ676" s="785"/>
      <c r="BR676" s="785"/>
      <c r="BS676" s="785"/>
      <c r="BT676" s="785"/>
      <c r="BU676" s="785"/>
      <c r="BV676" s="785"/>
      <c r="BW676" s="785"/>
      <c r="BX676" s="785"/>
      <c r="BY676" s="785"/>
      <c r="BZ676" s="785"/>
      <c r="CA676" s="785"/>
      <c r="CB676" s="785"/>
      <c r="CC676" s="785"/>
      <c r="CD676" s="785"/>
      <c r="CE676" s="785"/>
      <c r="CF676" s="785"/>
      <c r="CG676" s="785"/>
      <c r="CH676" s="785"/>
      <c r="CI676" s="785"/>
      <c r="CJ676" s="785"/>
      <c r="CK676" s="785"/>
      <c r="CL676" s="785"/>
      <c r="CM676" s="785"/>
      <c r="CN676" s="785"/>
      <c r="CO676" s="785"/>
      <c r="CP676" s="785"/>
      <c r="CQ676" s="785"/>
      <c r="CR676" s="785"/>
      <c r="CS676" s="785"/>
      <c r="CT676" s="785"/>
      <c r="CU676" s="785"/>
      <c r="CV676" s="785"/>
      <c r="CW676" s="785"/>
      <c r="CX676" s="785"/>
      <c r="CY676" s="785"/>
      <c r="CZ676" s="785"/>
      <c r="DA676" s="785"/>
      <c r="DB676" s="785"/>
      <c r="DC676" s="785"/>
      <c r="DD676" s="785"/>
      <c r="DE676" s="785"/>
      <c r="DF676" s="785"/>
      <c r="DG676" s="785"/>
      <c r="DH676" s="785"/>
      <c r="DI676" s="785"/>
      <c r="DJ676" s="785"/>
      <c r="DK676" s="785"/>
      <c r="DL676" s="785"/>
      <c r="DM676" s="785"/>
      <c r="DN676" s="785"/>
      <c r="DO676" s="785"/>
      <c r="DP676" s="785"/>
      <c r="DQ676" s="785"/>
      <c r="DR676" s="785"/>
      <c r="DS676" s="785"/>
      <c r="DT676" s="785"/>
      <c r="DU676" s="785"/>
      <c r="DV676" s="785"/>
      <c r="DW676" s="785"/>
      <c r="DX676" s="785"/>
      <c r="DY676" s="785"/>
      <c r="DZ676" s="785"/>
      <c r="EA676" s="785"/>
      <c r="EB676" s="785"/>
      <c r="EC676" s="785"/>
      <c r="ED676" s="785"/>
      <c r="EE676" s="785"/>
      <c r="EF676" s="785"/>
      <c r="EG676" s="785"/>
      <c r="EH676" s="785"/>
      <c r="EI676" s="785"/>
      <c r="EJ676" s="785"/>
      <c r="EK676" s="785"/>
      <c r="EL676" s="785"/>
      <c r="EM676" s="785"/>
      <c r="EN676" s="785"/>
      <c r="EO676" s="785"/>
      <c r="EP676" s="785"/>
      <c r="EQ676" s="785"/>
      <c r="ER676" s="785"/>
      <c r="ES676" s="785"/>
      <c r="ET676" s="785"/>
      <c r="EU676" s="785"/>
      <c r="EV676" s="785"/>
      <c r="EW676" s="785"/>
      <c r="EX676" s="785"/>
      <c r="EY676" s="785"/>
      <c r="EZ676" s="785"/>
      <c r="FA676" s="785"/>
      <c r="FB676" s="785"/>
      <c r="FC676" s="785"/>
      <c r="FD676" s="785"/>
      <c r="FE676" s="785"/>
      <c r="FF676" s="785"/>
      <c r="FG676" s="785"/>
      <c r="FH676" s="785"/>
      <c r="FI676" s="785"/>
      <c r="FJ676" s="785"/>
      <c r="FK676" s="785"/>
      <c r="FL676" s="785"/>
      <c r="FM676" s="785"/>
      <c r="FN676" s="785"/>
      <c r="FO676" s="785"/>
      <c r="FP676" s="785"/>
      <c r="FQ676" s="785"/>
      <c r="FR676" s="785"/>
      <c r="FS676" s="785"/>
      <c r="FT676" s="785"/>
      <c r="FU676" s="785"/>
      <c r="FV676" s="785"/>
      <c r="FW676" s="785"/>
      <c r="FX676" s="785"/>
      <c r="FY676" s="785"/>
      <c r="FZ676" s="785"/>
      <c r="GA676" s="785"/>
      <c r="GB676" s="785"/>
      <c r="GC676" s="785"/>
      <c r="GD676" s="785"/>
      <c r="GE676" s="785"/>
      <c r="GF676" s="785"/>
      <c r="GG676" s="785"/>
      <c r="GH676" s="785"/>
      <c r="GI676" s="785"/>
      <c r="GJ676" s="785"/>
      <c r="GK676" s="785"/>
      <c r="GL676" s="785"/>
      <c r="GM676" s="785"/>
      <c r="GN676" s="785"/>
      <c r="GO676" s="785"/>
      <c r="GP676" s="785"/>
      <c r="GQ676" s="785"/>
      <c r="GR676" s="785"/>
      <c r="GS676" s="785"/>
      <c r="GT676" s="785"/>
      <c r="GU676" s="785"/>
      <c r="GV676" s="785"/>
      <c r="GW676" s="785"/>
      <c r="GX676" s="785"/>
      <c r="GY676" s="785"/>
      <c r="GZ676" s="785"/>
      <c r="HA676" s="785"/>
      <c r="HB676" s="785"/>
      <c r="HC676" s="785"/>
      <c r="HD676" s="785"/>
      <c r="HE676" s="785"/>
      <c r="HF676" s="785"/>
      <c r="HG676" s="785"/>
      <c r="HH676" s="785"/>
      <c r="HI676" s="785"/>
      <c r="HJ676" s="785"/>
      <c r="KN676" s="785"/>
    </row>
    <row r="677" spans="1:300" s="785" customFormat="1" ht="15">
      <c r="A677" s="794">
        <v>675</v>
      </c>
      <c r="B677" s="785" t="s">
        <v>26</v>
      </c>
      <c r="C677" s="785" t="s">
        <v>1299</v>
      </c>
      <c r="D677" s="792">
        <v>38565</v>
      </c>
      <c r="E677" s="792">
        <v>38808</v>
      </c>
      <c r="F677" s="791">
        <v>2005</v>
      </c>
      <c r="G677" s="785" t="s">
        <v>5</v>
      </c>
      <c r="H677" s="841" t="s">
        <v>1451</v>
      </c>
      <c r="I677" s="785" t="s">
        <v>412</v>
      </c>
      <c r="J677" s="800" t="s">
        <v>2331</v>
      </c>
      <c r="K677" s="842">
        <v>3675</v>
      </c>
      <c r="L677" s="842">
        <v>200000</v>
      </c>
      <c r="M677" s="842">
        <v>200000</v>
      </c>
      <c r="N677" s="842">
        <v>201000</v>
      </c>
      <c r="O677" s="808">
        <f t="shared" si="43"/>
        <v>54.693877551020407</v>
      </c>
      <c r="P677" s="842" t="s">
        <v>66</v>
      </c>
      <c r="Q677" s="842">
        <v>3675</v>
      </c>
      <c r="R677" s="842">
        <v>3675</v>
      </c>
      <c r="S677" s="842">
        <v>3675</v>
      </c>
      <c r="T677" s="842" t="s">
        <v>233</v>
      </c>
      <c r="U677" s="842" t="s">
        <v>134</v>
      </c>
      <c r="V677" s="842" t="s">
        <v>75</v>
      </c>
      <c r="W677" s="842" t="s">
        <v>66</v>
      </c>
      <c r="X677" s="842" t="s">
        <v>66</v>
      </c>
      <c r="Y677" s="808"/>
      <c r="Z677" s="842" t="s">
        <v>75</v>
      </c>
      <c r="AA677" s="842" t="s">
        <v>75</v>
      </c>
      <c r="AB677" s="842" t="s">
        <v>134</v>
      </c>
      <c r="AC677" s="842" t="s">
        <v>75</v>
      </c>
      <c r="AD677" s="842" t="s">
        <v>75</v>
      </c>
      <c r="AE677" s="842">
        <v>1470</v>
      </c>
      <c r="AF677" s="842" t="s">
        <v>75</v>
      </c>
      <c r="AG677" s="842" t="s">
        <v>75</v>
      </c>
      <c r="AH677" s="842" t="s">
        <v>75</v>
      </c>
      <c r="AI677" s="842" t="s">
        <v>75</v>
      </c>
      <c r="AJ677" s="808">
        <f t="shared" si="41"/>
        <v>0</v>
      </c>
      <c r="AK677" s="842" t="s">
        <v>66</v>
      </c>
      <c r="AL677" s="842" t="s">
        <v>66</v>
      </c>
      <c r="AM677" s="842"/>
      <c r="AN677" s="842"/>
      <c r="AO677" s="842"/>
      <c r="AP677" s="842"/>
      <c r="AQ677" s="842"/>
      <c r="AR677" s="842"/>
      <c r="AS677" s="842" t="s">
        <v>75</v>
      </c>
      <c r="AT677" s="842" t="s">
        <v>75</v>
      </c>
      <c r="AU677" s="293" t="s">
        <v>411</v>
      </c>
    </row>
    <row r="678" spans="1:300" s="785" customFormat="1" ht="18" customHeight="1">
      <c r="A678" s="794">
        <v>676</v>
      </c>
      <c r="B678" s="802" t="s">
        <v>138</v>
      </c>
      <c r="C678" s="804" t="s">
        <v>1299</v>
      </c>
      <c r="D678" s="840">
        <v>38353</v>
      </c>
      <c r="E678" s="840">
        <v>38443</v>
      </c>
      <c r="F678" s="791">
        <v>2005</v>
      </c>
      <c r="G678" s="836" t="s">
        <v>300</v>
      </c>
      <c r="H678" s="837" t="s">
        <v>1450</v>
      </c>
      <c r="I678" s="802" t="s">
        <v>298</v>
      </c>
      <c r="J678" s="800" t="s">
        <v>2331</v>
      </c>
      <c r="K678" s="817">
        <v>7117</v>
      </c>
      <c r="L678" s="839">
        <v>35535</v>
      </c>
      <c r="M678" s="839">
        <v>35550</v>
      </c>
      <c r="N678" s="839">
        <v>35550</v>
      </c>
      <c r="O678" s="808">
        <f t="shared" si="43"/>
        <v>4.99508219755515</v>
      </c>
      <c r="P678" s="817">
        <v>100</v>
      </c>
      <c r="Q678" s="817" t="s">
        <v>75</v>
      </c>
      <c r="R678" s="817" t="s">
        <v>75</v>
      </c>
      <c r="S678" s="817" t="s">
        <v>75</v>
      </c>
      <c r="T678" s="817" t="s">
        <v>233</v>
      </c>
      <c r="U678" s="817" t="s">
        <v>75</v>
      </c>
      <c r="V678" s="817" t="s">
        <v>75</v>
      </c>
      <c r="W678" s="817" t="s">
        <v>66</v>
      </c>
      <c r="X678" s="817" t="s">
        <v>66</v>
      </c>
      <c r="Y678" s="817"/>
      <c r="Z678" s="817" t="s">
        <v>75</v>
      </c>
      <c r="AA678" s="817" t="s">
        <v>75</v>
      </c>
      <c r="AB678" s="817" t="s">
        <v>75</v>
      </c>
      <c r="AC678" s="817" t="s">
        <v>75</v>
      </c>
      <c r="AD678" s="817" t="s">
        <v>75</v>
      </c>
      <c r="AE678" s="817" t="s">
        <v>75</v>
      </c>
      <c r="AF678" s="817" t="s">
        <v>75</v>
      </c>
      <c r="AG678" s="817" t="s">
        <v>75</v>
      </c>
      <c r="AH678" s="817" t="s">
        <v>75</v>
      </c>
      <c r="AI678" s="817" t="s">
        <v>75</v>
      </c>
      <c r="AJ678" s="787">
        <f t="shared" si="41"/>
        <v>0</v>
      </c>
      <c r="AK678" s="817" t="s">
        <v>66</v>
      </c>
      <c r="AL678" s="817" t="s">
        <v>66</v>
      </c>
      <c r="AM678" s="839"/>
      <c r="AN678" s="817" t="s">
        <v>75</v>
      </c>
      <c r="AO678" s="817" t="s">
        <v>75</v>
      </c>
      <c r="AP678" s="817" t="s">
        <v>75</v>
      </c>
      <c r="AQ678" s="817" t="s">
        <v>75</v>
      </c>
      <c r="AR678" s="817" t="s">
        <v>75</v>
      </c>
      <c r="AS678" s="817" t="s">
        <v>75</v>
      </c>
      <c r="AT678" s="817" t="s">
        <v>75</v>
      </c>
      <c r="AU678" s="804" t="s">
        <v>299</v>
      </c>
      <c r="AV678" s="802"/>
      <c r="AW678" s="802"/>
      <c r="AX678" s="802"/>
      <c r="AY678" s="802"/>
      <c r="AZ678" s="802"/>
      <c r="BA678" s="802"/>
      <c r="BB678" s="802"/>
      <c r="BC678" s="802"/>
      <c r="BD678" s="802"/>
      <c r="BE678" s="802"/>
      <c r="BF678" s="802"/>
      <c r="BG678" s="802"/>
      <c r="BH678" s="802"/>
      <c r="BI678" s="802"/>
      <c r="BJ678" s="802"/>
      <c r="BK678" s="802"/>
      <c r="BL678" s="802"/>
      <c r="BM678" s="789"/>
    </row>
    <row r="679" spans="1:300" s="785" customFormat="1" ht="21" customHeight="1">
      <c r="A679" s="794">
        <v>677</v>
      </c>
      <c r="B679" s="802" t="s">
        <v>171</v>
      </c>
      <c r="C679" s="804" t="s">
        <v>1299</v>
      </c>
      <c r="D679" s="805">
        <v>38473</v>
      </c>
      <c r="E679" s="805">
        <v>38565</v>
      </c>
      <c r="F679" s="791">
        <v>2005</v>
      </c>
      <c r="G679" s="804" t="s">
        <v>263</v>
      </c>
      <c r="H679" s="837" t="s">
        <v>1451</v>
      </c>
      <c r="I679" s="802" t="s">
        <v>264</v>
      </c>
      <c r="J679" s="800" t="s">
        <v>2331</v>
      </c>
      <c r="K679" s="817">
        <v>6000</v>
      </c>
      <c r="L679" s="839">
        <v>0</v>
      </c>
      <c r="M679" s="839">
        <v>109937</v>
      </c>
      <c r="N679" s="817">
        <v>109937</v>
      </c>
      <c r="O679" s="808">
        <f t="shared" si="43"/>
        <v>18.322833333333332</v>
      </c>
      <c r="P679" s="839" t="s">
        <v>66</v>
      </c>
      <c r="Q679" s="839" t="s">
        <v>134</v>
      </c>
      <c r="R679" s="839" t="s">
        <v>75</v>
      </c>
      <c r="S679" s="817" t="s">
        <v>134</v>
      </c>
      <c r="T679" s="817" t="s">
        <v>233</v>
      </c>
      <c r="U679" s="839" t="s">
        <v>134</v>
      </c>
      <c r="V679" s="817" t="s">
        <v>134</v>
      </c>
      <c r="W679" s="817">
        <v>0</v>
      </c>
      <c r="X679" s="817">
        <v>28399</v>
      </c>
      <c r="Y679" s="817"/>
      <c r="Z679" s="817" t="s">
        <v>266</v>
      </c>
      <c r="AA679" s="817" t="s">
        <v>134</v>
      </c>
      <c r="AB679" s="839">
        <v>55</v>
      </c>
      <c r="AC679" s="817" t="s">
        <v>267</v>
      </c>
      <c r="AD679" s="817" t="s">
        <v>267</v>
      </c>
      <c r="AE679" s="839">
        <v>1996</v>
      </c>
      <c r="AF679" s="817" t="s">
        <v>75</v>
      </c>
      <c r="AG679" s="817" t="s">
        <v>75</v>
      </c>
      <c r="AH679" s="817" t="s">
        <v>75</v>
      </c>
      <c r="AI679" s="817" t="s">
        <v>75</v>
      </c>
      <c r="AJ679" s="787">
        <f t="shared" si="41"/>
        <v>0</v>
      </c>
      <c r="AK679" s="817" t="s">
        <v>66</v>
      </c>
      <c r="AL679" s="817" t="s">
        <v>66</v>
      </c>
      <c r="AM679" s="839"/>
      <c r="AN679" s="817" t="s">
        <v>75</v>
      </c>
      <c r="AO679" s="817" t="s">
        <v>75</v>
      </c>
      <c r="AP679" s="817" t="s">
        <v>75</v>
      </c>
      <c r="AQ679" s="817" t="s">
        <v>75</v>
      </c>
      <c r="AR679" s="817" t="s">
        <v>75</v>
      </c>
      <c r="AS679" s="817" t="s">
        <v>204</v>
      </c>
      <c r="AT679" s="817" t="s">
        <v>204</v>
      </c>
      <c r="AU679" s="804" t="s">
        <v>265</v>
      </c>
      <c r="AV679" s="802"/>
      <c r="AW679" s="802"/>
      <c r="AX679" s="802"/>
      <c r="AY679" s="802"/>
      <c r="AZ679" s="802"/>
      <c r="BA679" s="802"/>
      <c r="BB679" s="802"/>
      <c r="BC679" s="802"/>
      <c r="BD679" s="802"/>
      <c r="BE679" s="802"/>
      <c r="BF679" s="802"/>
      <c r="BG679" s="802"/>
      <c r="BH679" s="802"/>
      <c r="BI679" s="802"/>
      <c r="BJ679" s="802"/>
      <c r="BK679" s="802"/>
      <c r="BL679" s="802"/>
      <c r="BM679" s="789"/>
    </row>
    <row r="680" spans="1:300" s="785" customFormat="1" ht="20.25" customHeight="1">
      <c r="A680" s="794">
        <v>678</v>
      </c>
      <c r="B680" s="789" t="s">
        <v>171</v>
      </c>
      <c r="C680" s="836" t="s">
        <v>1299</v>
      </c>
      <c r="D680" s="840">
        <v>38687</v>
      </c>
      <c r="E680" s="840">
        <v>38777</v>
      </c>
      <c r="F680" s="791">
        <v>2005</v>
      </c>
      <c r="G680" s="836" t="s">
        <v>24</v>
      </c>
      <c r="H680" s="841" t="s">
        <v>1454</v>
      </c>
      <c r="I680" s="789" t="s">
        <v>277</v>
      </c>
      <c r="J680" s="800" t="s">
        <v>2331</v>
      </c>
      <c r="K680" s="817">
        <v>270</v>
      </c>
      <c r="L680" s="817">
        <v>0</v>
      </c>
      <c r="M680" s="817">
        <v>29220</v>
      </c>
      <c r="N680" s="817">
        <v>29220</v>
      </c>
      <c r="O680" s="808">
        <f t="shared" si="43"/>
        <v>108.22222222222223</v>
      </c>
      <c r="P680" s="817" t="s">
        <v>66</v>
      </c>
      <c r="Q680" s="817">
        <v>270</v>
      </c>
      <c r="R680" s="817">
        <v>270</v>
      </c>
      <c r="S680" s="817">
        <v>270</v>
      </c>
      <c r="T680" s="817" t="s">
        <v>233</v>
      </c>
      <c r="U680" s="817" t="s">
        <v>75</v>
      </c>
      <c r="V680" s="817" t="s">
        <v>75</v>
      </c>
      <c r="W680" s="817">
        <v>0</v>
      </c>
      <c r="X680" s="817">
        <v>15683</v>
      </c>
      <c r="Y680" s="808">
        <f>X680/S680</f>
        <v>58.085185185185182</v>
      </c>
      <c r="Z680" s="817" t="s">
        <v>75</v>
      </c>
      <c r="AA680" s="817" t="s">
        <v>75</v>
      </c>
      <c r="AB680" s="817" t="s">
        <v>75</v>
      </c>
      <c r="AC680" s="817" t="s">
        <v>75</v>
      </c>
      <c r="AD680" s="817" t="s">
        <v>75</v>
      </c>
      <c r="AE680" s="817" t="s">
        <v>75</v>
      </c>
      <c r="AF680" s="817" t="s">
        <v>75</v>
      </c>
      <c r="AG680" s="817" t="s">
        <v>75</v>
      </c>
      <c r="AH680" s="817" t="s">
        <v>75</v>
      </c>
      <c r="AI680" s="817" t="s">
        <v>75</v>
      </c>
      <c r="AJ680" s="808">
        <f t="shared" si="41"/>
        <v>0</v>
      </c>
      <c r="AK680" s="817" t="s">
        <v>66</v>
      </c>
      <c r="AL680" s="817" t="s">
        <v>66</v>
      </c>
      <c r="AM680" s="817"/>
      <c r="AN680" s="817" t="s">
        <v>75</v>
      </c>
      <c r="AO680" s="817" t="s">
        <v>75</v>
      </c>
      <c r="AP680" s="817" t="s">
        <v>75</v>
      </c>
      <c r="AQ680" s="817" t="s">
        <v>75</v>
      </c>
      <c r="AR680" s="817" t="s">
        <v>75</v>
      </c>
      <c r="AS680" s="817" t="s">
        <v>75</v>
      </c>
      <c r="AT680" s="817" t="s">
        <v>75</v>
      </c>
      <c r="AU680" s="407" t="s">
        <v>278</v>
      </c>
      <c r="AV680" s="789"/>
      <c r="AW680" s="789"/>
      <c r="AX680" s="789"/>
      <c r="AY680" s="789"/>
      <c r="AZ680" s="789"/>
      <c r="BA680" s="789"/>
      <c r="BB680" s="789"/>
      <c r="BC680" s="789"/>
      <c r="BD680" s="789"/>
      <c r="BE680" s="789"/>
      <c r="BF680" s="789"/>
      <c r="BG680" s="789"/>
      <c r="BH680" s="789"/>
      <c r="BI680" s="789"/>
      <c r="BJ680" s="789"/>
      <c r="BK680" s="789"/>
      <c r="BL680" s="789"/>
      <c r="BM680" s="789"/>
    </row>
    <row r="681" spans="1:300" s="821" customFormat="1" ht="15.75" customHeight="1">
      <c r="A681" s="794">
        <v>679</v>
      </c>
      <c r="B681" s="802" t="s">
        <v>259</v>
      </c>
      <c r="C681" s="802" t="s">
        <v>1261</v>
      </c>
      <c r="D681" s="805">
        <v>38626</v>
      </c>
      <c r="E681" s="805">
        <v>38991</v>
      </c>
      <c r="F681" s="791">
        <v>2005</v>
      </c>
      <c r="G681" s="804" t="s">
        <v>262</v>
      </c>
      <c r="H681" s="837" t="s">
        <v>1450</v>
      </c>
      <c r="I681" s="802" t="s">
        <v>261</v>
      </c>
      <c r="J681" s="812" t="s">
        <v>2438</v>
      </c>
      <c r="K681" s="817">
        <v>32450</v>
      </c>
      <c r="L681" s="839">
        <v>813678</v>
      </c>
      <c r="M681" s="839">
        <v>832947</v>
      </c>
      <c r="N681" s="817">
        <v>832947</v>
      </c>
      <c r="O681" s="808">
        <f t="shared" si="43"/>
        <v>25.668628659476116</v>
      </c>
      <c r="P681" s="817">
        <v>102</v>
      </c>
      <c r="Q681" s="839" t="s">
        <v>75</v>
      </c>
      <c r="R681" s="839" t="s">
        <v>75</v>
      </c>
      <c r="S681" s="817" t="s">
        <v>75</v>
      </c>
      <c r="T681" s="817" t="s">
        <v>75</v>
      </c>
      <c r="U681" s="839" t="s">
        <v>75</v>
      </c>
      <c r="V681" s="817" t="s">
        <v>75</v>
      </c>
      <c r="W681" s="817" t="s">
        <v>66</v>
      </c>
      <c r="X681" s="817" t="s">
        <v>66</v>
      </c>
      <c r="Y681" s="817"/>
      <c r="Z681" s="817" t="s">
        <v>75</v>
      </c>
      <c r="AA681" s="817" t="s">
        <v>75</v>
      </c>
      <c r="AB681" s="817" t="s">
        <v>75</v>
      </c>
      <c r="AC681" s="817" t="s">
        <v>75</v>
      </c>
      <c r="AD681" s="817" t="s">
        <v>75</v>
      </c>
      <c r="AE681" s="839">
        <v>3100</v>
      </c>
      <c r="AF681" s="817" t="s">
        <v>75</v>
      </c>
      <c r="AG681" s="817" t="s">
        <v>75</v>
      </c>
      <c r="AH681" s="817" t="s">
        <v>75</v>
      </c>
      <c r="AI681" s="817" t="s">
        <v>75</v>
      </c>
      <c r="AJ681" s="787">
        <f t="shared" si="41"/>
        <v>0</v>
      </c>
      <c r="AK681" s="817" t="s">
        <v>66</v>
      </c>
      <c r="AL681" s="817" t="s">
        <v>66</v>
      </c>
      <c r="AM681" s="839"/>
      <c r="AN681" s="817" t="s">
        <v>75</v>
      </c>
      <c r="AO681" s="817" t="s">
        <v>75</v>
      </c>
      <c r="AP681" s="817" t="s">
        <v>75</v>
      </c>
      <c r="AQ681" s="817" t="s">
        <v>75</v>
      </c>
      <c r="AR681" s="817" t="s">
        <v>75</v>
      </c>
      <c r="AS681" s="817" t="s">
        <v>75</v>
      </c>
      <c r="AT681" s="817" t="s">
        <v>75</v>
      </c>
      <c r="AU681" s="404" t="s">
        <v>260</v>
      </c>
      <c r="AV681" s="802"/>
      <c r="AW681" s="802"/>
      <c r="AX681" s="802"/>
      <c r="AY681" s="802"/>
      <c r="AZ681" s="802"/>
      <c r="BA681" s="802"/>
      <c r="BB681" s="802"/>
      <c r="BC681" s="802"/>
      <c r="BD681" s="802"/>
      <c r="BE681" s="802"/>
      <c r="BF681" s="802"/>
      <c r="BG681" s="802"/>
      <c r="BH681" s="802"/>
      <c r="BI681" s="802"/>
      <c r="BJ681" s="802"/>
      <c r="BK681" s="802"/>
      <c r="BL681" s="802"/>
      <c r="BM681" s="789"/>
      <c r="BN681" s="815"/>
      <c r="BO681" s="815"/>
      <c r="BP681" s="815"/>
      <c r="BQ681" s="815"/>
      <c r="BR681" s="815"/>
      <c r="BS681" s="815"/>
      <c r="BT681" s="815"/>
      <c r="BU681" s="815"/>
      <c r="BV681" s="815"/>
      <c r="BW681" s="815"/>
      <c r="BX681" s="815"/>
      <c r="BY681" s="815"/>
      <c r="BZ681" s="815"/>
      <c r="CA681" s="815"/>
      <c r="CB681" s="815"/>
      <c r="CC681" s="815"/>
      <c r="CD681" s="815"/>
      <c r="CE681" s="815"/>
      <c r="CF681" s="815"/>
      <c r="CG681" s="815"/>
      <c r="CH681" s="815"/>
      <c r="CI681" s="815"/>
      <c r="CJ681" s="815"/>
      <c r="CK681" s="815"/>
      <c r="CL681" s="815"/>
      <c r="CM681" s="815"/>
      <c r="CN681" s="815"/>
      <c r="CO681" s="815"/>
      <c r="CP681" s="815"/>
      <c r="CQ681" s="815"/>
      <c r="CR681" s="815"/>
      <c r="CS681" s="815"/>
      <c r="CT681" s="815"/>
      <c r="CU681" s="815"/>
      <c r="CV681" s="815"/>
      <c r="CW681" s="815"/>
      <c r="CX681" s="815"/>
      <c r="CY681" s="815"/>
      <c r="CZ681" s="815"/>
      <c r="DA681" s="815"/>
      <c r="DB681" s="815"/>
      <c r="DC681" s="815"/>
      <c r="DD681" s="815"/>
      <c r="DE681" s="815"/>
      <c r="DF681" s="815"/>
      <c r="DG681" s="815"/>
      <c r="DH681" s="815"/>
      <c r="DI681" s="815"/>
      <c r="DJ681" s="815"/>
      <c r="DK681" s="815"/>
      <c r="DL681" s="815"/>
      <c r="DM681" s="815"/>
      <c r="DN681" s="815"/>
      <c r="DO681" s="815"/>
      <c r="DP681" s="815"/>
      <c r="DQ681" s="815"/>
      <c r="DR681" s="815"/>
      <c r="DS681" s="815"/>
      <c r="DT681" s="815"/>
      <c r="DU681" s="815"/>
      <c r="DV681" s="815"/>
      <c r="DW681" s="815"/>
      <c r="DX681" s="815"/>
      <c r="DY681" s="815"/>
      <c r="DZ681" s="815"/>
      <c r="EA681" s="815"/>
      <c r="EB681" s="815"/>
      <c r="EC681" s="815"/>
      <c r="ED681" s="815"/>
      <c r="EE681" s="815"/>
      <c r="EF681" s="815"/>
      <c r="EG681" s="815"/>
      <c r="EH681" s="815"/>
      <c r="EI681" s="815"/>
      <c r="EJ681" s="815"/>
      <c r="EK681" s="815"/>
      <c r="EL681" s="815"/>
      <c r="EM681" s="815"/>
      <c r="EN681" s="815"/>
      <c r="EO681" s="815"/>
      <c r="EP681" s="815"/>
      <c r="EQ681" s="815"/>
      <c r="ER681" s="815"/>
      <c r="ES681" s="815"/>
      <c r="ET681" s="815"/>
      <c r="EU681" s="815"/>
      <c r="EV681" s="815"/>
      <c r="EW681" s="815"/>
      <c r="EX681" s="815"/>
      <c r="EY681" s="815"/>
      <c r="EZ681" s="815"/>
      <c r="FA681" s="815"/>
      <c r="FB681" s="815"/>
      <c r="FC681" s="815"/>
      <c r="FD681" s="815"/>
      <c r="FE681" s="815"/>
      <c r="FF681" s="815"/>
      <c r="FG681" s="815"/>
      <c r="FH681" s="815"/>
      <c r="FI681" s="815"/>
      <c r="FJ681" s="815"/>
      <c r="FK681" s="815"/>
      <c r="FL681" s="815"/>
      <c r="FM681" s="815"/>
      <c r="FN681" s="815"/>
      <c r="FO681" s="815"/>
      <c r="FP681" s="815"/>
      <c r="FQ681" s="815"/>
      <c r="FR681" s="815"/>
      <c r="FS681" s="815"/>
      <c r="FT681" s="815"/>
      <c r="FU681" s="815"/>
      <c r="FV681" s="815"/>
      <c r="FW681" s="815"/>
      <c r="FX681" s="815"/>
      <c r="FY681" s="815"/>
      <c r="FZ681" s="815"/>
      <c r="GA681" s="815"/>
      <c r="GB681" s="815"/>
      <c r="GC681" s="815"/>
      <c r="GD681" s="815"/>
      <c r="GE681" s="815"/>
      <c r="GF681" s="815"/>
      <c r="GG681" s="815"/>
      <c r="GH681" s="815"/>
      <c r="GI681" s="815"/>
      <c r="GJ681" s="815"/>
      <c r="GK681" s="815"/>
      <c r="GL681" s="815"/>
      <c r="GM681" s="815"/>
      <c r="GN681" s="815"/>
      <c r="GO681" s="815"/>
      <c r="GP681" s="815"/>
      <c r="GQ681" s="815"/>
      <c r="GR681" s="815"/>
      <c r="GS681" s="815"/>
      <c r="GT681" s="815"/>
      <c r="GU681" s="815"/>
      <c r="GV681" s="815"/>
      <c r="GW681" s="815"/>
      <c r="GX681" s="815"/>
      <c r="GY681" s="815"/>
      <c r="GZ681" s="815"/>
      <c r="HA681" s="815"/>
      <c r="HB681" s="815"/>
      <c r="HC681" s="815"/>
      <c r="HD681" s="815"/>
      <c r="HE681" s="815"/>
      <c r="HF681" s="815"/>
      <c r="HG681" s="815"/>
      <c r="HH681" s="815"/>
      <c r="HI681" s="815"/>
      <c r="HJ681" s="815"/>
      <c r="KN681" s="815"/>
    </row>
    <row r="682" spans="1:300" s="821" customFormat="1" ht="17.25" customHeight="1">
      <c r="A682" s="794">
        <v>680</v>
      </c>
      <c r="B682" s="802" t="s">
        <v>141</v>
      </c>
      <c r="C682" s="804" t="s">
        <v>1299</v>
      </c>
      <c r="D682" s="805">
        <v>38412</v>
      </c>
      <c r="E682" s="805">
        <v>38565</v>
      </c>
      <c r="F682" s="791">
        <v>2005</v>
      </c>
      <c r="G682" s="804" t="s">
        <v>79</v>
      </c>
      <c r="H682" s="837" t="s">
        <v>1453</v>
      </c>
      <c r="I682" s="804" t="s">
        <v>257</v>
      </c>
      <c r="J682" s="800" t="s">
        <v>2331</v>
      </c>
      <c r="K682" s="817">
        <v>388800</v>
      </c>
      <c r="L682" s="839">
        <v>49998</v>
      </c>
      <c r="M682" s="839">
        <v>49998</v>
      </c>
      <c r="N682" s="817">
        <v>49998</v>
      </c>
      <c r="O682" s="808">
        <f t="shared" si="43"/>
        <v>0.12859567901234567</v>
      </c>
      <c r="P682" s="817">
        <v>100</v>
      </c>
      <c r="Q682" s="839" t="s">
        <v>134</v>
      </c>
      <c r="R682" s="839" t="s">
        <v>134</v>
      </c>
      <c r="S682" s="817" t="s">
        <v>134</v>
      </c>
      <c r="T682" s="817" t="s">
        <v>233</v>
      </c>
      <c r="U682" s="839" t="s">
        <v>134</v>
      </c>
      <c r="V682" s="817" t="s">
        <v>134</v>
      </c>
      <c r="W682" s="817">
        <v>234</v>
      </c>
      <c r="X682" s="817">
        <v>234</v>
      </c>
      <c r="Y682" s="817"/>
      <c r="Z682" s="817" t="s">
        <v>75</v>
      </c>
      <c r="AA682" s="817" t="s">
        <v>134</v>
      </c>
      <c r="AB682" s="817" t="s">
        <v>134</v>
      </c>
      <c r="AC682" s="817" t="s">
        <v>134</v>
      </c>
      <c r="AD682" s="817" t="s">
        <v>134</v>
      </c>
      <c r="AE682" s="817" t="s">
        <v>75</v>
      </c>
      <c r="AF682" s="817" t="s">
        <v>134</v>
      </c>
      <c r="AG682" s="817" t="s">
        <v>134</v>
      </c>
      <c r="AH682" s="817" t="s">
        <v>134</v>
      </c>
      <c r="AI682" s="817" t="s">
        <v>134</v>
      </c>
      <c r="AJ682" s="787">
        <f t="shared" si="41"/>
        <v>0</v>
      </c>
      <c r="AK682" s="817" t="s">
        <v>66</v>
      </c>
      <c r="AL682" s="817" t="s">
        <v>66</v>
      </c>
      <c r="AM682" s="839"/>
      <c r="AN682" s="817" t="s">
        <v>75</v>
      </c>
      <c r="AO682" s="817" t="s">
        <v>75</v>
      </c>
      <c r="AP682" s="817" t="s">
        <v>75</v>
      </c>
      <c r="AQ682" s="817" t="s">
        <v>75</v>
      </c>
      <c r="AR682" s="817" t="s">
        <v>75</v>
      </c>
      <c r="AS682" s="817" t="s">
        <v>75</v>
      </c>
      <c r="AT682" s="817" t="s">
        <v>75</v>
      </c>
      <c r="AU682" s="432" t="s">
        <v>258</v>
      </c>
      <c r="AV682" s="802"/>
      <c r="AW682" s="802"/>
      <c r="AX682" s="802"/>
      <c r="AY682" s="802"/>
      <c r="AZ682" s="802"/>
      <c r="BA682" s="802"/>
      <c r="BB682" s="802"/>
      <c r="BC682" s="802"/>
      <c r="BD682" s="802"/>
      <c r="BE682" s="802"/>
      <c r="BF682" s="802"/>
      <c r="BG682" s="802"/>
      <c r="BH682" s="802"/>
      <c r="BI682" s="802"/>
      <c r="BJ682" s="802"/>
      <c r="BK682" s="802"/>
      <c r="BL682" s="802"/>
      <c r="BM682" s="789"/>
      <c r="BN682" s="815"/>
      <c r="BO682" s="815"/>
      <c r="BP682" s="815"/>
      <c r="BQ682" s="815"/>
      <c r="BR682" s="815"/>
      <c r="BS682" s="815"/>
      <c r="BT682" s="815"/>
      <c r="BU682" s="815"/>
      <c r="BV682" s="815"/>
      <c r="BW682" s="815"/>
      <c r="BX682" s="815"/>
      <c r="BY682" s="815"/>
      <c r="BZ682" s="815"/>
      <c r="CA682" s="815"/>
      <c r="CB682" s="815"/>
      <c r="CC682" s="815"/>
      <c r="CD682" s="815"/>
      <c r="CE682" s="815"/>
      <c r="CF682" s="815"/>
      <c r="CG682" s="815"/>
      <c r="CH682" s="815"/>
      <c r="CI682" s="815"/>
      <c r="CJ682" s="815"/>
      <c r="CK682" s="815"/>
      <c r="CL682" s="815"/>
      <c r="CM682" s="815"/>
      <c r="CN682" s="815"/>
      <c r="CO682" s="815"/>
      <c r="CP682" s="815"/>
      <c r="CQ682" s="815"/>
      <c r="CR682" s="815"/>
      <c r="CS682" s="815"/>
      <c r="CT682" s="815"/>
      <c r="CU682" s="815"/>
      <c r="CV682" s="815"/>
      <c r="CW682" s="815"/>
      <c r="CX682" s="815"/>
      <c r="CY682" s="815"/>
      <c r="CZ682" s="815"/>
      <c r="DA682" s="815"/>
      <c r="DB682" s="815"/>
      <c r="DC682" s="815"/>
      <c r="DD682" s="815"/>
      <c r="DE682" s="815"/>
      <c r="DF682" s="815"/>
      <c r="DG682" s="815"/>
      <c r="DH682" s="815"/>
      <c r="DI682" s="815"/>
      <c r="DJ682" s="815"/>
      <c r="DK682" s="815"/>
      <c r="DL682" s="815"/>
      <c r="DM682" s="815"/>
      <c r="DN682" s="815"/>
      <c r="DO682" s="815"/>
      <c r="DP682" s="815"/>
      <c r="DQ682" s="815"/>
      <c r="DR682" s="815"/>
      <c r="DS682" s="815"/>
      <c r="DT682" s="815"/>
      <c r="DU682" s="815"/>
      <c r="DV682" s="815"/>
      <c r="DW682" s="815"/>
      <c r="DX682" s="815"/>
      <c r="DY682" s="815"/>
      <c r="DZ682" s="815"/>
      <c r="EA682" s="815"/>
      <c r="EB682" s="815"/>
      <c r="EC682" s="815"/>
      <c r="ED682" s="815"/>
      <c r="EE682" s="815"/>
      <c r="EF682" s="815"/>
      <c r="EG682" s="815"/>
      <c r="EH682" s="815"/>
      <c r="EI682" s="815"/>
      <c r="EJ682" s="815"/>
      <c r="EK682" s="815"/>
      <c r="EL682" s="815"/>
      <c r="EM682" s="815"/>
      <c r="EN682" s="815"/>
      <c r="EO682" s="815"/>
      <c r="EP682" s="815"/>
      <c r="EQ682" s="815"/>
      <c r="ER682" s="815"/>
      <c r="ES682" s="815"/>
      <c r="ET682" s="815"/>
      <c r="EU682" s="815"/>
      <c r="EV682" s="815"/>
      <c r="EW682" s="815"/>
      <c r="EX682" s="815"/>
      <c r="EY682" s="815"/>
      <c r="EZ682" s="815"/>
      <c r="FA682" s="815"/>
      <c r="FB682" s="815"/>
      <c r="FC682" s="815"/>
      <c r="FD682" s="815"/>
      <c r="FE682" s="815"/>
      <c r="FF682" s="815"/>
      <c r="FG682" s="815"/>
      <c r="FH682" s="815"/>
      <c r="FI682" s="815"/>
      <c r="FJ682" s="815"/>
      <c r="FK682" s="815"/>
      <c r="FL682" s="815"/>
      <c r="FM682" s="815"/>
      <c r="FN682" s="815"/>
      <c r="FO682" s="815"/>
      <c r="FP682" s="815"/>
      <c r="FQ682" s="815"/>
      <c r="FR682" s="815"/>
      <c r="FS682" s="815"/>
      <c r="FT682" s="815"/>
      <c r="FU682" s="815"/>
      <c r="FV682" s="815"/>
      <c r="FW682" s="815"/>
      <c r="FX682" s="815"/>
      <c r="FY682" s="815"/>
      <c r="FZ682" s="815"/>
      <c r="GA682" s="815"/>
      <c r="GB682" s="815"/>
      <c r="GC682" s="815"/>
      <c r="GD682" s="815"/>
      <c r="GE682" s="815"/>
      <c r="GF682" s="815"/>
      <c r="GG682" s="815"/>
      <c r="GH682" s="815"/>
      <c r="GI682" s="815"/>
      <c r="GJ682" s="815"/>
      <c r="GK682" s="815"/>
      <c r="GL682" s="815"/>
      <c r="GM682" s="815"/>
      <c r="GN682" s="815"/>
      <c r="GO682" s="815"/>
      <c r="GP682" s="815"/>
      <c r="GQ682" s="815"/>
      <c r="GR682" s="815"/>
      <c r="GS682" s="815"/>
      <c r="GT682" s="815"/>
      <c r="GU682" s="815"/>
      <c r="GV682" s="815"/>
      <c r="GW682" s="815"/>
      <c r="GX682" s="815"/>
      <c r="GY682" s="815"/>
      <c r="GZ682" s="815"/>
      <c r="HA682" s="815"/>
      <c r="HB682" s="815"/>
      <c r="HC682" s="815"/>
      <c r="HD682" s="815"/>
      <c r="HE682" s="815"/>
      <c r="HF682" s="815"/>
      <c r="HG682" s="815"/>
      <c r="HH682" s="815"/>
      <c r="HI682" s="815"/>
      <c r="HJ682" s="815"/>
      <c r="KN682" s="815"/>
    </row>
    <row r="683" spans="1:300" s="821" customFormat="1" ht="14.25" customHeight="1">
      <c r="A683" s="794">
        <v>681</v>
      </c>
      <c r="B683" s="802" t="s">
        <v>142</v>
      </c>
      <c r="C683" s="804" t="s">
        <v>1299</v>
      </c>
      <c r="D683" s="840">
        <v>38534</v>
      </c>
      <c r="E683" s="840">
        <v>38808</v>
      </c>
      <c r="F683" s="791">
        <v>2005</v>
      </c>
      <c r="G683" s="804" t="s">
        <v>361</v>
      </c>
      <c r="H683" s="837" t="s">
        <v>1452</v>
      </c>
      <c r="I683" s="802" t="s">
        <v>314</v>
      </c>
      <c r="J683" s="812" t="s">
        <v>2438</v>
      </c>
      <c r="K683" s="817">
        <v>15000</v>
      </c>
      <c r="L683" s="839">
        <v>2481816</v>
      </c>
      <c r="M683" s="839">
        <v>865712</v>
      </c>
      <c r="N683" s="817">
        <v>865711</v>
      </c>
      <c r="O683" s="808">
        <f t="shared" si="43"/>
        <v>57.714066666666668</v>
      </c>
      <c r="P683" s="817">
        <v>34.799999999999997</v>
      </c>
      <c r="Q683" s="839">
        <v>9000</v>
      </c>
      <c r="R683" s="839">
        <v>5000</v>
      </c>
      <c r="S683" s="817">
        <v>9000</v>
      </c>
      <c r="T683" s="817" t="s">
        <v>233</v>
      </c>
      <c r="U683" s="839">
        <v>40</v>
      </c>
      <c r="V683" s="817">
        <v>5000</v>
      </c>
      <c r="W683" s="817">
        <v>204000</v>
      </c>
      <c r="X683" s="817">
        <v>11891</v>
      </c>
      <c r="Y683" s="808">
        <f>X683/S683</f>
        <v>1.3212222222222223</v>
      </c>
      <c r="Z683" s="817" t="s">
        <v>75</v>
      </c>
      <c r="AA683" s="817">
        <v>5000</v>
      </c>
      <c r="AB683" s="839">
        <v>40</v>
      </c>
      <c r="AC683" s="817" t="s">
        <v>75</v>
      </c>
      <c r="AD683" s="817" t="s">
        <v>75</v>
      </c>
      <c r="AE683" s="839">
        <v>44</v>
      </c>
      <c r="AF683" s="817" t="s">
        <v>75</v>
      </c>
      <c r="AG683" s="817" t="s">
        <v>75</v>
      </c>
      <c r="AH683" s="817" t="s">
        <v>75</v>
      </c>
      <c r="AI683" s="817" t="s">
        <v>75</v>
      </c>
      <c r="AJ683" s="787">
        <f t="shared" si="41"/>
        <v>5000</v>
      </c>
      <c r="AK683" s="817">
        <v>193500</v>
      </c>
      <c r="AL683" s="817">
        <v>67725</v>
      </c>
      <c r="AM683" s="839"/>
      <c r="AN683" s="817" t="s">
        <v>75</v>
      </c>
      <c r="AO683" s="817" t="s">
        <v>75</v>
      </c>
      <c r="AP683" s="817" t="s">
        <v>75</v>
      </c>
      <c r="AQ683" s="817" t="s">
        <v>75</v>
      </c>
      <c r="AR683" s="817" t="s">
        <v>75</v>
      </c>
      <c r="AS683" s="817" t="s">
        <v>75</v>
      </c>
      <c r="AT683" s="817" t="s">
        <v>75</v>
      </c>
      <c r="AU683" s="404" t="s">
        <v>313</v>
      </c>
      <c r="AV683" s="802"/>
      <c r="AW683" s="802"/>
      <c r="AX683" s="802"/>
      <c r="AY683" s="802"/>
      <c r="AZ683" s="802"/>
      <c r="BA683" s="802"/>
      <c r="BB683" s="802"/>
      <c r="BC683" s="802"/>
      <c r="BD683" s="802"/>
      <c r="BE683" s="802"/>
      <c r="BF683" s="802"/>
      <c r="BG683" s="802"/>
      <c r="BH683" s="802"/>
      <c r="BI683" s="802"/>
      <c r="BJ683" s="802"/>
      <c r="BK683" s="802"/>
      <c r="BL683" s="802"/>
      <c r="BM683" s="789"/>
      <c r="BN683" s="815"/>
      <c r="BO683" s="815"/>
      <c r="BP683" s="815"/>
      <c r="BQ683" s="815"/>
      <c r="BR683" s="815"/>
      <c r="BS683" s="815"/>
      <c r="BT683" s="815"/>
      <c r="BU683" s="815"/>
      <c r="BV683" s="815"/>
      <c r="BW683" s="815"/>
      <c r="BX683" s="815"/>
      <c r="BY683" s="815"/>
      <c r="BZ683" s="815"/>
      <c r="CA683" s="815"/>
      <c r="CB683" s="815"/>
      <c r="CC683" s="815"/>
      <c r="CD683" s="815"/>
      <c r="CE683" s="815"/>
      <c r="CF683" s="815"/>
      <c r="CG683" s="815"/>
      <c r="CH683" s="815"/>
      <c r="CI683" s="815"/>
      <c r="CJ683" s="815"/>
      <c r="CK683" s="815"/>
      <c r="CL683" s="815"/>
      <c r="CM683" s="815"/>
      <c r="CN683" s="815"/>
      <c r="CO683" s="815"/>
      <c r="CP683" s="815"/>
      <c r="CQ683" s="815"/>
      <c r="CR683" s="815"/>
      <c r="CS683" s="815"/>
      <c r="CT683" s="815"/>
      <c r="CU683" s="815"/>
      <c r="CV683" s="815"/>
      <c r="CW683" s="815"/>
      <c r="CX683" s="815"/>
      <c r="CY683" s="815"/>
      <c r="CZ683" s="815"/>
      <c r="DA683" s="815"/>
      <c r="DB683" s="815"/>
      <c r="DC683" s="815"/>
      <c r="DD683" s="815"/>
      <c r="DE683" s="815"/>
      <c r="DF683" s="815"/>
      <c r="DG683" s="815"/>
      <c r="DH683" s="815"/>
      <c r="DI683" s="815"/>
      <c r="DJ683" s="815"/>
      <c r="DK683" s="815"/>
      <c r="DL683" s="815"/>
      <c r="DM683" s="815"/>
      <c r="DN683" s="815"/>
      <c r="DO683" s="815"/>
      <c r="DP683" s="815"/>
      <c r="DQ683" s="815"/>
      <c r="DR683" s="815"/>
      <c r="DS683" s="815"/>
      <c r="DT683" s="815"/>
      <c r="DU683" s="815"/>
      <c r="DV683" s="815"/>
      <c r="DW683" s="815"/>
      <c r="DX683" s="815"/>
      <c r="DY683" s="815"/>
      <c r="DZ683" s="815"/>
      <c r="EA683" s="815"/>
      <c r="EB683" s="815"/>
      <c r="EC683" s="815"/>
      <c r="ED683" s="815"/>
      <c r="EE683" s="815"/>
      <c r="EF683" s="815"/>
      <c r="EG683" s="815"/>
      <c r="EH683" s="815"/>
      <c r="EI683" s="815"/>
      <c r="EJ683" s="815"/>
      <c r="EK683" s="815"/>
      <c r="EL683" s="815"/>
      <c r="EM683" s="815"/>
      <c r="EN683" s="815"/>
      <c r="EO683" s="815"/>
      <c r="EP683" s="815"/>
      <c r="EQ683" s="815"/>
      <c r="ER683" s="815"/>
      <c r="ES683" s="815"/>
      <c r="ET683" s="815"/>
      <c r="EU683" s="815"/>
      <c r="EV683" s="815"/>
      <c r="EW683" s="815"/>
      <c r="EX683" s="815"/>
      <c r="EY683" s="815"/>
      <c r="EZ683" s="815"/>
      <c r="FA683" s="815"/>
      <c r="FB683" s="815"/>
      <c r="FC683" s="815"/>
      <c r="FD683" s="815"/>
      <c r="FE683" s="815"/>
      <c r="FF683" s="815"/>
      <c r="FG683" s="815"/>
      <c r="FH683" s="815"/>
      <c r="FI683" s="815"/>
      <c r="FJ683" s="815"/>
      <c r="FK683" s="815"/>
      <c r="FL683" s="815"/>
      <c r="FM683" s="815"/>
      <c r="FN683" s="815"/>
      <c r="FO683" s="815"/>
      <c r="FP683" s="815"/>
      <c r="FQ683" s="815"/>
      <c r="FR683" s="815"/>
      <c r="FS683" s="815"/>
      <c r="FT683" s="815"/>
      <c r="FU683" s="815"/>
      <c r="FV683" s="815"/>
      <c r="FW683" s="815"/>
      <c r="FX683" s="815"/>
      <c r="FY683" s="815"/>
      <c r="FZ683" s="815"/>
      <c r="GA683" s="815"/>
      <c r="GB683" s="815"/>
      <c r="GC683" s="815"/>
      <c r="GD683" s="815"/>
      <c r="GE683" s="815"/>
      <c r="GF683" s="815"/>
      <c r="GG683" s="815"/>
      <c r="GH683" s="815"/>
      <c r="GI683" s="815"/>
      <c r="GJ683" s="815"/>
      <c r="GK683" s="815"/>
      <c r="GL683" s="815"/>
      <c r="GM683" s="815"/>
      <c r="GN683" s="815"/>
      <c r="GO683" s="815"/>
      <c r="GP683" s="815"/>
      <c r="GQ683" s="815"/>
      <c r="GR683" s="815"/>
      <c r="GS683" s="815"/>
      <c r="GT683" s="815"/>
      <c r="GU683" s="815"/>
      <c r="GV683" s="815"/>
      <c r="GW683" s="815"/>
      <c r="GX683" s="815"/>
      <c r="GY683" s="815"/>
      <c r="GZ683" s="815"/>
      <c r="HA683" s="815"/>
      <c r="HB683" s="815"/>
      <c r="HC683" s="815"/>
      <c r="HD683" s="815"/>
      <c r="HE683" s="815"/>
      <c r="HF683" s="815"/>
      <c r="HG683" s="815"/>
      <c r="HH683" s="815"/>
      <c r="HI683" s="815"/>
      <c r="HJ683" s="815"/>
      <c r="KN683" s="815"/>
    </row>
    <row r="684" spans="1:300" s="815" customFormat="1" ht="15">
      <c r="A684" s="794">
        <v>682</v>
      </c>
      <c r="B684" s="785" t="s">
        <v>1207</v>
      </c>
      <c r="C684" s="785" t="s">
        <v>1299</v>
      </c>
      <c r="D684" s="819">
        <v>38384</v>
      </c>
      <c r="E684" s="819">
        <v>38473</v>
      </c>
      <c r="F684" s="791">
        <v>2005</v>
      </c>
      <c r="G684" s="815" t="s">
        <v>2067</v>
      </c>
      <c r="H684" s="815" t="s">
        <v>1453</v>
      </c>
      <c r="I684" s="818" t="s">
        <v>2070</v>
      </c>
      <c r="J684" s="790" t="s">
        <v>2440</v>
      </c>
      <c r="K684" s="808">
        <f>500*5</f>
        <v>2500</v>
      </c>
      <c r="L684" s="808"/>
      <c r="M684" s="808">
        <v>63315</v>
      </c>
      <c r="N684" s="808">
        <v>63315</v>
      </c>
      <c r="O684" s="808">
        <f t="shared" si="43"/>
        <v>25.326000000000001</v>
      </c>
      <c r="P684" s="808"/>
      <c r="Q684" s="808"/>
      <c r="R684" s="808"/>
      <c r="S684" s="808"/>
      <c r="T684" s="817" t="s">
        <v>233</v>
      </c>
      <c r="U684" s="808"/>
      <c r="V684" s="808"/>
      <c r="W684" s="808"/>
      <c r="X684" s="808"/>
      <c r="Y684" s="808"/>
      <c r="Z684" s="808"/>
      <c r="AA684" s="808"/>
      <c r="AB684" s="808"/>
      <c r="AC684" s="808"/>
      <c r="AD684" s="808"/>
      <c r="AE684" s="808"/>
      <c r="AF684" s="808"/>
      <c r="AG684" s="808"/>
      <c r="AH684" s="808"/>
      <c r="AI684" s="808"/>
      <c r="AJ684" s="787">
        <f t="shared" si="41"/>
        <v>0</v>
      </c>
      <c r="AK684" s="808"/>
      <c r="AL684" s="808"/>
      <c r="AM684" s="816"/>
      <c r="AN684" s="816"/>
      <c r="AO684" s="816"/>
      <c r="AP684" s="816"/>
      <c r="AQ684" s="816"/>
      <c r="AR684" s="816"/>
      <c r="AS684" s="816"/>
      <c r="AT684" s="816"/>
      <c r="AU684" s="433" t="s">
        <v>2066</v>
      </c>
    </row>
    <row r="685" spans="1:300" s="815" customFormat="1" ht="18.75" customHeight="1">
      <c r="A685" s="794">
        <v>683</v>
      </c>
      <c r="B685" s="785" t="s">
        <v>332</v>
      </c>
      <c r="C685" s="785" t="s">
        <v>1286</v>
      </c>
      <c r="D685" s="819">
        <v>38412</v>
      </c>
      <c r="E685" s="819">
        <v>38657</v>
      </c>
      <c r="F685" s="791">
        <v>2005</v>
      </c>
      <c r="G685" s="815" t="s">
        <v>5</v>
      </c>
      <c r="H685" s="815" t="s">
        <v>1451</v>
      </c>
      <c r="I685" s="818" t="s">
        <v>2090</v>
      </c>
      <c r="J685" s="818" t="s">
        <v>2331</v>
      </c>
      <c r="K685" s="808">
        <v>10000</v>
      </c>
      <c r="L685" s="808"/>
      <c r="M685" s="808"/>
      <c r="N685" s="808">
        <v>27027</v>
      </c>
      <c r="O685" s="808">
        <f t="shared" si="43"/>
        <v>2.7027000000000001</v>
      </c>
      <c r="P685" s="808"/>
      <c r="Q685" s="808"/>
      <c r="R685" s="808"/>
      <c r="S685" s="808"/>
      <c r="T685" s="817" t="s">
        <v>233</v>
      </c>
      <c r="U685" s="808">
        <v>30</v>
      </c>
      <c r="V685" s="838" t="s">
        <v>134</v>
      </c>
      <c r="W685" s="808"/>
      <c r="X685" s="808"/>
      <c r="Y685" s="808"/>
      <c r="Z685" s="808"/>
      <c r="AA685" s="808"/>
      <c r="AB685" s="808"/>
      <c r="AC685" s="808"/>
      <c r="AD685" s="808"/>
      <c r="AE685" s="808">
        <v>4500</v>
      </c>
      <c r="AF685" s="808"/>
      <c r="AG685" s="808"/>
      <c r="AH685" s="808"/>
      <c r="AI685" s="808"/>
      <c r="AJ685" s="787">
        <f t="shared" si="41"/>
        <v>0</v>
      </c>
      <c r="AK685" s="808"/>
      <c r="AL685" s="808"/>
      <c r="AM685" s="816"/>
      <c r="AN685" s="816"/>
      <c r="AO685" s="816"/>
      <c r="AP685" s="816"/>
      <c r="AQ685" s="816"/>
      <c r="AR685" s="816"/>
      <c r="AS685" s="816"/>
      <c r="AT685" s="816"/>
      <c r="AU685" s="433" t="s">
        <v>2089</v>
      </c>
    </row>
    <row r="686" spans="1:300" s="821" customFormat="1" ht="15">
      <c r="A686" s="794">
        <v>684</v>
      </c>
      <c r="B686" s="785" t="s">
        <v>547</v>
      </c>
      <c r="C686" s="785" t="s">
        <v>1286</v>
      </c>
      <c r="D686" s="824">
        <v>38504</v>
      </c>
      <c r="E686" s="824">
        <v>38504</v>
      </c>
      <c r="F686" s="791">
        <v>2005</v>
      </c>
      <c r="G686" s="836" t="s">
        <v>2098</v>
      </c>
      <c r="H686" s="837" t="s">
        <v>1452</v>
      </c>
      <c r="I686" s="823" t="s">
        <v>2123</v>
      </c>
      <c r="J686" s="823" t="s">
        <v>2331</v>
      </c>
      <c r="K686" s="817">
        <v>5000</v>
      </c>
      <c r="L686" s="787"/>
      <c r="M686" s="787"/>
      <c r="N686" s="787">
        <v>60000</v>
      </c>
      <c r="O686" s="808">
        <f t="shared" si="43"/>
        <v>12</v>
      </c>
      <c r="P686" s="787"/>
      <c r="Q686" s="787"/>
      <c r="R686" s="787"/>
      <c r="S686" s="787"/>
      <c r="T686" s="817" t="s">
        <v>233</v>
      </c>
      <c r="U686" s="787"/>
      <c r="V686" s="787"/>
      <c r="W686" s="787"/>
      <c r="X686" s="787"/>
      <c r="Y686" s="808"/>
      <c r="Z686" s="787"/>
      <c r="AA686" s="787"/>
      <c r="AB686" s="787"/>
      <c r="AC686" s="787"/>
      <c r="AD686" s="787"/>
      <c r="AE686" s="787"/>
      <c r="AF686" s="787"/>
      <c r="AG686" s="787"/>
      <c r="AH686" s="808"/>
      <c r="AI686" s="787"/>
      <c r="AJ686" s="787">
        <f t="shared" si="41"/>
        <v>0</v>
      </c>
      <c r="AK686" s="787"/>
      <c r="AL686" s="787"/>
      <c r="AM686" s="822"/>
      <c r="AN686" s="822"/>
      <c r="AO686" s="822"/>
      <c r="AP686" s="822"/>
      <c r="AQ686" s="822"/>
      <c r="AR686" s="822"/>
      <c r="AS686" s="822"/>
      <c r="AT686" s="822"/>
      <c r="AU686" s="282" t="s">
        <v>2099</v>
      </c>
      <c r="AV686" s="815"/>
      <c r="AW686" s="815"/>
      <c r="AX686" s="815"/>
      <c r="AY686" s="815"/>
      <c r="AZ686" s="815"/>
      <c r="BA686" s="815"/>
      <c r="BB686" s="815"/>
      <c r="BC686" s="815"/>
      <c r="BD686" s="815"/>
      <c r="BE686" s="815"/>
      <c r="BF686" s="815"/>
      <c r="BG686" s="815"/>
      <c r="BH686" s="815"/>
      <c r="BI686" s="815"/>
      <c r="BJ686" s="815"/>
      <c r="BK686" s="815"/>
      <c r="BL686" s="815"/>
      <c r="BM686" s="815"/>
      <c r="BN686" s="815"/>
      <c r="BO686" s="815"/>
      <c r="BP686" s="815"/>
      <c r="BQ686" s="815"/>
      <c r="BR686" s="815"/>
      <c r="BS686" s="815"/>
      <c r="BT686" s="815"/>
      <c r="BU686" s="815"/>
      <c r="BV686" s="815"/>
      <c r="BW686" s="815"/>
      <c r="BX686" s="815"/>
      <c r="BY686" s="815"/>
      <c r="BZ686" s="815"/>
      <c r="CA686" s="815"/>
      <c r="CB686" s="815"/>
      <c r="CC686" s="815"/>
      <c r="CD686" s="815"/>
      <c r="CE686" s="815"/>
      <c r="CF686" s="815"/>
      <c r="CG686" s="815"/>
      <c r="CH686" s="815"/>
      <c r="CI686" s="815"/>
      <c r="CJ686" s="815"/>
      <c r="CK686" s="815"/>
      <c r="CL686" s="815"/>
      <c r="CM686" s="815"/>
      <c r="CN686" s="815"/>
      <c r="CO686" s="815"/>
      <c r="CP686" s="815"/>
      <c r="CQ686" s="815"/>
      <c r="CR686" s="815"/>
      <c r="CS686" s="815"/>
      <c r="CT686" s="815"/>
      <c r="CU686" s="815"/>
      <c r="CV686" s="815"/>
      <c r="CW686" s="815"/>
      <c r="CX686" s="815"/>
      <c r="CY686" s="815"/>
      <c r="CZ686" s="815"/>
      <c r="DA686" s="815"/>
      <c r="DB686" s="815"/>
      <c r="DC686" s="815"/>
      <c r="DD686" s="815"/>
      <c r="DE686" s="815"/>
      <c r="DF686" s="815"/>
      <c r="DG686" s="815"/>
      <c r="DH686" s="815"/>
      <c r="DI686" s="815"/>
      <c r="DJ686" s="815"/>
      <c r="DK686" s="815"/>
      <c r="DL686" s="815"/>
      <c r="DM686" s="815"/>
      <c r="DN686" s="815"/>
      <c r="DO686" s="815"/>
      <c r="DP686" s="815"/>
      <c r="DQ686" s="815"/>
      <c r="DR686" s="815"/>
      <c r="DS686" s="815"/>
      <c r="DT686" s="815"/>
      <c r="DU686" s="815"/>
      <c r="DV686" s="815"/>
      <c r="DW686" s="815"/>
      <c r="DX686" s="815"/>
      <c r="DY686" s="815"/>
      <c r="DZ686" s="815"/>
      <c r="EA686" s="815"/>
      <c r="EB686" s="815"/>
      <c r="EC686" s="815"/>
      <c r="ED686" s="815"/>
      <c r="EE686" s="815"/>
      <c r="EF686" s="815"/>
      <c r="EG686" s="815"/>
      <c r="EH686" s="815"/>
      <c r="EI686" s="815"/>
      <c r="EJ686" s="815"/>
      <c r="EK686" s="815"/>
      <c r="EL686" s="815"/>
      <c r="EM686" s="815"/>
      <c r="EN686" s="815"/>
      <c r="EO686" s="815"/>
      <c r="EP686" s="815"/>
      <c r="EQ686" s="815"/>
      <c r="ER686" s="815"/>
      <c r="ES686" s="815"/>
      <c r="ET686" s="815"/>
      <c r="EU686" s="815"/>
      <c r="EV686" s="815"/>
      <c r="EW686" s="815"/>
      <c r="EX686" s="815"/>
      <c r="EY686" s="815"/>
      <c r="EZ686" s="815"/>
      <c r="FA686" s="815"/>
      <c r="FB686" s="815"/>
      <c r="FC686" s="815"/>
      <c r="FD686" s="815"/>
      <c r="FE686" s="815"/>
      <c r="FF686" s="815"/>
      <c r="FG686" s="815"/>
      <c r="FH686" s="815"/>
      <c r="FI686" s="815"/>
      <c r="FJ686" s="815"/>
      <c r="FK686" s="815"/>
      <c r="FL686" s="815"/>
      <c r="FM686" s="815"/>
      <c r="FN686" s="815"/>
      <c r="FO686" s="815"/>
      <c r="FP686" s="815"/>
      <c r="FQ686" s="815"/>
      <c r="FR686" s="815"/>
      <c r="FS686" s="815"/>
      <c r="FT686" s="815"/>
      <c r="FU686" s="815"/>
      <c r="FV686" s="815"/>
      <c r="FW686" s="815"/>
      <c r="FX686" s="815"/>
      <c r="FY686" s="815"/>
      <c r="FZ686" s="815"/>
      <c r="GA686" s="815"/>
      <c r="GB686" s="815"/>
      <c r="GC686" s="815"/>
      <c r="GD686" s="815"/>
      <c r="GE686" s="815"/>
      <c r="GF686" s="815"/>
      <c r="GG686" s="815"/>
      <c r="GH686" s="815"/>
      <c r="GI686" s="815"/>
      <c r="GJ686" s="815"/>
      <c r="GK686" s="815"/>
      <c r="GL686" s="815"/>
      <c r="GM686" s="815"/>
      <c r="GN686" s="815"/>
      <c r="GO686" s="815"/>
      <c r="GP686" s="815"/>
      <c r="GQ686" s="815"/>
      <c r="GR686" s="815"/>
      <c r="GS686" s="815"/>
      <c r="GT686" s="815"/>
      <c r="GU686" s="815"/>
      <c r="GV686" s="815"/>
      <c r="GW686" s="815"/>
      <c r="GX686" s="815"/>
      <c r="GY686" s="815"/>
      <c r="GZ686" s="815"/>
      <c r="HA686" s="815"/>
      <c r="HB686" s="815"/>
      <c r="HC686" s="815"/>
      <c r="HD686" s="815"/>
      <c r="HE686" s="815"/>
      <c r="HF686" s="815"/>
      <c r="HG686" s="815"/>
      <c r="HH686" s="815"/>
      <c r="HI686" s="815"/>
      <c r="HJ686" s="815"/>
      <c r="KN686" s="815"/>
    </row>
    <row r="687" spans="1:300" s="821" customFormat="1" ht="15">
      <c r="A687" s="794">
        <v>685</v>
      </c>
      <c r="B687" s="825" t="s">
        <v>547</v>
      </c>
      <c r="C687" s="785" t="s">
        <v>1286</v>
      </c>
      <c r="D687" s="824">
        <v>38596</v>
      </c>
      <c r="E687" s="824">
        <v>38687</v>
      </c>
      <c r="F687" s="791">
        <v>2005</v>
      </c>
      <c r="G687" s="836" t="s">
        <v>781</v>
      </c>
      <c r="H687" s="821" t="s">
        <v>1453</v>
      </c>
      <c r="I687" s="823" t="s">
        <v>2153</v>
      </c>
      <c r="J687" s="823" t="s">
        <v>2331</v>
      </c>
      <c r="K687" s="787">
        <f>300*5</f>
        <v>1500</v>
      </c>
      <c r="L687" s="787"/>
      <c r="M687" s="787">
        <v>30000</v>
      </c>
      <c r="N687" s="787">
        <v>59211.9</v>
      </c>
      <c r="O687" s="808">
        <f t="shared" si="43"/>
        <v>39.474600000000002</v>
      </c>
      <c r="P687" s="787"/>
      <c r="Q687" s="787"/>
      <c r="R687" s="787"/>
      <c r="S687" s="787"/>
      <c r="T687" s="817" t="s">
        <v>233</v>
      </c>
      <c r="U687" s="787"/>
      <c r="V687" s="787"/>
      <c r="W687" s="787"/>
      <c r="X687" s="787"/>
      <c r="Y687" s="808"/>
      <c r="Z687" s="787"/>
      <c r="AA687" s="787"/>
      <c r="AB687" s="787"/>
      <c r="AC687" s="787"/>
      <c r="AD687" s="787"/>
      <c r="AE687" s="787"/>
      <c r="AF687" s="787"/>
      <c r="AG687" s="787"/>
      <c r="AH687" s="808"/>
      <c r="AI687" s="787"/>
      <c r="AJ687" s="787">
        <f t="shared" si="41"/>
        <v>0</v>
      </c>
      <c r="AK687" s="787"/>
      <c r="AL687" s="787"/>
      <c r="AM687" s="822"/>
      <c r="AN687" s="822"/>
      <c r="AO687" s="822"/>
      <c r="AP687" s="822"/>
      <c r="AQ687" s="822"/>
      <c r="AR687" s="822"/>
      <c r="AS687" s="822"/>
      <c r="AT687" s="822"/>
      <c r="AU687" s="282" t="s">
        <v>2100</v>
      </c>
      <c r="AV687" s="815"/>
      <c r="AW687" s="815"/>
      <c r="AX687" s="815"/>
      <c r="AY687" s="815"/>
      <c r="AZ687" s="815"/>
      <c r="BA687" s="815"/>
      <c r="BB687" s="815"/>
      <c r="BC687" s="815"/>
      <c r="BD687" s="815"/>
      <c r="BE687" s="815"/>
      <c r="BF687" s="815"/>
      <c r="BG687" s="815"/>
      <c r="BH687" s="815"/>
      <c r="BI687" s="815"/>
      <c r="BJ687" s="815"/>
      <c r="BK687" s="815"/>
      <c r="BL687" s="815"/>
      <c r="BM687" s="815"/>
      <c r="BN687" s="815"/>
      <c r="BO687" s="815"/>
      <c r="BP687" s="815"/>
      <c r="BQ687" s="815"/>
      <c r="BR687" s="815"/>
      <c r="BS687" s="815"/>
      <c r="BT687" s="815"/>
      <c r="BU687" s="815"/>
      <c r="BV687" s="815"/>
      <c r="BW687" s="815"/>
      <c r="BX687" s="815"/>
      <c r="BY687" s="815"/>
      <c r="BZ687" s="815"/>
      <c r="CA687" s="815"/>
      <c r="CB687" s="815"/>
      <c r="CC687" s="815"/>
      <c r="CD687" s="815"/>
      <c r="CE687" s="815"/>
      <c r="CF687" s="815"/>
      <c r="CG687" s="815"/>
      <c r="CH687" s="815"/>
      <c r="CI687" s="815"/>
      <c r="CJ687" s="815"/>
      <c r="CK687" s="815"/>
      <c r="CL687" s="815"/>
      <c r="CM687" s="815"/>
      <c r="CN687" s="815"/>
      <c r="CO687" s="815"/>
      <c r="CP687" s="815"/>
      <c r="CQ687" s="815"/>
      <c r="CR687" s="815"/>
      <c r="CS687" s="815"/>
      <c r="CT687" s="815"/>
      <c r="CU687" s="815"/>
      <c r="CV687" s="815"/>
      <c r="CW687" s="815"/>
      <c r="CX687" s="815"/>
      <c r="CY687" s="815"/>
      <c r="CZ687" s="815"/>
      <c r="DA687" s="815"/>
      <c r="DB687" s="815"/>
      <c r="DC687" s="815"/>
      <c r="DD687" s="815"/>
      <c r="DE687" s="815"/>
      <c r="DF687" s="815"/>
      <c r="DG687" s="815"/>
      <c r="DH687" s="815"/>
      <c r="DI687" s="815"/>
      <c r="DJ687" s="815"/>
      <c r="DK687" s="815"/>
      <c r="DL687" s="815"/>
      <c r="DM687" s="815"/>
      <c r="DN687" s="815"/>
      <c r="DO687" s="815"/>
      <c r="DP687" s="815"/>
      <c r="DQ687" s="815"/>
      <c r="DR687" s="815"/>
      <c r="DS687" s="815"/>
      <c r="DT687" s="815"/>
      <c r="DU687" s="815"/>
      <c r="DV687" s="815"/>
      <c r="DW687" s="815"/>
      <c r="DX687" s="815"/>
      <c r="DY687" s="815"/>
      <c r="DZ687" s="815"/>
      <c r="EA687" s="815"/>
      <c r="EB687" s="815"/>
      <c r="EC687" s="815"/>
      <c r="ED687" s="815"/>
      <c r="EE687" s="815"/>
      <c r="EF687" s="815"/>
      <c r="EG687" s="815"/>
      <c r="EH687" s="815"/>
      <c r="EI687" s="815"/>
      <c r="EJ687" s="815"/>
      <c r="EK687" s="815"/>
      <c r="EL687" s="815"/>
      <c r="EM687" s="815"/>
      <c r="EN687" s="815"/>
      <c r="EO687" s="815"/>
      <c r="EP687" s="815"/>
      <c r="EQ687" s="815"/>
      <c r="ER687" s="815"/>
      <c r="ES687" s="815"/>
      <c r="ET687" s="815"/>
      <c r="EU687" s="815"/>
      <c r="EV687" s="815"/>
      <c r="EW687" s="815"/>
      <c r="EX687" s="815"/>
      <c r="EY687" s="815"/>
      <c r="EZ687" s="815"/>
      <c r="FA687" s="815"/>
      <c r="FB687" s="815"/>
      <c r="FC687" s="815"/>
      <c r="FD687" s="815"/>
      <c r="FE687" s="815"/>
      <c r="FF687" s="815"/>
      <c r="FG687" s="815"/>
      <c r="FH687" s="815"/>
      <c r="FI687" s="815"/>
      <c r="FJ687" s="815"/>
      <c r="FK687" s="815"/>
      <c r="FL687" s="815"/>
      <c r="FM687" s="815"/>
      <c r="FN687" s="815"/>
      <c r="FO687" s="815"/>
      <c r="FP687" s="815"/>
      <c r="FQ687" s="815"/>
      <c r="FR687" s="815"/>
      <c r="FS687" s="815"/>
      <c r="FT687" s="815"/>
      <c r="FU687" s="815"/>
      <c r="FV687" s="815"/>
      <c r="FW687" s="815"/>
      <c r="FX687" s="815"/>
      <c r="FY687" s="815"/>
      <c r="FZ687" s="815"/>
      <c r="GA687" s="815"/>
      <c r="GB687" s="815"/>
      <c r="GC687" s="815"/>
      <c r="GD687" s="815"/>
      <c r="GE687" s="815"/>
      <c r="GF687" s="815"/>
      <c r="GG687" s="815"/>
      <c r="GH687" s="815"/>
      <c r="GI687" s="815"/>
      <c r="GJ687" s="815"/>
      <c r="GK687" s="815"/>
      <c r="GL687" s="815"/>
      <c r="GM687" s="815"/>
      <c r="GN687" s="815"/>
      <c r="GO687" s="815"/>
      <c r="GP687" s="815"/>
      <c r="GQ687" s="815"/>
      <c r="GR687" s="815"/>
      <c r="GS687" s="815"/>
      <c r="GT687" s="815"/>
      <c r="GU687" s="815"/>
      <c r="GV687" s="815"/>
      <c r="GW687" s="815"/>
      <c r="GX687" s="815"/>
      <c r="GY687" s="815"/>
      <c r="GZ687" s="815"/>
      <c r="HA687" s="815"/>
      <c r="HB687" s="815"/>
      <c r="HC687" s="815"/>
      <c r="HD687" s="815"/>
      <c r="HE687" s="815"/>
      <c r="HF687" s="815"/>
      <c r="HG687" s="815"/>
      <c r="HH687" s="815"/>
      <c r="HI687" s="815"/>
      <c r="HJ687" s="815"/>
      <c r="KN687" s="815"/>
    </row>
    <row r="688" spans="1:300" s="811" customFormat="1" ht="15">
      <c r="A688" s="794">
        <v>686</v>
      </c>
      <c r="B688" s="835" t="s">
        <v>354</v>
      </c>
      <c r="C688" s="833" t="s">
        <v>1299</v>
      </c>
      <c r="D688" s="828">
        <v>38384</v>
      </c>
      <c r="E688" s="828">
        <v>38412</v>
      </c>
      <c r="F688" s="791">
        <v>2005</v>
      </c>
      <c r="G688" s="811" t="s">
        <v>2067</v>
      </c>
      <c r="H688" s="811" t="s">
        <v>1453</v>
      </c>
      <c r="I688" s="832" t="s">
        <v>2162</v>
      </c>
      <c r="J688" s="810" t="s">
        <v>2441</v>
      </c>
      <c r="K688" s="827"/>
      <c r="L688" s="827"/>
      <c r="M688" s="827"/>
      <c r="N688" s="827">
        <v>31190.83</v>
      </c>
      <c r="O688" s="808"/>
      <c r="P688" s="827"/>
      <c r="Q688" s="827"/>
      <c r="R688" s="827"/>
      <c r="S688" s="827"/>
      <c r="T688" s="834" t="s">
        <v>233</v>
      </c>
      <c r="U688" s="827"/>
      <c r="V688" s="827"/>
      <c r="W688" s="827"/>
      <c r="X688" s="827"/>
      <c r="Y688" s="808"/>
      <c r="Z688" s="827"/>
      <c r="AA688" s="827"/>
      <c r="AB688" s="827"/>
      <c r="AC688" s="827"/>
      <c r="AD688" s="827"/>
      <c r="AE688" s="827"/>
      <c r="AF688" s="827"/>
      <c r="AG688" s="827"/>
      <c r="AH688" s="808"/>
      <c r="AI688" s="827"/>
      <c r="AJ688" s="827">
        <f t="shared" si="41"/>
        <v>0</v>
      </c>
      <c r="AK688" s="827"/>
      <c r="AL688" s="827"/>
      <c r="AM688" s="826"/>
      <c r="AN688" s="826"/>
      <c r="AO688" s="826"/>
      <c r="AP688" s="826"/>
      <c r="AQ688" s="826"/>
      <c r="AR688" s="826"/>
      <c r="AS688" s="826"/>
      <c r="AT688" s="826"/>
      <c r="BM688" s="815"/>
      <c r="BN688" s="815"/>
      <c r="BO688" s="815"/>
      <c r="BP688" s="815"/>
      <c r="BQ688" s="815"/>
      <c r="BR688" s="815"/>
      <c r="BS688" s="815"/>
      <c r="BT688" s="815"/>
      <c r="BU688" s="815"/>
      <c r="BV688" s="815"/>
      <c r="BW688" s="815"/>
      <c r="BX688" s="815"/>
      <c r="BY688" s="815"/>
      <c r="BZ688" s="815"/>
      <c r="CA688" s="815"/>
      <c r="CB688" s="815"/>
      <c r="CC688" s="815"/>
      <c r="CD688" s="815"/>
      <c r="CE688" s="815"/>
      <c r="CF688" s="815"/>
      <c r="CG688" s="815"/>
      <c r="CH688" s="815"/>
      <c r="CI688" s="815"/>
      <c r="CJ688" s="815"/>
      <c r="CK688" s="815"/>
      <c r="CL688" s="815"/>
      <c r="CM688" s="815"/>
      <c r="CN688" s="815"/>
      <c r="CO688" s="815"/>
      <c r="CP688" s="815"/>
      <c r="CQ688" s="815"/>
      <c r="CR688" s="815"/>
      <c r="CS688" s="815"/>
      <c r="CT688" s="815"/>
      <c r="CU688" s="815"/>
      <c r="CV688" s="815"/>
      <c r="CW688" s="815"/>
      <c r="CX688" s="815"/>
      <c r="CY688" s="815"/>
      <c r="CZ688" s="815"/>
      <c r="DA688" s="815"/>
      <c r="DB688" s="815"/>
      <c r="DC688" s="815"/>
      <c r="DD688" s="815"/>
      <c r="DE688" s="815"/>
      <c r="DF688" s="815"/>
      <c r="DG688" s="815"/>
      <c r="DH688" s="815"/>
      <c r="DI688" s="815"/>
      <c r="DJ688" s="815"/>
      <c r="DK688" s="815"/>
      <c r="DL688" s="815"/>
      <c r="DM688" s="815"/>
      <c r="DN688" s="815"/>
      <c r="DO688" s="815"/>
      <c r="DP688" s="815"/>
      <c r="DQ688" s="815"/>
      <c r="DR688" s="815"/>
      <c r="DS688" s="815"/>
      <c r="DT688" s="815"/>
      <c r="DU688" s="815"/>
      <c r="DV688" s="815"/>
      <c r="DW688" s="815"/>
      <c r="DX688" s="815"/>
      <c r="DY688" s="815"/>
      <c r="DZ688" s="815"/>
      <c r="EA688" s="815"/>
      <c r="EB688" s="815"/>
      <c r="EC688" s="815"/>
      <c r="ED688" s="815"/>
      <c r="EE688" s="815"/>
      <c r="EF688" s="815"/>
      <c r="EG688" s="815"/>
      <c r="EH688" s="815"/>
      <c r="EI688" s="815"/>
      <c r="EJ688" s="815"/>
      <c r="EK688" s="815"/>
      <c r="EL688" s="815"/>
      <c r="EM688" s="815"/>
      <c r="EN688" s="815"/>
      <c r="EO688" s="815"/>
      <c r="EP688" s="815"/>
      <c r="EQ688" s="815"/>
      <c r="ER688" s="815"/>
      <c r="ES688" s="815"/>
      <c r="ET688" s="815"/>
      <c r="EU688" s="815"/>
      <c r="EV688" s="815"/>
      <c r="EW688" s="815"/>
      <c r="EX688" s="815"/>
      <c r="EY688" s="815"/>
      <c r="EZ688" s="815"/>
      <c r="FA688" s="815"/>
      <c r="FB688" s="815"/>
      <c r="FC688" s="815"/>
      <c r="FD688" s="815"/>
      <c r="FE688" s="815"/>
      <c r="FF688" s="815"/>
      <c r="FG688" s="815"/>
      <c r="FH688" s="815"/>
      <c r="FI688" s="815"/>
      <c r="FJ688" s="815"/>
      <c r="FK688" s="815"/>
      <c r="FL688" s="815"/>
      <c r="FM688" s="815"/>
      <c r="FN688" s="815"/>
      <c r="FO688" s="815"/>
      <c r="FP688" s="815"/>
      <c r="FQ688" s="815"/>
      <c r="FR688" s="815"/>
      <c r="FS688" s="815"/>
      <c r="FT688" s="815"/>
      <c r="FU688" s="815"/>
      <c r="FV688" s="815"/>
      <c r="FW688" s="815"/>
      <c r="FX688" s="815"/>
      <c r="FY688" s="815"/>
      <c r="FZ688" s="815"/>
      <c r="GA688" s="815"/>
      <c r="GB688" s="815"/>
      <c r="GC688" s="815"/>
      <c r="GD688" s="815"/>
      <c r="GE688" s="815"/>
      <c r="GF688" s="815"/>
      <c r="GG688" s="815"/>
      <c r="GH688" s="815"/>
      <c r="GI688" s="815"/>
      <c r="GJ688" s="815"/>
      <c r="GK688" s="815"/>
      <c r="GL688" s="815"/>
      <c r="GM688" s="815"/>
      <c r="GN688" s="815"/>
      <c r="GO688" s="815"/>
      <c r="GP688" s="815"/>
      <c r="GQ688" s="815"/>
      <c r="GR688" s="815"/>
      <c r="GS688" s="815"/>
      <c r="GT688" s="815"/>
      <c r="GU688" s="815"/>
      <c r="GV688" s="815"/>
      <c r="GW688" s="815"/>
      <c r="GX688" s="815"/>
      <c r="GY688" s="815"/>
      <c r="GZ688" s="815"/>
      <c r="HA688" s="815"/>
      <c r="HB688" s="815"/>
      <c r="HC688" s="815"/>
      <c r="HD688" s="815"/>
      <c r="HE688" s="815"/>
      <c r="HF688" s="815"/>
      <c r="HG688" s="815"/>
      <c r="HH688" s="815"/>
      <c r="HI688" s="815"/>
      <c r="HJ688" s="815"/>
    </row>
    <row r="689" spans="1:300" s="821" customFormat="1" ht="15">
      <c r="A689" s="794">
        <v>687</v>
      </c>
      <c r="B689" s="812" t="s">
        <v>354</v>
      </c>
      <c r="C689" s="785" t="s">
        <v>1260</v>
      </c>
      <c r="D689" s="824">
        <v>38504</v>
      </c>
      <c r="E689" s="824">
        <v>38534</v>
      </c>
      <c r="F689" s="791">
        <v>2005</v>
      </c>
      <c r="G689" s="821" t="s">
        <v>5</v>
      </c>
      <c r="H689" s="821" t="s">
        <v>1451</v>
      </c>
      <c r="I689" s="823" t="s">
        <v>2126</v>
      </c>
      <c r="J689" s="823" t="s">
        <v>2331</v>
      </c>
      <c r="K689" s="787">
        <v>5300</v>
      </c>
      <c r="L689" s="787"/>
      <c r="M689" s="787">
        <v>44307</v>
      </c>
      <c r="N689" s="787">
        <v>44307</v>
      </c>
      <c r="O689" s="808">
        <f>N689/K689</f>
        <v>8.3598113207547176</v>
      </c>
      <c r="P689" s="787"/>
      <c r="Q689" s="787"/>
      <c r="R689" s="787"/>
      <c r="S689" s="787"/>
      <c r="T689" s="817" t="s">
        <v>233</v>
      </c>
      <c r="U689" s="787"/>
      <c r="V689" s="787"/>
      <c r="W689" s="787"/>
      <c r="X689" s="787"/>
      <c r="Y689" s="808"/>
      <c r="Z689" s="787"/>
      <c r="AA689" s="787"/>
      <c r="AB689" s="787"/>
      <c r="AC689" s="787"/>
      <c r="AD689" s="787"/>
      <c r="AE689" s="787"/>
      <c r="AF689" s="787"/>
      <c r="AG689" s="787"/>
      <c r="AH689" s="808"/>
      <c r="AI689" s="787"/>
      <c r="AJ689" s="787">
        <f t="shared" si="41"/>
        <v>0</v>
      </c>
      <c r="AK689" s="787"/>
      <c r="AL689" s="787"/>
      <c r="AM689" s="822"/>
      <c r="AN689" s="822"/>
      <c r="AO689" s="822"/>
      <c r="AP689" s="822"/>
      <c r="AQ689" s="822"/>
      <c r="AR689" s="822"/>
      <c r="AS689" s="822"/>
      <c r="AT689" s="822"/>
      <c r="AU689" s="282" t="s">
        <v>2103</v>
      </c>
      <c r="AV689" s="815"/>
      <c r="AW689" s="815"/>
      <c r="AX689" s="815"/>
      <c r="AY689" s="815"/>
      <c r="AZ689" s="815"/>
      <c r="BA689" s="815"/>
      <c r="BB689" s="815"/>
      <c r="BC689" s="815"/>
      <c r="BD689" s="815"/>
      <c r="BE689" s="815"/>
      <c r="BF689" s="815"/>
      <c r="BG689" s="815"/>
      <c r="BH689" s="815"/>
      <c r="BI689" s="815"/>
      <c r="BJ689" s="815"/>
      <c r="BK689" s="815"/>
      <c r="BL689" s="815"/>
      <c r="BM689" s="815"/>
      <c r="BN689" s="815"/>
      <c r="BO689" s="815"/>
      <c r="BP689" s="815"/>
      <c r="BQ689" s="815"/>
      <c r="BR689" s="815"/>
      <c r="BS689" s="815"/>
      <c r="BT689" s="815"/>
      <c r="BU689" s="815"/>
      <c r="BV689" s="815"/>
      <c r="BW689" s="815"/>
      <c r="BX689" s="815"/>
      <c r="BY689" s="815"/>
      <c r="BZ689" s="815"/>
      <c r="CA689" s="815"/>
      <c r="CB689" s="815"/>
      <c r="CC689" s="815"/>
      <c r="CD689" s="815"/>
      <c r="CE689" s="815"/>
      <c r="CF689" s="815"/>
      <c r="CG689" s="815"/>
      <c r="CH689" s="815"/>
      <c r="CI689" s="815"/>
      <c r="CJ689" s="815"/>
      <c r="CK689" s="815"/>
      <c r="CL689" s="815"/>
      <c r="CM689" s="815"/>
      <c r="CN689" s="815"/>
      <c r="CO689" s="815"/>
      <c r="CP689" s="815"/>
      <c r="CQ689" s="815"/>
      <c r="CR689" s="815"/>
      <c r="CS689" s="815"/>
      <c r="CT689" s="815"/>
      <c r="CU689" s="815"/>
      <c r="CV689" s="815"/>
      <c r="CW689" s="815"/>
      <c r="CX689" s="815"/>
      <c r="CY689" s="815"/>
      <c r="CZ689" s="815"/>
      <c r="DA689" s="815"/>
      <c r="DB689" s="815"/>
      <c r="DC689" s="815"/>
      <c r="DD689" s="815"/>
      <c r="DE689" s="815"/>
      <c r="DF689" s="815"/>
      <c r="DG689" s="815"/>
      <c r="DH689" s="815"/>
      <c r="DI689" s="815"/>
      <c r="DJ689" s="815"/>
      <c r="DK689" s="815"/>
      <c r="DL689" s="815"/>
      <c r="DM689" s="815"/>
      <c r="DN689" s="815"/>
      <c r="DO689" s="815"/>
      <c r="DP689" s="815"/>
      <c r="DQ689" s="815"/>
      <c r="DR689" s="815"/>
      <c r="DS689" s="815"/>
      <c r="DT689" s="815"/>
      <c r="DU689" s="815"/>
      <c r="DV689" s="815"/>
      <c r="DW689" s="815"/>
      <c r="DX689" s="815"/>
      <c r="DY689" s="815"/>
      <c r="DZ689" s="815"/>
      <c r="EA689" s="815"/>
      <c r="EB689" s="815"/>
      <c r="EC689" s="815"/>
      <c r="ED689" s="815"/>
      <c r="EE689" s="815"/>
      <c r="EF689" s="815"/>
      <c r="EG689" s="815"/>
      <c r="EH689" s="815"/>
      <c r="EI689" s="815"/>
      <c r="EJ689" s="815"/>
      <c r="EK689" s="815"/>
      <c r="EL689" s="815"/>
      <c r="EM689" s="815"/>
      <c r="EN689" s="815"/>
      <c r="EO689" s="815"/>
      <c r="EP689" s="815"/>
      <c r="EQ689" s="815"/>
      <c r="ER689" s="815"/>
      <c r="ES689" s="815"/>
      <c r="ET689" s="815"/>
      <c r="EU689" s="815"/>
      <c r="EV689" s="815"/>
      <c r="EW689" s="815"/>
      <c r="EX689" s="815"/>
      <c r="EY689" s="815"/>
      <c r="EZ689" s="815"/>
      <c r="FA689" s="815"/>
      <c r="FB689" s="815"/>
      <c r="FC689" s="815"/>
      <c r="FD689" s="815"/>
      <c r="FE689" s="815"/>
      <c r="FF689" s="815"/>
      <c r="FG689" s="815"/>
      <c r="FH689" s="815"/>
      <c r="FI689" s="815"/>
      <c r="FJ689" s="815"/>
      <c r="FK689" s="815"/>
      <c r="FL689" s="815"/>
      <c r="FM689" s="815"/>
      <c r="FN689" s="815"/>
      <c r="FO689" s="815"/>
      <c r="FP689" s="815"/>
      <c r="FQ689" s="815"/>
      <c r="FR689" s="815"/>
      <c r="FS689" s="815"/>
      <c r="FT689" s="815"/>
      <c r="FU689" s="815"/>
      <c r="FV689" s="815"/>
      <c r="FW689" s="815"/>
      <c r="FX689" s="815"/>
      <c r="FY689" s="815"/>
      <c r="FZ689" s="815"/>
      <c r="GA689" s="815"/>
      <c r="GB689" s="815"/>
      <c r="GC689" s="815"/>
      <c r="GD689" s="815"/>
      <c r="GE689" s="815"/>
      <c r="GF689" s="815"/>
      <c r="GG689" s="815"/>
      <c r="GH689" s="815"/>
      <c r="GI689" s="815"/>
      <c r="GJ689" s="815"/>
      <c r="GK689" s="815"/>
      <c r="GL689" s="815"/>
      <c r="GM689" s="815"/>
      <c r="GN689" s="815"/>
      <c r="GO689" s="815"/>
      <c r="GP689" s="815"/>
      <c r="GQ689" s="815"/>
      <c r="GR689" s="815"/>
      <c r="GS689" s="815"/>
      <c r="GT689" s="815"/>
      <c r="GU689" s="815"/>
      <c r="GV689" s="815"/>
      <c r="GW689" s="815"/>
      <c r="GX689" s="815"/>
      <c r="GY689" s="815"/>
      <c r="GZ689" s="815"/>
      <c r="HA689" s="815"/>
      <c r="HB689" s="815"/>
      <c r="HC689" s="815"/>
      <c r="HD689" s="815"/>
      <c r="HE689" s="815"/>
      <c r="HF689" s="815"/>
      <c r="HG689" s="815"/>
      <c r="HH689" s="815"/>
      <c r="HI689" s="815"/>
      <c r="HJ689" s="815"/>
      <c r="KN689" s="815"/>
    </row>
    <row r="690" spans="1:300" s="821" customFormat="1" ht="15">
      <c r="A690" s="794">
        <v>688</v>
      </c>
      <c r="B690" s="785" t="s">
        <v>372</v>
      </c>
      <c r="C690" s="785" t="s">
        <v>1260</v>
      </c>
      <c r="D690" s="824">
        <v>38504</v>
      </c>
      <c r="E690" s="824">
        <v>38749</v>
      </c>
      <c r="F690" s="791">
        <v>2005</v>
      </c>
      <c r="G690" s="821" t="s">
        <v>5</v>
      </c>
      <c r="H690" s="821" t="s">
        <v>1451</v>
      </c>
      <c r="I690" s="823" t="s">
        <v>2124</v>
      </c>
      <c r="J690" s="823" t="s">
        <v>2331</v>
      </c>
      <c r="K690" s="787">
        <v>5000</v>
      </c>
      <c r="L690" s="787">
        <v>92666</v>
      </c>
      <c r="M690" s="787">
        <v>92666</v>
      </c>
      <c r="N690" s="787">
        <v>92614</v>
      </c>
      <c r="O690" s="808">
        <f>N690/K690</f>
        <v>18.5228</v>
      </c>
      <c r="P690" s="787">
        <v>100</v>
      </c>
      <c r="Q690" s="787"/>
      <c r="R690" s="787"/>
      <c r="S690" s="787"/>
      <c r="T690" s="817" t="s">
        <v>233</v>
      </c>
      <c r="U690" s="787"/>
      <c r="V690" s="787"/>
      <c r="W690" s="787">
        <v>1250</v>
      </c>
      <c r="X690" s="787">
        <v>757</v>
      </c>
      <c r="Y690" s="808"/>
      <c r="Z690" s="787"/>
      <c r="AA690" s="787"/>
      <c r="AB690" s="787"/>
      <c r="AC690" s="787"/>
      <c r="AD690" s="787"/>
      <c r="AE690" s="787"/>
      <c r="AF690" s="787"/>
      <c r="AG690" s="787"/>
      <c r="AH690" s="808"/>
      <c r="AI690" s="787"/>
      <c r="AJ690" s="787">
        <f t="shared" si="41"/>
        <v>0</v>
      </c>
      <c r="AK690" s="787">
        <v>20000</v>
      </c>
      <c r="AL690" s="787"/>
      <c r="AM690" s="822"/>
      <c r="AN690" s="822"/>
      <c r="AO690" s="822"/>
      <c r="AP690" s="822"/>
      <c r="AQ690" s="822"/>
      <c r="AR690" s="822"/>
      <c r="AS690" s="822" t="s">
        <v>2</v>
      </c>
      <c r="AT690" s="822"/>
      <c r="AU690" s="282" t="s">
        <v>2101</v>
      </c>
      <c r="AV690" s="815"/>
      <c r="AW690" s="815"/>
      <c r="AX690" s="815"/>
      <c r="AY690" s="815"/>
      <c r="AZ690" s="815"/>
      <c r="BA690" s="815"/>
      <c r="BB690" s="815"/>
      <c r="BC690" s="815"/>
      <c r="BD690" s="815"/>
      <c r="BE690" s="815"/>
      <c r="BF690" s="815"/>
      <c r="BG690" s="815"/>
      <c r="BH690" s="815"/>
      <c r="BI690" s="815"/>
      <c r="BJ690" s="815"/>
      <c r="BK690" s="815"/>
      <c r="BL690" s="815"/>
      <c r="BM690" s="815"/>
      <c r="BN690" s="815"/>
      <c r="BO690" s="815"/>
      <c r="BP690" s="815"/>
      <c r="BQ690" s="815"/>
      <c r="BR690" s="815"/>
      <c r="BS690" s="815"/>
      <c r="BT690" s="815"/>
      <c r="BU690" s="815"/>
      <c r="BV690" s="815"/>
      <c r="BW690" s="815"/>
      <c r="BX690" s="815"/>
      <c r="BY690" s="815"/>
      <c r="BZ690" s="815"/>
      <c r="CA690" s="815"/>
      <c r="CB690" s="815"/>
      <c r="CC690" s="815"/>
      <c r="CD690" s="815"/>
      <c r="CE690" s="815"/>
      <c r="CF690" s="815"/>
      <c r="CG690" s="815"/>
      <c r="CH690" s="815"/>
      <c r="CI690" s="815"/>
      <c r="CJ690" s="815"/>
      <c r="CK690" s="815"/>
      <c r="CL690" s="815"/>
      <c r="CM690" s="815"/>
      <c r="CN690" s="815"/>
      <c r="CO690" s="815"/>
      <c r="CP690" s="815"/>
      <c r="CQ690" s="815"/>
      <c r="CR690" s="815"/>
      <c r="CS690" s="815"/>
      <c r="CT690" s="815"/>
      <c r="CU690" s="815"/>
      <c r="CV690" s="815"/>
      <c r="CW690" s="815"/>
      <c r="CX690" s="815"/>
      <c r="CY690" s="815"/>
      <c r="CZ690" s="815"/>
      <c r="DA690" s="815"/>
      <c r="DB690" s="815"/>
      <c r="DC690" s="815"/>
      <c r="DD690" s="815"/>
      <c r="DE690" s="815"/>
      <c r="DF690" s="815"/>
      <c r="DG690" s="815"/>
      <c r="DH690" s="815"/>
      <c r="DI690" s="815"/>
      <c r="DJ690" s="815"/>
      <c r="DK690" s="815"/>
      <c r="DL690" s="815"/>
      <c r="DM690" s="815"/>
      <c r="DN690" s="815"/>
      <c r="DO690" s="815"/>
      <c r="DP690" s="815"/>
      <c r="DQ690" s="815"/>
      <c r="DR690" s="815"/>
      <c r="DS690" s="815"/>
      <c r="DT690" s="815"/>
      <c r="DU690" s="815"/>
      <c r="DV690" s="815"/>
      <c r="DW690" s="815"/>
      <c r="DX690" s="815"/>
      <c r="DY690" s="815"/>
      <c r="DZ690" s="815"/>
      <c r="EA690" s="815"/>
      <c r="EB690" s="815"/>
      <c r="EC690" s="815"/>
      <c r="ED690" s="815"/>
      <c r="EE690" s="815"/>
      <c r="EF690" s="815"/>
      <c r="EG690" s="815"/>
      <c r="EH690" s="815"/>
      <c r="EI690" s="815"/>
      <c r="EJ690" s="815"/>
      <c r="EK690" s="815"/>
      <c r="EL690" s="815"/>
      <c r="EM690" s="815"/>
      <c r="EN690" s="815"/>
      <c r="EO690" s="815"/>
      <c r="EP690" s="815"/>
      <c r="EQ690" s="815"/>
      <c r="ER690" s="815"/>
      <c r="ES690" s="815"/>
      <c r="ET690" s="815"/>
      <c r="EU690" s="815"/>
      <c r="EV690" s="815"/>
      <c r="EW690" s="815"/>
      <c r="EX690" s="815"/>
      <c r="EY690" s="815"/>
      <c r="EZ690" s="815"/>
      <c r="FA690" s="815"/>
      <c r="FB690" s="815"/>
      <c r="FC690" s="815"/>
      <c r="FD690" s="815"/>
      <c r="FE690" s="815"/>
      <c r="FF690" s="815"/>
      <c r="FG690" s="815"/>
      <c r="FH690" s="815"/>
      <c r="FI690" s="815"/>
      <c r="FJ690" s="815"/>
      <c r="FK690" s="815"/>
      <c r="FL690" s="815"/>
      <c r="FM690" s="815"/>
      <c r="FN690" s="815"/>
      <c r="FO690" s="815"/>
      <c r="FP690" s="815"/>
      <c r="FQ690" s="815"/>
      <c r="FR690" s="815"/>
      <c r="FS690" s="815"/>
      <c r="FT690" s="815"/>
      <c r="FU690" s="815"/>
      <c r="FV690" s="815"/>
      <c r="FW690" s="815"/>
      <c r="FX690" s="815"/>
      <c r="FY690" s="815"/>
      <c r="FZ690" s="815"/>
      <c r="GA690" s="815"/>
      <c r="GB690" s="815"/>
      <c r="GC690" s="815"/>
      <c r="GD690" s="815"/>
      <c r="GE690" s="815"/>
      <c r="GF690" s="815"/>
      <c r="GG690" s="815"/>
      <c r="GH690" s="815"/>
      <c r="GI690" s="815"/>
      <c r="GJ690" s="815"/>
      <c r="GK690" s="815"/>
      <c r="GL690" s="815"/>
      <c r="GM690" s="815"/>
      <c r="GN690" s="815"/>
      <c r="GO690" s="815"/>
      <c r="GP690" s="815"/>
      <c r="GQ690" s="815"/>
      <c r="GR690" s="815"/>
      <c r="GS690" s="815"/>
      <c r="GT690" s="815"/>
      <c r="GU690" s="815"/>
      <c r="GV690" s="815"/>
      <c r="GW690" s="815"/>
      <c r="GX690" s="815"/>
      <c r="GY690" s="815"/>
      <c r="GZ690" s="815"/>
      <c r="HA690" s="815"/>
      <c r="HB690" s="815"/>
      <c r="HC690" s="815"/>
      <c r="HD690" s="815"/>
      <c r="HE690" s="815"/>
      <c r="HF690" s="815"/>
      <c r="HG690" s="815"/>
      <c r="HH690" s="815"/>
      <c r="HI690" s="815"/>
      <c r="HJ690" s="815"/>
      <c r="KN690" s="815"/>
    </row>
    <row r="691" spans="1:300" s="821" customFormat="1" ht="15">
      <c r="A691" s="794">
        <v>689</v>
      </c>
      <c r="B691" s="785" t="s">
        <v>244</v>
      </c>
      <c r="C691" s="785" t="s">
        <v>1260</v>
      </c>
      <c r="D691" s="824">
        <v>38443</v>
      </c>
      <c r="E691" s="824">
        <v>38596</v>
      </c>
      <c r="F691" s="791">
        <v>2005</v>
      </c>
      <c r="G691" s="821" t="s">
        <v>168</v>
      </c>
      <c r="H691" s="821" t="s">
        <v>1449</v>
      </c>
      <c r="I691" s="823" t="s">
        <v>2121</v>
      </c>
      <c r="J691" s="823" t="s">
        <v>2331</v>
      </c>
      <c r="K691" s="787">
        <v>12000</v>
      </c>
      <c r="L691" s="787"/>
      <c r="M691" s="787"/>
      <c r="N691" s="787">
        <v>58262</v>
      </c>
      <c r="O691" s="808">
        <f>N691/K691</f>
        <v>4.8551666666666664</v>
      </c>
      <c r="P691" s="787"/>
      <c r="Q691" s="787"/>
      <c r="R691" s="787"/>
      <c r="S691" s="787"/>
      <c r="T691" s="817" t="s">
        <v>233</v>
      </c>
      <c r="U691" s="787"/>
      <c r="V691" s="787">
        <v>12000</v>
      </c>
      <c r="W691" s="787"/>
      <c r="X691" s="787"/>
      <c r="Y691" s="808"/>
      <c r="Z691" s="787"/>
      <c r="AA691" s="787">
        <v>12000</v>
      </c>
      <c r="AB691" s="787" t="s">
        <v>134</v>
      </c>
      <c r="AC691" s="787"/>
      <c r="AD691" s="787"/>
      <c r="AE691" s="787"/>
      <c r="AF691" s="787"/>
      <c r="AG691" s="787"/>
      <c r="AH691" s="808"/>
      <c r="AI691" s="787"/>
      <c r="AJ691" s="787">
        <f t="shared" si="41"/>
        <v>12000</v>
      </c>
      <c r="AK691" s="787"/>
      <c r="AL691" s="787"/>
      <c r="AM691" s="822"/>
      <c r="AN691" s="822"/>
      <c r="AO691" s="822"/>
      <c r="AP691" s="822"/>
      <c r="AQ691" s="822"/>
      <c r="AR691" s="822"/>
      <c r="AS691" s="822"/>
      <c r="AT691" s="822"/>
      <c r="AU691" s="282" t="s">
        <v>2112</v>
      </c>
      <c r="AV691" s="815"/>
      <c r="AW691" s="815"/>
      <c r="AX691" s="815"/>
      <c r="AY691" s="815"/>
      <c r="AZ691" s="815"/>
      <c r="BA691" s="815"/>
      <c r="BB691" s="815"/>
      <c r="BC691" s="815"/>
      <c r="BD691" s="815"/>
      <c r="BE691" s="815"/>
      <c r="BF691" s="815"/>
      <c r="BG691" s="815"/>
      <c r="BH691" s="815"/>
      <c r="BI691" s="815"/>
      <c r="BJ691" s="815"/>
      <c r="BK691" s="815"/>
      <c r="BL691" s="815"/>
      <c r="BM691" s="815"/>
      <c r="BN691" s="815"/>
      <c r="BO691" s="815"/>
      <c r="BP691" s="815"/>
      <c r="BQ691" s="815"/>
      <c r="BR691" s="815"/>
      <c r="BS691" s="815"/>
      <c r="BT691" s="815"/>
      <c r="BU691" s="815"/>
      <c r="BV691" s="815"/>
      <c r="BW691" s="815"/>
      <c r="BX691" s="815"/>
      <c r="BY691" s="815"/>
      <c r="BZ691" s="815"/>
      <c r="CA691" s="815"/>
      <c r="CB691" s="815"/>
      <c r="CC691" s="815"/>
      <c r="CD691" s="815"/>
      <c r="CE691" s="815"/>
      <c r="CF691" s="815"/>
      <c r="CG691" s="815"/>
      <c r="CH691" s="815"/>
      <c r="CI691" s="815"/>
      <c r="CJ691" s="815"/>
      <c r="CK691" s="815"/>
      <c r="CL691" s="815"/>
      <c r="CM691" s="815"/>
      <c r="CN691" s="815"/>
      <c r="CO691" s="815"/>
      <c r="CP691" s="815"/>
      <c r="CQ691" s="815"/>
      <c r="CR691" s="815"/>
      <c r="CS691" s="815"/>
      <c r="CT691" s="815"/>
      <c r="CU691" s="815"/>
      <c r="CV691" s="815"/>
      <c r="CW691" s="815"/>
      <c r="CX691" s="815"/>
      <c r="CY691" s="815"/>
      <c r="CZ691" s="815"/>
      <c r="DA691" s="815"/>
      <c r="DB691" s="815"/>
      <c r="DC691" s="815"/>
      <c r="DD691" s="815"/>
      <c r="DE691" s="815"/>
      <c r="DF691" s="815"/>
      <c r="DG691" s="815"/>
      <c r="DH691" s="815"/>
      <c r="DI691" s="815"/>
      <c r="DJ691" s="815"/>
      <c r="DK691" s="815"/>
      <c r="DL691" s="815"/>
      <c r="DM691" s="815"/>
      <c r="DN691" s="815"/>
      <c r="DO691" s="815"/>
      <c r="DP691" s="815"/>
      <c r="DQ691" s="815"/>
      <c r="DR691" s="815"/>
      <c r="DS691" s="815"/>
      <c r="DT691" s="815"/>
      <c r="DU691" s="815"/>
      <c r="DV691" s="815"/>
      <c r="DW691" s="815"/>
      <c r="DX691" s="815"/>
      <c r="DY691" s="815"/>
      <c r="DZ691" s="815"/>
      <c r="EA691" s="815"/>
      <c r="EB691" s="815"/>
      <c r="EC691" s="815"/>
      <c r="ED691" s="815"/>
      <c r="EE691" s="815"/>
      <c r="EF691" s="815"/>
      <c r="EG691" s="815"/>
      <c r="EH691" s="815"/>
      <c r="EI691" s="815"/>
      <c r="EJ691" s="815"/>
      <c r="EK691" s="815"/>
      <c r="EL691" s="815"/>
      <c r="EM691" s="815"/>
      <c r="EN691" s="815"/>
      <c r="EO691" s="815"/>
      <c r="EP691" s="815"/>
      <c r="EQ691" s="815"/>
      <c r="ER691" s="815"/>
      <c r="ES691" s="815"/>
      <c r="ET691" s="815"/>
      <c r="EU691" s="815"/>
      <c r="EV691" s="815"/>
      <c r="EW691" s="815"/>
      <c r="EX691" s="815"/>
      <c r="EY691" s="815"/>
      <c r="EZ691" s="815"/>
      <c r="FA691" s="815"/>
      <c r="FB691" s="815"/>
      <c r="FC691" s="815"/>
      <c r="FD691" s="815"/>
      <c r="FE691" s="815"/>
      <c r="FF691" s="815"/>
      <c r="FG691" s="815"/>
      <c r="FH691" s="815"/>
      <c r="FI691" s="815"/>
      <c r="FJ691" s="815"/>
      <c r="FK691" s="815"/>
      <c r="FL691" s="815"/>
      <c r="FM691" s="815"/>
      <c r="FN691" s="815"/>
      <c r="FO691" s="815"/>
      <c r="FP691" s="815"/>
      <c r="FQ691" s="815"/>
      <c r="FR691" s="815"/>
      <c r="FS691" s="815"/>
      <c r="FT691" s="815"/>
      <c r="FU691" s="815"/>
      <c r="FV691" s="815"/>
      <c r="FW691" s="815"/>
      <c r="FX691" s="815"/>
      <c r="FY691" s="815"/>
      <c r="FZ691" s="815"/>
      <c r="GA691" s="815"/>
      <c r="GB691" s="815"/>
      <c r="GC691" s="815"/>
      <c r="GD691" s="815"/>
      <c r="GE691" s="815"/>
      <c r="GF691" s="815"/>
      <c r="GG691" s="815"/>
      <c r="GH691" s="815"/>
      <c r="GI691" s="815"/>
      <c r="GJ691" s="815"/>
      <c r="GK691" s="815"/>
      <c r="GL691" s="815"/>
      <c r="GM691" s="815"/>
      <c r="GN691" s="815"/>
      <c r="GO691" s="815"/>
      <c r="GP691" s="815"/>
      <c r="GQ691" s="815"/>
      <c r="GR691" s="815"/>
      <c r="GS691" s="815"/>
      <c r="GT691" s="815"/>
      <c r="GU691" s="815"/>
      <c r="GV691" s="815"/>
      <c r="GW691" s="815"/>
      <c r="GX691" s="815"/>
      <c r="GY691" s="815"/>
      <c r="GZ691" s="815"/>
      <c r="HA691" s="815"/>
      <c r="HB691" s="815"/>
      <c r="HC691" s="815"/>
      <c r="HD691" s="815"/>
      <c r="HE691" s="815"/>
      <c r="HF691" s="815"/>
      <c r="HG691" s="815"/>
      <c r="HH691" s="815"/>
      <c r="HI691" s="815"/>
      <c r="HJ691" s="815"/>
      <c r="KN691" s="815"/>
    </row>
    <row r="692" spans="1:300" s="815" customFormat="1" ht="15">
      <c r="A692" s="794">
        <v>690</v>
      </c>
      <c r="B692" s="820" t="s">
        <v>1</v>
      </c>
      <c r="C692" s="785" t="s">
        <v>1260</v>
      </c>
      <c r="D692" s="819">
        <v>38534</v>
      </c>
      <c r="E692" s="819">
        <v>38749</v>
      </c>
      <c r="F692" s="791">
        <v>2005</v>
      </c>
      <c r="G692" s="815" t="s">
        <v>2152</v>
      </c>
      <c r="H692" s="815" t="s">
        <v>1452</v>
      </c>
      <c r="I692" s="818" t="s">
        <v>2176</v>
      </c>
      <c r="J692" s="790" t="s">
        <v>2440</v>
      </c>
      <c r="K692" s="808" t="s">
        <v>134</v>
      </c>
      <c r="L692" s="808"/>
      <c r="M692" s="808"/>
      <c r="N692" s="808">
        <v>200782.31</v>
      </c>
      <c r="O692" s="808"/>
      <c r="P692" s="808"/>
      <c r="Q692" s="808"/>
      <c r="R692" s="808"/>
      <c r="S692" s="808"/>
      <c r="T692" s="817" t="s">
        <v>233</v>
      </c>
      <c r="U692" s="808"/>
      <c r="V692" s="808"/>
      <c r="W692" s="808"/>
      <c r="X692" s="808"/>
      <c r="Y692" s="808"/>
      <c r="Z692" s="808"/>
      <c r="AA692" s="808"/>
      <c r="AB692" s="808"/>
      <c r="AC692" s="808"/>
      <c r="AD692" s="808"/>
      <c r="AE692" s="808"/>
      <c r="AF692" s="808"/>
      <c r="AG692" s="808"/>
      <c r="AH692" s="808"/>
      <c r="AI692" s="808"/>
      <c r="AJ692" s="808">
        <f t="shared" si="41"/>
        <v>0</v>
      </c>
      <c r="AK692" s="808"/>
      <c r="AL692" s="808"/>
      <c r="AM692" s="816"/>
      <c r="AN692" s="816"/>
      <c r="AO692" s="816"/>
      <c r="AP692" s="816"/>
      <c r="AQ692" s="816"/>
      <c r="AR692" s="816"/>
      <c r="AS692" s="816"/>
      <c r="AT692" s="816"/>
      <c r="AU692" s="433" t="s">
        <v>2120</v>
      </c>
    </row>
    <row r="693" spans="1:300" s="815" customFormat="1" ht="15">
      <c r="A693" s="794">
        <v>691</v>
      </c>
      <c r="B693" s="785" t="s">
        <v>1295</v>
      </c>
      <c r="C693" s="785" t="s">
        <v>1286</v>
      </c>
      <c r="D693" s="819">
        <v>38504</v>
      </c>
      <c r="E693" s="819">
        <v>38534</v>
      </c>
      <c r="F693" s="791">
        <v>2005</v>
      </c>
      <c r="G693" s="815" t="s">
        <v>24</v>
      </c>
      <c r="H693" s="815" t="s">
        <v>1454</v>
      </c>
      <c r="I693" s="818" t="s">
        <v>2125</v>
      </c>
      <c r="J693" s="818" t="s">
        <v>2331</v>
      </c>
      <c r="K693" s="808" t="s">
        <v>134</v>
      </c>
      <c r="L693" s="808"/>
      <c r="M693" s="808">
        <v>30000</v>
      </c>
      <c r="N693" s="808">
        <v>30000</v>
      </c>
      <c r="O693" s="808"/>
      <c r="P693" s="808"/>
      <c r="Q693" s="808"/>
      <c r="R693" s="808">
        <f>150*20</f>
        <v>3000</v>
      </c>
      <c r="S693" s="808">
        <v>3000</v>
      </c>
      <c r="T693" s="817" t="s">
        <v>233</v>
      </c>
      <c r="U693" s="808"/>
      <c r="V693" s="808" t="s">
        <v>134</v>
      </c>
      <c r="W693" s="808"/>
      <c r="X693" s="808"/>
      <c r="Y693" s="808">
        <f>X693/S693</f>
        <v>0</v>
      </c>
      <c r="Z693" s="808" t="s">
        <v>134</v>
      </c>
      <c r="AA693" s="808"/>
      <c r="AB693" s="808" t="s">
        <v>134</v>
      </c>
      <c r="AC693" s="808"/>
      <c r="AD693" s="808"/>
      <c r="AE693" s="808"/>
      <c r="AF693" s="808"/>
      <c r="AG693" s="808"/>
      <c r="AH693" s="808"/>
      <c r="AI693" s="808"/>
      <c r="AJ693" s="808">
        <f t="shared" si="41"/>
        <v>0</v>
      </c>
      <c r="AK693" s="808"/>
      <c r="AL693" s="808"/>
      <c r="AM693" s="816"/>
      <c r="AN693" s="816"/>
      <c r="AO693" s="816"/>
      <c r="AP693" s="816"/>
      <c r="AQ693" s="816"/>
      <c r="AR693" s="816"/>
      <c r="AS693" s="816"/>
      <c r="AT693" s="816"/>
      <c r="AU693" s="433" t="s">
        <v>2102</v>
      </c>
    </row>
    <row r="694" spans="1:300" s="821" customFormat="1" ht="15">
      <c r="A694" s="794">
        <v>692</v>
      </c>
      <c r="B694" s="825" t="s">
        <v>20</v>
      </c>
      <c r="C694" s="785" t="s">
        <v>1286</v>
      </c>
      <c r="D694" s="824">
        <v>38657</v>
      </c>
      <c r="E694" s="824">
        <v>38749</v>
      </c>
      <c r="F694" s="791">
        <v>2005</v>
      </c>
      <c r="G694" s="821" t="s">
        <v>2115</v>
      </c>
      <c r="H694" s="821" t="s">
        <v>2169</v>
      </c>
      <c r="I694" s="823" t="s">
        <v>2168</v>
      </c>
      <c r="J694" s="823" t="s">
        <v>2331</v>
      </c>
      <c r="K694" s="787">
        <f>360*5</f>
        <v>1800</v>
      </c>
      <c r="L694" s="787"/>
      <c r="M694" s="787">
        <v>50000</v>
      </c>
      <c r="N694" s="787">
        <v>42353.78</v>
      </c>
      <c r="O694" s="808">
        <f>N694/K694</f>
        <v>23.529877777777777</v>
      </c>
      <c r="P694" s="787"/>
      <c r="Q694" s="787"/>
      <c r="R694" s="787"/>
      <c r="S694" s="787"/>
      <c r="T694" s="817" t="s">
        <v>233</v>
      </c>
      <c r="U694" s="787"/>
      <c r="V694" s="787"/>
      <c r="W694" s="787"/>
      <c r="X694" s="787"/>
      <c r="Y694" s="808"/>
      <c r="Z694" s="787"/>
      <c r="AA694" s="787"/>
      <c r="AB694" s="787"/>
      <c r="AC694" s="787"/>
      <c r="AD694" s="787"/>
      <c r="AE694" s="787"/>
      <c r="AF694" s="787"/>
      <c r="AG694" s="787"/>
      <c r="AH694" s="808"/>
      <c r="AI694" s="787"/>
      <c r="AJ694" s="787">
        <f t="shared" si="41"/>
        <v>0</v>
      </c>
      <c r="AK694" s="787"/>
      <c r="AL694" s="787"/>
      <c r="AM694" s="822"/>
      <c r="AN694" s="822"/>
      <c r="AO694" s="822"/>
      <c r="AP694" s="822"/>
      <c r="AQ694" s="822"/>
      <c r="AR694" s="822"/>
      <c r="AS694" s="822"/>
      <c r="AT694" s="822"/>
      <c r="AU694" s="282" t="s">
        <v>2116</v>
      </c>
      <c r="AV694" s="815"/>
      <c r="AW694" s="815"/>
      <c r="AX694" s="815"/>
      <c r="AY694" s="815"/>
      <c r="AZ694" s="815"/>
      <c r="BA694" s="815"/>
      <c r="BB694" s="815"/>
      <c r="BC694" s="815"/>
      <c r="BD694" s="815"/>
      <c r="BE694" s="815"/>
      <c r="BF694" s="815"/>
      <c r="BG694" s="815"/>
      <c r="BH694" s="815"/>
      <c r="BI694" s="815"/>
      <c r="BJ694" s="815"/>
      <c r="BK694" s="815"/>
      <c r="BL694" s="815"/>
      <c r="BM694" s="815"/>
      <c r="BN694" s="815"/>
      <c r="BO694" s="815"/>
      <c r="BP694" s="815"/>
      <c r="BQ694" s="815"/>
      <c r="BR694" s="815"/>
      <c r="BS694" s="815"/>
      <c r="BT694" s="815"/>
      <c r="BU694" s="815"/>
      <c r="BV694" s="815"/>
      <c r="BW694" s="815"/>
      <c r="BX694" s="815"/>
      <c r="BY694" s="815"/>
      <c r="BZ694" s="815"/>
      <c r="CA694" s="815"/>
      <c r="CB694" s="815"/>
      <c r="CC694" s="815"/>
      <c r="CD694" s="815"/>
      <c r="CE694" s="815"/>
      <c r="CF694" s="815"/>
      <c r="CG694" s="815"/>
      <c r="CH694" s="815"/>
      <c r="CI694" s="815"/>
      <c r="CJ694" s="815"/>
      <c r="CK694" s="815"/>
      <c r="CL694" s="815"/>
      <c r="CM694" s="815"/>
      <c r="CN694" s="815"/>
      <c r="CO694" s="815"/>
      <c r="CP694" s="815"/>
      <c r="CQ694" s="815"/>
      <c r="CR694" s="815"/>
      <c r="CS694" s="815"/>
      <c r="CT694" s="815"/>
      <c r="CU694" s="815"/>
      <c r="CV694" s="815"/>
      <c r="CW694" s="815"/>
      <c r="CX694" s="815"/>
      <c r="CY694" s="815"/>
      <c r="CZ694" s="815"/>
      <c r="DA694" s="815"/>
      <c r="DB694" s="815"/>
      <c r="DC694" s="815"/>
      <c r="DD694" s="815"/>
      <c r="DE694" s="815"/>
      <c r="DF694" s="815"/>
      <c r="DG694" s="815"/>
      <c r="DH694" s="815"/>
      <c r="DI694" s="815"/>
      <c r="DJ694" s="815"/>
      <c r="DK694" s="815"/>
      <c r="DL694" s="815"/>
      <c r="DM694" s="815"/>
      <c r="DN694" s="815"/>
      <c r="DO694" s="815"/>
      <c r="DP694" s="815"/>
      <c r="DQ694" s="815"/>
      <c r="DR694" s="815"/>
      <c r="DS694" s="815"/>
      <c r="DT694" s="815"/>
      <c r="DU694" s="815"/>
      <c r="DV694" s="815"/>
      <c r="DW694" s="815"/>
      <c r="DX694" s="815"/>
      <c r="DY694" s="815"/>
      <c r="DZ694" s="815"/>
      <c r="EA694" s="815"/>
      <c r="EB694" s="815"/>
      <c r="EC694" s="815"/>
      <c r="ED694" s="815"/>
      <c r="EE694" s="815"/>
      <c r="EF694" s="815"/>
      <c r="EG694" s="815"/>
      <c r="EH694" s="815"/>
      <c r="EI694" s="815"/>
      <c r="EJ694" s="815"/>
      <c r="EK694" s="815"/>
      <c r="EL694" s="815"/>
      <c r="EM694" s="815"/>
      <c r="EN694" s="815"/>
      <c r="EO694" s="815"/>
      <c r="EP694" s="815"/>
      <c r="EQ694" s="815"/>
      <c r="ER694" s="815"/>
      <c r="ES694" s="815"/>
      <c r="ET694" s="815"/>
      <c r="EU694" s="815"/>
      <c r="EV694" s="815"/>
      <c r="EW694" s="815"/>
      <c r="EX694" s="815"/>
      <c r="EY694" s="815"/>
      <c r="EZ694" s="815"/>
      <c r="FA694" s="815"/>
      <c r="FB694" s="815"/>
      <c r="FC694" s="815"/>
      <c r="FD694" s="815"/>
      <c r="FE694" s="815"/>
      <c r="FF694" s="815"/>
      <c r="FG694" s="815"/>
      <c r="FH694" s="815"/>
      <c r="FI694" s="815"/>
      <c r="FJ694" s="815"/>
      <c r="FK694" s="815"/>
      <c r="FL694" s="815"/>
      <c r="FM694" s="815"/>
      <c r="FN694" s="815"/>
      <c r="FO694" s="815"/>
      <c r="FP694" s="815"/>
      <c r="FQ694" s="815"/>
      <c r="FR694" s="815"/>
      <c r="FS694" s="815"/>
      <c r="FT694" s="815"/>
      <c r="FU694" s="815"/>
      <c r="FV694" s="815"/>
      <c r="FW694" s="815"/>
      <c r="FX694" s="815"/>
      <c r="FY694" s="815"/>
      <c r="FZ694" s="815"/>
      <c r="GA694" s="815"/>
      <c r="GB694" s="815"/>
      <c r="GC694" s="815"/>
      <c r="GD694" s="815"/>
      <c r="GE694" s="815"/>
      <c r="GF694" s="815"/>
      <c r="GG694" s="815"/>
      <c r="GH694" s="815"/>
      <c r="GI694" s="815"/>
      <c r="GJ694" s="815"/>
      <c r="GK694" s="815"/>
      <c r="GL694" s="815"/>
      <c r="GM694" s="815"/>
      <c r="GN694" s="815"/>
      <c r="GO694" s="815"/>
      <c r="GP694" s="815"/>
      <c r="GQ694" s="815"/>
      <c r="GR694" s="815"/>
      <c r="GS694" s="815"/>
      <c r="GT694" s="815"/>
      <c r="GU694" s="815"/>
      <c r="GV694" s="815"/>
      <c r="GW694" s="815"/>
      <c r="GX694" s="815"/>
      <c r="GY694" s="815"/>
      <c r="GZ694" s="815"/>
      <c r="HA694" s="815"/>
      <c r="HB694" s="815"/>
      <c r="HC694" s="815"/>
      <c r="HD694" s="815"/>
      <c r="HE694" s="815"/>
      <c r="HF694" s="815"/>
      <c r="HG694" s="815"/>
      <c r="HH694" s="815"/>
      <c r="HI694" s="815"/>
      <c r="HJ694" s="815"/>
      <c r="KN694" s="815"/>
    </row>
    <row r="695" spans="1:300" s="821" customFormat="1" ht="15">
      <c r="A695" s="794">
        <v>693</v>
      </c>
      <c r="B695" s="825" t="s">
        <v>2110</v>
      </c>
      <c r="C695" s="785" t="s">
        <v>1286</v>
      </c>
      <c r="D695" s="824">
        <v>38626</v>
      </c>
      <c r="E695" s="824">
        <v>38687</v>
      </c>
      <c r="F695" s="791">
        <v>2005</v>
      </c>
      <c r="G695" s="821" t="s">
        <v>2111</v>
      </c>
      <c r="H695" s="821" t="s">
        <v>1450</v>
      </c>
      <c r="I695" s="823"/>
      <c r="J695" s="823" t="s">
        <v>2331</v>
      </c>
      <c r="K695" s="787">
        <v>8000</v>
      </c>
      <c r="L695" s="787"/>
      <c r="M695" s="787">
        <v>150000</v>
      </c>
      <c r="N695" s="787">
        <v>126715.7</v>
      </c>
      <c r="O695" s="808">
        <f>N695/K695</f>
        <v>15.8394625</v>
      </c>
      <c r="P695" s="787"/>
      <c r="Q695" s="787"/>
      <c r="R695" s="787"/>
      <c r="S695" s="787"/>
      <c r="T695" s="817" t="s">
        <v>233</v>
      </c>
      <c r="U695" s="787"/>
      <c r="V695" s="787"/>
      <c r="W695" s="787"/>
      <c r="X695" s="787"/>
      <c r="Y695" s="808"/>
      <c r="Z695" s="787"/>
      <c r="AA695" s="787"/>
      <c r="AB695" s="787"/>
      <c r="AC695" s="787"/>
      <c r="AD695" s="787"/>
      <c r="AE695" s="787"/>
      <c r="AF695" s="787"/>
      <c r="AG695" s="787"/>
      <c r="AH695" s="808"/>
      <c r="AI695" s="787"/>
      <c r="AJ695" s="787">
        <f t="shared" si="41"/>
        <v>0</v>
      </c>
      <c r="AK695" s="787"/>
      <c r="AL695" s="787"/>
      <c r="AM695" s="822"/>
      <c r="AN695" s="822"/>
      <c r="AO695" s="822"/>
      <c r="AP695" s="822"/>
      <c r="AQ695" s="822"/>
      <c r="AR695" s="822"/>
      <c r="AS695" s="822"/>
      <c r="AT695" s="822"/>
      <c r="AU695" s="282" t="s">
        <v>2109</v>
      </c>
      <c r="AV695" s="815"/>
      <c r="AW695" s="815"/>
      <c r="AX695" s="815"/>
      <c r="AY695" s="815"/>
      <c r="AZ695" s="815"/>
      <c r="BA695" s="815"/>
      <c r="BB695" s="815"/>
      <c r="BC695" s="815"/>
      <c r="BD695" s="815"/>
      <c r="BE695" s="815"/>
      <c r="BF695" s="815"/>
      <c r="BG695" s="815"/>
      <c r="BH695" s="815"/>
      <c r="BI695" s="815"/>
      <c r="BJ695" s="815"/>
      <c r="BK695" s="815"/>
      <c r="BL695" s="815"/>
      <c r="BM695" s="815"/>
      <c r="BN695" s="815"/>
      <c r="BO695" s="815"/>
      <c r="BP695" s="815"/>
      <c r="BQ695" s="815"/>
      <c r="BR695" s="815"/>
      <c r="BS695" s="815"/>
      <c r="BT695" s="815"/>
      <c r="BU695" s="815"/>
      <c r="BV695" s="815"/>
      <c r="BW695" s="815"/>
      <c r="BX695" s="815"/>
      <c r="BY695" s="815"/>
      <c r="BZ695" s="815"/>
      <c r="CA695" s="815"/>
      <c r="CB695" s="815"/>
      <c r="CC695" s="815"/>
      <c r="CD695" s="815"/>
      <c r="CE695" s="815"/>
      <c r="CF695" s="815"/>
      <c r="CG695" s="815"/>
      <c r="CH695" s="815"/>
      <c r="CI695" s="815"/>
      <c r="CJ695" s="815"/>
      <c r="CK695" s="815"/>
      <c r="CL695" s="815"/>
      <c r="CM695" s="815"/>
      <c r="CN695" s="815"/>
      <c r="CO695" s="815"/>
      <c r="CP695" s="815"/>
      <c r="CQ695" s="815"/>
      <c r="CR695" s="815"/>
      <c r="CS695" s="815"/>
      <c r="CT695" s="815"/>
      <c r="CU695" s="815"/>
      <c r="CV695" s="815"/>
      <c r="CW695" s="815"/>
      <c r="CX695" s="815"/>
      <c r="CY695" s="815"/>
      <c r="CZ695" s="815"/>
      <c r="DA695" s="815"/>
      <c r="DB695" s="815"/>
      <c r="DC695" s="815"/>
      <c r="DD695" s="815"/>
      <c r="DE695" s="815"/>
      <c r="DF695" s="815"/>
      <c r="DG695" s="815"/>
      <c r="DH695" s="815"/>
      <c r="DI695" s="815"/>
      <c r="DJ695" s="815"/>
      <c r="DK695" s="815"/>
      <c r="DL695" s="815"/>
      <c r="DM695" s="815"/>
      <c r="DN695" s="815"/>
      <c r="DO695" s="815"/>
      <c r="DP695" s="815"/>
      <c r="DQ695" s="815"/>
      <c r="DR695" s="815"/>
      <c r="DS695" s="815"/>
      <c r="DT695" s="815"/>
      <c r="DU695" s="815"/>
      <c r="DV695" s="815"/>
      <c r="DW695" s="815"/>
      <c r="DX695" s="815"/>
      <c r="DY695" s="815"/>
      <c r="DZ695" s="815"/>
      <c r="EA695" s="815"/>
      <c r="EB695" s="815"/>
      <c r="EC695" s="815"/>
      <c r="ED695" s="815"/>
      <c r="EE695" s="815"/>
      <c r="EF695" s="815"/>
      <c r="EG695" s="815"/>
      <c r="EH695" s="815"/>
      <c r="EI695" s="815"/>
      <c r="EJ695" s="815"/>
      <c r="EK695" s="815"/>
      <c r="EL695" s="815"/>
      <c r="EM695" s="815"/>
      <c r="EN695" s="815"/>
      <c r="EO695" s="815"/>
      <c r="EP695" s="815"/>
      <c r="EQ695" s="815"/>
      <c r="ER695" s="815"/>
      <c r="ES695" s="815"/>
      <c r="ET695" s="815"/>
      <c r="EU695" s="815"/>
      <c r="EV695" s="815"/>
      <c r="EW695" s="815"/>
      <c r="EX695" s="815"/>
      <c r="EY695" s="815"/>
      <c r="EZ695" s="815"/>
      <c r="FA695" s="815"/>
      <c r="FB695" s="815"/>
      <c r="FC695" s="815"/>
      <c r="FD695" s="815"/>
      <c r="FE695" s="815"/>
      <c r="FF695" s="815"/>
      <c r="FG695" s="815"/>
      <c r="FH695" s="815"/>
      <c r="FI695" s="815"/>
      <c r="FJ695" s="815"/>
      <c r="FK695" s="815"/>
      <c r="FL695" s="815"/>
      <c r="FM695" s="815"/>
      <c r="FN695" s="815"/>
      <c r="FO695" s="815"/>
      <c r="FP695" s="815"/>
      <c r="FQ695" s="815"/>
      <c r="FR695" s="815"/>
      <c r="FS695" s="815"/>
      <c r="FT695" s="815"/>
      <c r="FU695" s="815"/>
      <c r="FV695" s="815"/>
      <c r="FW695" s="815"/>
      <c r="FX695" s="815"/>
      <c r="FY695" s="815"/>
      <c r="FZ695" s="815"/>
      <c r="GA695" s="815"/>
      <c r="GB695" s="815"/>
      <c r="GC695" s="815"/>
      <c r="GD695" s="815"/>
      <c r="GE695" s="815"/>
      <c r="GF695" s="815"/>
      <c r="GG695" s="815"/>
      <c r="GH695" s="815"/>
      <c r="GI695" s="815"/>
      <c r="GJ695" s="815"/>
      <c r="GK695" s="815"/>
      <c r="GL695" s="815"/>
      <c r="GM695" s="815"/>
      <c r="GN695" s="815"/>
      <c r="GO695" s="815"/>
      <c r="GP695" s="815"/>
      <c r="GQ695" s="815"/>
      <c r="GR695" s="815"/>
      <c r="GS695" s="815"/>
      <c r="GT695" s="815"/>
      <c r="GU695" s="815"/>
      <c r="GV695" s="815"/>
      <c r="GW695" s="815"/>
      <c r="GX695" s="815"/>
      <c r="GY695" s="815"/>
      <c r="GZ695" s="815"/>
      <c r="HA695" s="815"/>
      <c r="HB695" s="815"/>
      <c r="HC695" s="815"/>
      <c r="HD695" s="815"/>
      <c r="HE695" s="815"/>
      <c r="HF695" s="815"/>
      <c r="HG695" s="815"/>
      <c r="HH695" s="815"/>
      <c r="HI695" s="815"/>
      <c r="HJ695" s="815"/>
      <c r="HK695" s="815"/>
      <c r="HL695" s="815"/>
      <c r="HM695" s="815"/>
      <c r="HN695" s="815"/>
      <c r="HO695" s="815"/>
      <c r="HP695" s="815"/>
      <c r="HQ695" s="815"/>
      <c r="HR695" s="815"/>
      <c r="HS695" s="815"/>
      <c r="HT695" s="815"/>
      <c r="HU695" s="815"/>
      <c r="HV695" s="815"/>
      <c r="HW695" s="815"/>
      <c r="HX695" s="815"/>
      <c r="HY695" s="815"/>
      <c r="HZ695" s="815"/>
      <c r="IA695" s="815"/>
      <c r="IB695" s="815"/>
      <c r="IC695" s="815"/>
      <c r="ID695" s="815"/>
      <c r="IE695" s="815"/>
      <c r="IF695" s="815"/>
      <c r="IG695" s="815"/>
      <c r="IH695" s="815"/>
      <c r="II695" s="815"/>
      <c r="IJ695" s="815"/>
      <c r="IK695" s="815"/>
      <c r="IL695" s="815"/>
      <c r="IM695" s="815"/>
      <c r="IN695" s="815"/>
      <c r="IO695" s="815"/>
      <c r="IP695" s="815"/>
      <c r="IQ695" s="815"/>
      <c r="IR695" s="815"/>
      <c r="IS695" s="815"/>
      <c r="IT695" s="815"/>
      <c r="IU695" s="815"/>
      <c r="IV695" s="815"/>
      <c r="IW695" s="815"/>
      <c r="IX695" s="815"/>
      <c r="IY695" s="815"/>
      <c r="IZ695" s="815"/>
      <c r="JA695" s="815"/>
      <c r="JB695" s="815"/>
      <c r="JC695" s="815"/>
      <c r="JD695" s="815"/>
      <c r="KN695" s="815"/>
    </row>
    <row r="696" spans="1:300" s="815" customFormat="1" ht="15">
      <c r="A696" s="794">
        <v>694</v>
      </c>
      <c r="B696" s="785" t="s">
        <v>1802</v>
      </c>
      <c r="C696" s="820" t="s">
        <v>1286</v>
      </c>
      <c r="D696" s="819">
        <v>38353</v>
      </c>
      <c r="E696" s="819">
        <v>38443</v>
      </c>
      <c r="F696" s="791">
        <v>2005</v>
      </c>
      <c r="G696" s="815" t="s">
        <v>5</v>
      </c>
      <c r="H696" s="815" t="s">
        <v>1451</v>
      </c>
      <c r="I696" s="818" t="s">
        <v>2058</v>
      </c>
      <c r="J696" s="790" t="s">
        <v>2440</v>
      </c>
      <c r="K696" s="808">
        <v>5000</v>
      </c>
      <c r="L696" s="808"/>
      <c r="M696" s="808"/>
      <c r="N696" s="808">
        <v>90000</v>
      </c>
      <c r="O696" s="808">
        <f>N696/K696</f>
        <v>18</v>
      </c>
      <c r="P696" s="808"/>
      <c r="Q696" s="808"/>
      <c r="R696" s="808"/>
      <c r="S696" s="808"/>
      <c r="T696" s="817" t="s">
        <v>233</v>
      </c>
      <c r="U696" s="808"/>
      <c r="V696" s="808"/>
      <c r="W696" s="808"/>
      <c r="X696" s="808"/>
      <c r="Y696" s="808"/>
      <c r="Z696" s="808"/>
      <c r="AA696" s="808"/>
      <c r="AB696" s="808"/>
      <c r="AC696" s="808"/>
      <c r="AD696" s="808"/>
      <c r="AE696" s="808"/>
      <c r="AF696" s="808"/>
      <c r="AG696" s="808"/>
      <c r="AH696" s="808"/>
      <c r="AI696" s="808"/>
      <c r="AJ696" s="787">
        <f t="shared" si="41"/>
        <v>0</v>
      </c>
      <c r="AK696" s="808"/>
      <c r="AL696" s="808"/>
      <c r="AM696" s="816"/>
      <c r="AN696" s="816"/>
      <c r="AO696" s="816"/>
      <c r="AP696" s="816"/>
      <c r="AQ696" s="816"/>
      <c r="AR696" s="816"/>
      <c r="AS696" s="816"/>
      <c r="AT696" s="816"/>
      <c r="AU696" s="433" t="s">
        <v>2056</v>
      </c>
    </row>
    <row r="697" spans="1:300" s="815" customFormat="1" ht="15">
      <c r="A697" s="794">
        <v>695</v>
      </c>
      <c r="B697" s="785" t="s">
        <v>2046</v>
      </c>
      <c r="C697" s="785" t="s">
        <v>1261</v>
      </c>
      <c r="D697" s="819">
        <v>38412</v>
      </c>
      <c r="E697" s="819">
        <v>38534</v>
      </c>
      <c r="F697" s="791">
        <v>2005</v>
      </c>
      <c r="G697" s="815" t="s">
        <v>116</v>
      </c>
      <c r="H697" s="815" t="s">
        <v>1452</v>
      </c>
      <c r="I697" s="818" t="s">
        <v>2092</v>
      </c>
      <c r="J697" s="818" t="s">
        <v>2331</v>
      </c>
      <c r="K697" s="808">
        <v>4000</v>
      </c>
      <c r="L697" s="808">
        <v>50000</v>
      </c>
      <c r="M697" s="808">
        <v>50000</v>
      </c>
      <c r="N697" s="808">
        <v>49067</v>
      </c>
      <c r="O697" s="808">
        <f>N697/K697</f>
        <v>12.26675</v>
      </c>
      <c r="P697" s="808">
        <v>100</v>
      </c>
      <c r="Q697" s="808"/>
      <c r="R697" s="808"/>
      <c r="S697" s="808"/>
      <c r="T697" s="817" t="s">
        <v>233</v>
      </c>
      <c r="U697" s="808"/>
      <c r="V697" s="808"/>
      <c r="W697" s="808"/>
      <c r="X697" s="808"/>
      <c r="Y697" s="808"/>
      <c r="Z697" s="808"/>
      <c r="AA697" s="808"/>
      <c r="AB697" s="808"/>
      <c r="AC697" s="808"/>
      <c r="AD697" s="808"/>
      <c r="AE697" s="808"/>
      <c r="AF697" s="808"/>
      <c r="AG697" s="808"/>
      <c r="AH697" s="808"/>
      <c r="AI697" s="808"/>
      <c r="AJ697" s="787">
        <f t="shared" si="41"/>
        <v>0</v>
      </c>
      <c r="AK697" s="808"/>
      <c r="AL697" s="808"/>
      <c r="AM697" s="816"/>
      <c r="AN697" s="816"/>
      <c r="AO697" s="816"/>
      <c r="AP697" s="816"/>
      <c r="AQ697" s="816"/>
      <c r="AR697" s="816"/>
      <c r="AS697" s="816"/>
      <c r="AT697" s="816"/>
      <c r="AU697" s="815" t="s">
        <v>2091</v>
      </c>
    </row>
    <row r="698" spans="1:300" s="821" customFormat="1" ht="21.75" customHeight="1">
      <c r="A698" s="794">
        <v>696</v>
      </c>
      <c r="B698" s="785" t="s">
        <v>452</v>
      </c>
      <c r="C698" s="802" t="s">
        <v>1278</v>
      </c>
      <c r="D698" s="824">
        <v>38534</v>
      </c>
      <c r="E698" s="824">
        <v>38626</v>
      </c>
      <c r="F698" s="791">
        <v>2005</v>
      </c>
      <c r="G698" s="815" t="s">
        <v>1399</v>
      </c>
      <c r="H698" s="821" t="s">
        <v>1464</v>
      </c>
      <c r="I698" s="823" t="s">
        <v>2127</v>
      </c>
      <c r="J698" s="800" t="s">
        <v>2331</v>
      </c>
      <c r="K698" s="787" t="s">
        <v>134</v>
      </c>
      <c r="L698" s="787">
        <v>0</v>
      </c>
      <c r="M698" s="787">
        <v>76340</v>
      </c>
      <c r="N698" s="787">
        <v>76340</v>
      </c>
      <c r="O698" s="808"/>
      <c r="P698" s="787"/>
      <c r="Q698" s="787"/>
      <c r="R698" s="787"/>
      <c r="S698" s="787"/>
      <c r="T698" s="817" t="s">
        <v>233</v>
      </c>
      <c r="U698" s="787"/>
      <c r="V698" s="787"/>
      <c r="W698" s="787"/>
      <c r="X698" s="787"/>
      <c r="Y698" s="808"/>
      <c r="Z698" s="787"/>
      <c r="AA698" s="787"/>
      <c r="AB698" s="787">
        <v>30</v>
      </c>
      <c r="AC698" s="787"/>
      <c r="AD698" s="787"/>
      <c r="AE698" s="787"/>
      <c r="AF698" s="787"/>
      <c r="AG698" s="787"/>
      <c r="AH698" s="808"/>
      <c r="AI698" s="787"/>
      <c r="AJ698" s="787">
        <f t="shared" si="41"/>
        <v>0</v>
      </c>
      <c r="AK698" s="787">
        <v>0</v>
      </c>
      <c r="AL698" s="787">
        <v>4053</v>
      </c>
      <c r="AM698" s="822"/>
      <c r="AN698" s="822"/>
      <c r="AO698" s="822"/>
      <c r="AP698" s="822"/>
      <c r="AQ698" s="822"/>
      <c r="AR698" s="822"/>
      <c r="AS698" s="822"/>
      <c r="AT698" s="822"/>
      <c r="AU698" s="282" t="s">
        <v>2104</v>
      </c>
      <c r="AV698" s="815"/>
      <c r="AW698" s="815"/>
      <c r="AX698" s="815"/>
      <c r="AY698" s="815"/>
      <c r="AZ698" s="815"/>
      <c r="BA698" s="815"/>
      <c r="BB698" s="815"/>
      <c r="BC698" s="815"/>
      <c r="BD698" s="815"/>
      <c r="BE698" s="815"/>
      <c r="BF698" s="815"/>
      <c r="BG698" s="815"/>
      <c r="BH698" s="815"/>
      <c r="BI698" s="815"/>
      <c r="BJ698" s="815"/>
      <c r="BK698" s="815"/>
      <c r="BL698" s="815"/>
      <c r="BM698" s="815"/>
      <c r="BN698" s="815"/>
      <c r="BO698" s="815"/>
      <c r="BP698" s="815"/>
      <c r="BQ698" s="815"/>
      <c r="BR698" s="815"/>
      <c r="BS698" s="815"/>
      <c r="BT698" s="815"/>
      <c r="BU698" s="815"/>
      <c r="BV698" s="815"/>
      <c r="BW698" s="815"/>
      <c r="BX698" s="815"/>
      <c r="BY698" s="815"/>
      <c r="BZ698" s="815"/>
      <c r="CA698" s="815"/>
      <c r="CB698" s="815"/>
      <c r="CC698" s="815"/>
      <c r="CD698" s="815"/>
      <c r="CE698" s="815"/>
      <c r="CF698" s="815"/>
      <c r="CG698" s="815"/>
      <c r="CH698" s="815"/>
      <c r="CI698" s="815"/>
      <c r="CJ698" s="815"/>
      <c r="CK698" s="815"/>
      <c r="CL698" s="815"/>
      <c r="CM698" s="815"/>
      <c r="CN698" s="815"/>
      <c r="CO698" s="815"/>
      <c r="CP698" s="815"/>
      <c r="CQ698" s="815"/>
      <c r="CR698" s="815"/>
      <c r="CS698" s="815"/>
      <c r="CT698" s="815"/>
      <c r="CU698" s="815"/>
      <c r="CV698" s="815"/>
      <c r="CW698" s="815"/>
      <c r="CX698" s="815"/>
      <c r="CY698" s="815"/>
      <c r="CZ698" s="815"/>
      <c r="DA698" s="815"/>
      <c r="DB698" s="815"/>
      <c r="DC698" s="815"/>
      <c r="DD698" s="815"/>
      <c r="DE698" s="815"/>
      <c r="DF698" s="815"/>
      <c r="DG698" s="815"/>
      <c r="DH698" s="815"/>
      <c r="DI698" s="815"/>
      <c r="DJ698" s="815"/>
      <c r="DK698" s="815"/>
      <c r="DL698" s="815"/>
      <c r="DM698" s="815"/>
      <c r="DN698" s="815"/>
      <c r="DO698" s="815"/>
      <c r="DP698" s="815"/>
      <c r="DQ698" s="815"/>
      <c r="DR698" s="815"/>
      <c r="DS698" s="815"/>
      <c r="DT698" s="815"/>
      <c r="DU698" s="815"/>
      <c r="DV698" s="815"/>
      <c r="DW698" s="815"/>
      <c r="DX698" s="815"/>
      <c r="DY698" s="815"/>
      <c r="DZ698" s="815"/>
      <c r="EA698" s="815"/>
      <c r="EB698" s="815"/>
      <c r="EC698" s="815"/>
      <c r="ED698" s="815"/>
      <c r="EE698" s="815"/>
      <c r="EF698" s="815"/>
      <c r="EG698" s="815"/>
      <c r="EH698" s="815"/>
      <c r="EI698" s="815"/>
      <c r="EJ698" s="815"/>
      <c r="EK698" s="815"/>
      <c r="EL698" s="815"/>
      <c r="EM698" s="815"/>
      <c r="EN698" s="815"/>
      <c r="EO698" s="815"/>
      <c r="EP698" s="815"/>
      <c r="EQ698" s="815"/>
      <c r="ER698" s="815"/>
      <c r="ES698" s="815"/>
      <c r="ET698" s="815"/>
      <c r="EU698" s="815"/>
      <c r="EV698" s="815"/>
      <c r="EW698" s="815"/>
      <c r="EX698" s="815"/>
      <c r="EY698" s="815"/>
      <c r="EZ698" s="815"/>
      <c r="FA698" s="815"/>
      <c r="FB698" s="815"/>
      <c r="FC698" s="815"/>
      <c r="FD698" s="815"/>
      <c r="FE698" s="815"/>
      <c r="FF698" s="815"/>
      <c r="FG698" s="815"/>
      <c r="FH698" s="815"/>
      <c r="FI698" s="815"/>
      <c r="FJ698" s="815"/>
      <c r="FK698" s="815"/>
      <c r="FL698" s="815"/>
      <c r="FM698" s="815"/>
      <c r="FN698" s="815"/>
      <c r="FO698" s="815"/>
      <c r="FP698" s="815"/>
      <c r="FQ698" s="815"/>
      <c r="FR698" s="815"/>
      <c r="FS698" s="815"/>
      <c r="FT698" s="815"/>
      <c r="FU698" s="815"/>
      <c r="FV698" s="815"/>
      <c r="FW698" s="815"/>
      <c r="FX698" s="815"/>
      <c r="FY698" s="815"/>
      <c r="FZ698" s="815"/>
      <c r="GA698" s="815"/>
      <c r="GB698" s="815"/>
      <c r="GC698" s="815"/>
      <c r="GD698" s="815"/>
      <c r="GE698" s="815"/>
      <c r="GF698" s="815"/>
      <c r="GG698" s="815"/>
      <c r="GH698" s="815"/>
      <c r="GI698" s="815"/>
      <c r="GJ698" s="815"/>
      <c r="GK698" s="815"/>
      <c r="GL698" s="815"/>
      <c r="GM698" s="815"/>
      <c r="GN698" s="815"/>
      <c r="GO698" s="815"/>
      <c r="GP698" s="815"/>
      <c r="GQ698" s="815"/>
      <c r="GR698" s="815"/>
      <c r="GS698" s="815"/>
      <c r="GT698" s="815"/>
      <c r="GU698" s="815"/>
      <c r="GV698" s="815"/>
      <c r="GW698" s="815"/>
      <c r="GX698" s="815"/>
      <c r="GY698" s="815"/>
      <c r="GZ698" s="815"/>
      <c r="HA698" s="815"/>
      <c r="HB698" s="815"/>
      <c r="HC698" s="815"/>
      <c r="HD698" s="815"/>
      <c r="HE698" s="815"/>
      <c r="HF698" s="815"/>
      <c r="HG698" s="815"/>
      <c r="HH698" s="815"/>
      <c r="HI698" s="815"/>
      <c r="HJ698" s="815"/>
      <c r="HK698" s="815"/>
      <c r="HL698" s="815"/>
      <c r="HM698" s="815"/>
      <c r="HN698" s="815"/>
      <c r="HO698" s="815"/>
      <c r="HP698" s="815"/>
      <c r="HQ698" s="815"/>
      <c r="HR698" s="815"/>
      <c r="HS698" s="815"/>
      <c r="HT698" s="815"/>
      <c r="HU698" s="815"/>
      <c r="HV698" s="815"/>
      <c r="HW698" s="815"/>
      <c r="HX698" s="815"/>
      <c r="HY698" s="815"/>
      <c r="HZ698" s="815"/>
      <c r="IA698" s="815"/>
      <c r="IB698" s="815"/>
      <c r="IC698" s="815"/>
      <c r="ID698" s="815"/>
      <c r="IE698" s="815"/>
      <c r="IF698" s="815"/>
      <c r="IG698" s="815"/>
      <c r="IH698" s="815"/>
      <c r="II698" s="815"/>
      <c r="IJ698" s="815"/>
      <c r="IK698" s="815"/>
      <c r="IL698" s="815"/>
      <c r="IM698" s="815"/>
      <c r="IN698" s="815"/>
      <c r="IO698" s="815"/>
      <c r="IP698" s="815"/>
      <c r="IQ698" s="815"/>
      <c r="IR698" s="815"/>
      <c r="IS698" s="815"/>
      <c r="IT698" s="815"/>
      <c r="IU698" s="815"/>
      <c r="IV698" s="815"/>
      <c r="IW698" s="815"/>
      <c r="IX698" s="815"/>
      <c r="IY698" s="815"/>
      <c r="IZ698" s="815"/>
      <c r="JA698" s="815"/>
      <c r="JB698" s="815"/>
      <c r="JC698" s="815"/>
      <c r="JD698" s="815"/>
      <c r="KN698" s="815"/>
    </row>
    <row r="699" spans="1:300" s="811" customFormat="1" ht="15">
      <c r="A699" s="794">
        <v>697</v>
      </c>
      <c r="B699" s="833" t="s">
        <v>1169</v>
      </c>
      <c r="C699" s="833" t="s">
        <v>1286</v>
      </c>
      <c r="D699" s="828">
        <v>38473</v>
      </c>
      <c r="E699" s="828">
        <v>38687</v>
      </c>
      <c r="F699" s="791">
        <v>2005</v>
      </c>
      <c r="G699" s="811" t="s">
        <v>2148</v>
      </c>
      <c r="H699" s="811" t="s">
        <v>1450</v>
      </c>
      <c r="I699" s="832" t="s">
        <v>2160</v>
      </c>
      <c r="J699" s="810" t="s">
        <v>2441</v>
      </c>
      <c r="K699" s="827"/>
      <c r="L699" s="827"/>
      <c r="M699" s="827"/>
      <c r="N699" s="827">
        <v>97862.86</v>
      </c>
      <c r="O699" s="808"/>
      <c r="P699" s="827"/>
      <c r="Q699" s="827"/>
      <c r="R699" s="827"/>
      <c r="S699" s="827"/>
      <c r="T699" s="817" t="s">
        <v>233</v>
      </c>
      <c r="U699" s="827"/>
      <c r="V699" s="827"/>
      <c r="W699" s="827"/>
      <c r="X699" s="827"/>
      <c r="Y699" s="808"/>
      <c r="Z699" s="827"/>
      <c r="AA699" s="827"/>
      <c r="AB699" s="827"/>
      <c r="AC699" s="827"/>
      <c r="AD699" s="827"/>
      <c r="AE699" s="827"/>
      <c r="AF699" s="827"/>
      <c r="AG699" s="827"/>
      <c r="AH699" s="808"/>
      <c r="AI699" s="827"/>
      <c r="AJ699" s="787">
        <f t="shared" si="41"/>
        <v>0</v>
      </c>
      <c r="AK699" s="827"/>
      <c r="AL699" s="827"/>
      <c r="AM699" s="826"/>
      <c r="AN699" s="826"/>
      <c r="AO699" s="826"/>
      <c r="AP699" s="826"/>
      <c r="AQ699" s="826"/>
      <c r="AR699" s="826"/>
      <c r="AS699" s="826"/>
      <c r="AT699" s="826"/>
      <c r="AV699" s="815"/>
      <c r="AW699" s="815"/>
      <c r="AX699" s="815"/>
      <c r="AY699" s="815"/>
      <c r="AZ699" s="815"/>
      <c r="BA699" s="815"/>
      <c r="BB699" s="815"/>
      <c r="BC699" s="815"/>
      <c r="BD699" s="815"/>
      <c r="BE699" s="815"/>
      <c r="BF699" s="815"/>
      <c r="BG699" s="815"/>
      <c r="BH699" s="815"/>
      <c r="BI699" s="815"/>
      <c r="BJ699" s="815"/>
      <c r="BK699" s="815"/>
      <c r="BL699" s="815"/>
      <c r="BM699" s="815"/>
      <c r="BN699" s="815"/>
      <c r="BO699" s="815"/>
      <c r="BP699" s="815"/>
      <c r="BQ699" s="815"/>
      <c r="BR699" s="815"/>
      <c r="BS699" s="815"/>
      <c r="BT699" s="815"/>
      <c r="BU699" s="815"/>
      <c r="BV699" s="815"/>
      <c r="BW699" s="815"/>
      <c r="BX699" s="815"/>
      <c r="BY699" s="815"/>
      <c r="BZ699" s="815"/>
      <c r="CA699" s="815"/>
      <c r="CB699" s="815"/>
      <c r="CC699" s="815"/>
      <c r="CD699" s="815"/>
      <c r="CE699" s="815"/>
      <c r="CF699" s="815"/>
      <c r="CG699" s="815"/>
      <c r="CH699" s="815"/>
      <c r="CI699" s="815"/>
      <c r="CJ699" s="815"/>
      <c r="CK699" s="815"/>
      <c r="CL699" s="815"/>
      <c r="CM699" s="815"/>
      <c r="CN699" s="815"/>
      <c r="CO699" s="815"/>
      <c r="CP699" s="815"/>
      <c r="CQ699" s="815"/>
      <c r="CR699" s="815"/>
      <c r="CS699" s="815"/>
      <c r="CT699" s="815"/>
      <c r="CU699" s="815"/>
      <c r="CV699" s="815"/>
      <c r="CW699" s="815"/>
      <c r="CX699" s="815"/>
      <c r="CY699" s="815"/>
      <c r="CZ699" s="815"/>
      <c r="DA699" s="815"/>
      <c r="DB699" s="815"/>
      <c r="DC699" s="815"/>
      <c r="DD699" s="815"/>
      <c r="DE699" s="815"/>
      <c r="DF699" s="815"/>
      <c r="DG699" s="815"/>
      <c r="DH699" s="815"/>
      <c r="DI699" s="815"/>
      <c r="DJ699" s="815"/>
      <c r="DK699" s="815"/>
      <c r="DL699" s="815"/>
      <c r="DM699" s="815"/>
      <c r="DN699" s="815"/>
      <c r="DO699" s="815"/>
      <c r="DP699" s="815"/>
      <c r="DQ699" s="815"/>
      <c r="DR699" s="815"/>
      <c r="DS699" s="815"/>
      <c r="DT699" s="815"/>
      <c r="DU699" s="815"/>
      <c r="DV699" s="815"/>
      <c r="DW699" s="815"/>
      <c r="DX699" s="815"/>
      <c r="DY699" s="815"/>
      <c r="DZ699" s="815"/>
      <c r="EA699" s="815"/>
      <c r="EB699" s="815"/>
      <c r="EC699" s="815"/>
      <c r="ED699" s="815"/>
      <c r="EE699" s="815"/>
      <c r="EF699" s="815"/>
      <c r="EG699" s="815"/>
      <c r="EH699" s="815"/>
      <c r="EI699" s="815"/>
      <c r="EJ699" s="815"/>
      <c r="EK699" s="815"/>
      <c r="EL699" s="815"/>
      <c r="EM699" s="815"/>
      <c r="EN699" s="815"/>
      <c r="EO699" s="815"/>
      <c r="EP699" s="815"/>
      <c r="EQ699" s="815"/>
      <c r="ER699" s="815"/>
      <c r="ES699" s="815"/>
      <c r="ET699" s="815"/>
      <c r="EU699" s="815"/>
      <c r="EV699" s="815"/>
      <c r="EW699" s="815"/>
      <c r="EX699" s="815"/>
      <c r="EY699" s="815"/>
      <c r="EZ699" s="815"/>
      <c r="FA699" s="815"/>
      <c r="FB699" s="815"/>
      <c r="FC699" s="815"/>
      <c r="FD699" s="815"/>
      <c r="FE699" s="815"/>
      <c r="FF699" s="815"/>
      <c r="FG699" s="815"/>
      <c r="FH699" s="815"/>
      <c r="FI699" s="815"/>
      <c r="FJ699" s="815"/>
      <c r="FK699" s="815"/>
      <c r="FL699" s="815"/>
      <c r="FM699" s="815"/>
      <c r="FN699" s="815"/>
      <c r="FO699" s="815"/>
      <c r="FP699" s="815"/>
      <c r="FQ699" s="815"/>
      <c r="FR699" s="815"/>
      <c r="FS699" s="815"/>
      <c r="FT699" s="815"/>
      <c r="FU699" s="815"/>
      <c r="FV699" s="815"/>
      <c r="FW699" s="815"/>
      <c r="FX699" s="815"/>
      <c r="FY699" s="815"/>
      <c r="FZ699" s="815"/>
      <c r="GA699" s="815"/>
      <c r="GB699" s="815"/>
      <c r="GC699" s="815"/>
      <c r="GD699" s="815"/>
      <c r="GE699" s="815"/>
      <c r="GF699" s="815"/>
      <c r="GG699" s="815"/>
      <c r="GH699" s="815"/>
      <c r="GI699" s="815"/>
      <c r="GJ699" s="815"/>
      <c r="GK699" s="815"/>
      <c r="GL699" s="815"/>
      <c r="GM699" s="815"/>
      <c r="GN699" s="815"/>
      <c r="GO699" s="815"/>
      <c r="GP699" s="815"/>
      <c r="GQ699" s="815"/>
      <c r="GR699" s="815"/>
      <c r="GS699" s="815"/>
      <c r="GT699" s="815"/>
      <c r="GU699" s="815"/>
      <c r="GV699" s="815"/>
      <c r="GW699" s="815"/>
      <c r="GX699" s="815"/>
      <c r="GY699" s="815"/>
      <c r="GZ699" s="815"/>
      <c r="HA699" s="815"/>
      <c r="HB699" s="815"/>
      <c r="HC699" s="815"/>
      <c r="HD699" s="815"/>
      <c r="HE699" s="815"/>
      <c r="HF699" s="815"/>
      <c r="HG699" s="815"/>
      <c r="HH699" s="815"/>
      <c r="HI699" s="815"/>
      <c r="HJ699" s="815"/>
      <c r="HK699" s="815"/>
      <c r="HL699" s="815"/>
      <c r="HM699" s="815"/>
      <c r="HN699" s="815"/>
      <c r="HO699" s="815"/>
      <c r="HP699" s="815"/>
      <c r="HQ699" s="815"/>
      <c r="HR699" s="815"/>
      <c r="HS699" s="815"/>
      <c r="HT699" s="815"/>
      <c r="HU699" s="815"/>
      <c r="HV699" s="815"/>
      <c r="HW699" s="815"/>
      <c r="HX699" s="815"/>
      <c r="HY699" s="815"/>
      <c r="HZ699" s="815"/>
      <c r="IA699" s="815"/>
      <c r="IB699" s="815"/>
      <c r="IC699" s="815"/>
      <c r="ID699" s="815"/>
      <c r="IE699" s="815"/>
      <c r="IF699" s="815"/>
      <c r="IG699" s="815"/>
      <c r="IH699" s="815"/>
      <c r="II699" s="815"/>
      <c r="IJ699" s="815"/>
      <c r="IK699" s="815"/>
      <c r="IL699" s="815"/>
      <c r="IM699" s="815"/>
      <c r="IN699" s="815"/>
      <c r="IO699" s="815"/>
      <c r="IP699" s="815"/>
      <c r="IQ699" s="815"/>
      <c r="IR699" s="815"/>
      <c r="IS699" s="815"/>
      <c r="IT699" s="815"/>
      <c r="IU699" s="815"/>
      <c r="IV699" s="815"/>
      <c r="IW699" s="815"/>
      <c r="IX699" s="815"/>
      <c r="IY699" s="815"/>
      <c r="IZ699" s="815"/>
      <c r="JA699" s="815"/>
      <c r="JB699" s="815"/>
      <c r="JC699" s="815"/>
      <c r="JD699" s="815"/>
      <c r="JE699" s="815"/>
      <c r="JF699" s="815"/>
      <c r="JG699" s="815"/>
      <c r="JH699" s="815"/>
      <c r="JI699" s="815"/>
      <c r="JJ699" s="815"/>
      <c r="JK699" s="815"/>
      <c r="JL699" s="815"/>
      <c r="JM699" s="815"/>
      <c r="JN699" s="815"/>
      <c r="JO699" s="815"/>
      <c r="JP699" s="815"/>
      <c r="JQ699" s="815"/>
      <c r="JR699" s="815"/>
      <c r="JS699" s="815"/>
      <c r="JT699" s="815"/>
      <c r="JU699" s="815"/>
      <c r="JV699" s="815"/>
      <c r="JW699" s="815"/>
      <c r="JX699" s="815"/>
      <c r="JY699" s="815"/>
      <c r="JZ699" s="815"/>
      <c r="KA699" s="815"/>
      <c r="KB699" s="815"/>
      <c r="KC699" s="815"/>
      <c r="KD699" s="815"/>
      <c r="KE699" s="815"/>
      <c r="KF699" s="815"/>
      <c r="KG699" s="815"/>
      <c r="KH699" s="815"/>
      <c r="KI699" s="815"/>
      <c r="KJ699" s="815"/>
      <c r="KK699" s="815"/>
      <c r="KL699" s="815"/>
      <c r="KM699" s="815"/>
      <c r="KN699" s="815"/>
    </row>
    <row r="700" spans="1:300" s="811" customFormat="1" ht="15.75" customHeight="1">
      <c r="A700" s="794">
        <v>698</v>
      </c>
      <c r="B700" s="833" t="s">
        <v>1260</v>
      </c>
      <c r="C700" s="833" t="s">
        <v>1260</v>
      </c>
      <c r="D700" s="828">
        <v>38412</v>
      </c>
      <c r="E700" s="828">
        <v>38688</v>
      </c>
      <c r="F700" s="791">
        <v>2005</v>
      </c>
      <c r="G700" s="811" t="s">
        <v>2149</v>
      </c>
      <c r="H700" s="811" t="s">
        <v>2469</v>
      </c>
      <c r="I700" s="832" t="s">
        <v>2161</v>
      </c>
      <c r="J700" s="810" t="s">
        <v>2441</v>
      </c>
      <c r="K700" s="827"/>
      <c r="L700" s="827"/>
      <c r="M700" s="827"/>
      <c r="N700" s="827">
        <v>5187.62</v>
      </c>
      <c r="O700" s="808"/>
      <c r="P700" s="827"/>
      <c r="Q700" s="827"/>
      <c r="R700" s="827"/>
      <c r="S700" s="827"/>
      <c r="T700" s="817" t="s">
        <v>233</v>
      </c>
      <c r="U700" s="827"/>
      <c r="V700" s="827"/>
      <c r="W700" s="827"/>
      <c r="X700" s="827"/>
      <c r="Y700" s="808"/>
      <c r="Z700" s="827"/>
      <c r="AA700" s="827"/>
      <c r="AB700" s="827"/>
      <c r="AC700" s="827"/>
      <c r="AD700" s="827"/>
      <c r="AE700" s="827"/>
      <c r="AF700" s="827"/>
      <c r="AG700" s="827"/>
      <c r="AH700" s="808"/>
      <c r="AI700" s="827"/>
      <c r="AJ700" s="787">
        <f t="shared" si="41"/>
        <v>0</v>
      </c>
      <c r="AK700" s="827"/>
      <c r="AL700" s="827"/>
      <c r="AM700" s="826"/>
      <c r="AN700" s="826"/>
      <c r="AO700" s="826"/>
      <c r="AP700" s="826"/>
      <c r="AQ700" s="826"/>
      <c r="AR700" s="826"/>
      <c r="AS700" s="826"/>
      <c r="AT700" s="826"/>
      <c r="AV700" s="815"/>
      <c r="AW700" s="815"/>
      <c r="AX700" s="815"/>
      <c r="AY700" s="815"/>
      <c r="AZ700" s="815"/>
      <c r="BA700" s="815"/>
      <c r="BB700" s="815"/>
      <c r="BC700" s="815"/>
      <c r="BD700" s="815"/>
      <c r="BE700" s="815"/>
      <c r="BF700" s="815"/>
      <c r="BG700" s="815"/>
      <c r="BH700" s="815"/>
      <c r="BI700" s="815"/>
      <c r="BJ700" s="815"/>
      <c r="BK700" s="815"/>
      <c r="BL700" s="815"/>
      <c r="BM700" s="815"/>
      <c r="BN700" s="815"/>
      <c r="BO700" s="815"/>
      <c r="BP700" s="815"/>
      <c r="BQ700" s="815"/>
      <c r="BR700" s="815"/>
      <c r="BS700" s="815"/>
      <c r="BT700" s="815"/>
      <c r="BU700" s="815"/>
      <c r="BV700" s="815"/>
      <c r="BW700" s="815"/>
      <c r="BX700" s="815"/>
      <c r="BY700" s="815"/>
      <c r="BZ700" s="815"/>
      <c r="CA700" s="815"/>
      <c r="CB700" s="815"/>
      <c r="CC700" s="815"/>
      <c r="CD700" s="815"/>
      <c r="CE700" s="815"/>
      <c r="CF700" s="815"/>
      <c r="CG700" s="815"/>
      <c r="CH700" s="815"/>
      <c r="CI700" s="815"/>
      <c r="CJ700" s="815"/>
      <c r="CK700" s="815"/>
      <c r="CL700" s="815"/>
      <c r="CM700" s="815"/>
      <c r="CN700" s="815"/>
      <c r="CO700" s="815"/>
      <c r="CP700" s="815"/>
      <c r="CQ700" s="815"/>
      <c r="CR700" s="815"/>
      <c r="CS700" s="815"/>
      <c r="CT700" s="815"/>
      <c r="CU700" s="815"/>
      <c r="CV700" s="815"/>
      <c r="CW700" s="815"/>
      <c r="CX700" s="815"/>
      <c r="CY700" s="815"/>
      <c r="CZ700" s="815"/>
      <c r="DA700" s="815"/>
      <c r="DB700" s="815"/>
      <c r="DC700" s="815"/>
      <c r="DD700" s="815"/>
      <c r="DE700" s="815"/>
      <c r="DF700" s="815"/>
      <c r="DG700" s="815"/>
      <c r="DH700" s="815"/>
      <c r="DI700" s="815"/>
      <c r="DJ700" s="815"/>
      <c r="DK700" s="815"/>
      <c r="DL700" s="815"/>
      <c r="DM700" s="815"/>
      <c r="DN700" s="815"/>
      <c r="DO700" s="815"/>
      <c r="DP700" s="815"/>
      <c r="DQ700" s="815"/>
      <c r="DR700" s="815"/>
      <c r="DS700" s="815"/>
      <c r="DT700" s="815"/>
      <c r="DU700" s="815"/>
      <c r="DV700" s="815"/>
      <c r="DW700" s="815"/>
      <c r="DX700" s="815"/>
      <c r="DY700" s="815"/>
      <c r="DZ700" s="815"/>
      <c r="EA700" s="815"/>
      <c r="EB700" s="815"/>
      <c r="EC700" s="815"/>
      <c r="ED700" s="815"/>
      <c r="EE700" s="815"/>
      <c r="EF700" s="815"/>
      <c r="EG700" s="815"/>
      <c r="EH700" s="815"/>
      <c r="EI700" s="815"/>
      <c r="EJ700" s="815"/>
      <c r="EK700" s="815"/>
      <c r="EL700" s="815"/>
      <c r="EM700" s="815"/>
      <c r="EN700" s="815"/>
      <c r="EO700" s="815"/>
      <c r="EP700" s="815"/>
      <c r="EQ700" s="815"/>
      <c r="ER700" s="815"/>
      <c r="ES700" s="815"/>
      <c r="ET700" s="815"/>
      <c r="EU700" s="815"/>
      <c r="EV700" s="815"/>
      <c r="EW700" s="815"/>
      <c r="EX700" s="815"/>
      <c r="EY700" s="815"/>
      <c r="EZ700" s="815"/>
      <c r="FA700" s="815"/>
      <c r="FB700" s="815"/>
      <c r="FC700" s="815"/>
      <c r="FD700" s="815"/>
      <c r="FE700" s="815"/>
      <c r="FF700" s="815"/>
      <c r="FG700" s="815"/>
      <c r="FH700" s="815"/>
      <c r="FI700" s="815"/>
      <c r="FJ700" s="815"/>
      <c r="FK700" s="815"/>
      <c r="FL700" s="815"/>
      <c r="FM700" s="815"/>
      <c r="FN700" s="815"/>
      <c r="FO700" s="815"/>
      <c r="FP700" s="815"/>
      <c r="FQ700" s="815"/>
      <c r="FR700" s="815"/>
      <c r="FS700" s="815"/>
      <c r="FT700" s="815"/>
      <c r="FU700" s="815"/>
      <c r="FV700" s="815"/>
      <c r="FW700" s="815"/>
      <c r="FX700" s="815"/>
      <c r="FY700" s="815"/>
      <c r="FZ700" s="815"/>
      <c r="GA700" s="815"/>
      <c r="GB700" s="815"/>
      <c r="GC700" s="815"/>
      <c r="GD700" s="815"/>
      <c r="GE700" s="815"/>
      <c r="GF700" s="815"/>
      <c r="GG700" s="815"/>
      <c r="GH700" s="815"/>
      <c r="GI700" s="815"/>
      <c r="GJ700" s="815"/>
      <c r="GK700" s="815"/>
      <c r="GL700" s="815"/>
      <c r="GM700" s="815"/>
      <c r="GN700" s="815"/>
      <c r="GO700" s="815"/>
      <c r="GP700" s="815"/>
      <c r="GQ700" s="815"/>
      <c r="GR700" s="815"/>
      <c r="GS700" s="815"/>
      <c r="GT700" s="815"/>
      <c r="GU700" s="815"/>
      <c r="GV700" s="815"/>
      <c r="GW700" s="815"/>
      <c r="GX700" s="815"/>
      <c r="GY700" s="815"/>
      <c r="GZ700" s="815"/>
      <c r="HA700" s="815"/>
      <c r="HB700" s="815"/>
      <c r="HC700" s="815"/>
      <c r="HD700" s="815"/>
      <c r="HE700" s="815"/>
      <c r="HF700" s="815"/>
      <c r="HG700" s="815"/>
      <c r="HH700" s="815"/>
      <c r="HI700" s="815"/>
      <c r="HJ700" s="815"/>
      <c r="HK700" s="815"/>
      <c r="HL700" s="815"/>
      <c r="HM700" s="815"/>
      <c r="HN700" s="815"/>
      <c r="HO700" s="815"/>
      <c r="HP700" s="815"/>
      <c r="HQ700" s="815"/>
      <c r="HR700" s="815"/>
      <c r="HS700" s="815"/>
      <c r="HT700" s="815"/>
      <c r="HU700" s="815"/>
      <c r="HV700" s="815"/>
      <c r="HW700" s="815"/>
      <c r="HX700" s="815"/>
      <c r="HY700" s="815"/>
      <c r="HZ700" s="815"/>
      <c r="IA700" s="815"/>
      <c r="IB700" s="815"/>
      <c r="IC700" s="815"/>
      <c r="ID700" s="815"/>
      <c r="IE700" s="815"/>
      <c r="IF700" s="815"/>
      <c r="IG700" s="815"/>
      <c r="IH700" s="815"/>
      <c r="II700" s="815"/>
      <c r="IJ700" s="815"/>
      <c r="IK700" s="815"/>
      <c r="IL700" s="815"/>
      <c r="IM700" s="815"/>
      <c r="IN700" s="815"/>
      <c r="IO700" s="815"/>
      <c r="IP700" s="815"/>
      <c r="IQ700" s="815"/>
      <c r="IR700" s="815"/>
      <c r="IS700" s="815"/>
      <c r="IT700" s="815"/>
      <c r="IU700" s="815"/>
      <c r="IV700" s="815"/>
      <c r="IW700" s="815"/>
      <c r="IX700" s="815"/>
      <c r="IY700" s="815"/>
      <c r="IZ700" s="815"/>
      <c r="JA700" s="815"/>
      <c r="JB700" s="815"/>
      <c r="JC700" s="815"/>
      <c r="JD700" s="815"/>
      <c r="JE700" s="815"/>
      <c r="JF700" s="815"/>
      <c r="JG700" s="815"/>
      <c r="JH700" s="815"/>
      <c r="JI700" s="815"/>
      <c r="JJ700" s="815"/>
      <c r="JK700" s="815"/>
      <c r="JL700" s="815"/>
      <c r="JM700" s="815"/>
      <c r="JN700" s="815"/>
      <c r="JO700" s="815"/>
      <c r="JP700" s="815"/>
      <c r="JQ700" s="815"/>
      <c r="JR700" s="815"/>
      <c r="JS700" s="815"/>
      <c r="JT700" s="815"/>
      <c r="JU700" s="815"/>
      <c r="JV700" s="815"/>
      <c r="JW700" s="815"/>
      <c r="JX700" s="815"/>
      <c r="JY700" s="815"/>
      <c r="JZ700" s="815"/>
      <c r="KA700" s="815"/>
      <c r="KB700" s="815"/>
      <c r="KC700" s="815"/>
      <c r="KD700" s="815"/>
      <c r="KE700" s="815"/>
      <c r="KF700" s="815"/>
      <c r="KG700" s="815"/>
      <c r="KH700" s="815"/>
      <c r="KI700" s="815"/>
      <c r="KJ700" s="815"/>
      <c r="KK700" s="815"/>
      <c r="KL700" s="815"/>
      <c r="KM700" s="815"/>
      <c r="KN700" s="815"/>
    </row>
    <row r="701" spans="1:300" s="821" customFormat="1" ht="15">
      <c r="A701" s="794">
        <v>699</v>
      </c>
      <c r="B701" s="825" t="s">
        <v>1040</v>
      </c>
      <c r="C701" s="785" t="s">
        <v>1286</v>
      </c>
      <c r="D701" s="824">
        <v>38657</v>
      </c>
      <c r="E701" s="824">
        <v>38777</v>
      </c>
      <c r="F701" s="791">
        <v>2005</v>
      </c>
      <c r="G701" s="815" t="s">
        <v>2117</v>
      </c>
      <c r="H701" s="821" t="s">
        <v>1450</v>
      </c>
      <c r="I701" s="823"/>
      <c r="J701" s="823" t="s">
        <v>2331</v>
      </c>
      <c r="K701" s="787">
        <v>5000</v>
      </c>
      <c r="L701" s="787"/>
      <c r="M701" s="787">
        <v>111000</v>
      </c>
      <c r="N701" s="787">
        <v>107344.69</v>
      </c>
      <c r="O701" s="808">
        <f>N701/K701</f>
        <v>21.468938000000001</v>
      </c>
      <c r="P701" s="787"/>
      <c r="Q701" s="787"/>
      <c r="R701" s="787"/>
      <c r="S701" s="787"/>
      <c r="T701" s="817" t="s">
        <v>233</v>
      </c>
      <c r="U701" s="787"/>
      <c r="V701" s="787"/>
      <c r="W701" s="787"/>
      <c r="X701" s="787"/>
      <c r="Y701" s="808"/>
      <c r="Z701" s="787"/>
      <c r="AA701" s="787"/>
      <c r="AB701" s="787"/>
      <c r="AC701" s="787"/>
      <c r="AD701" s="787"/>
      <c r="AE701" s="787"/>
      <c r="AF701" s="787"/>
      <c r="AG701" s="787"/>
      <c r="AH701" s="808"/>
      <c r="AI701" s="787"/>
      <c r="AJ701" s="787">
        <f t="shared" si="41"/>
        <v>0</v>
      </c>
      <c r="AK701" s="787"/>
      <c r="AL701" s="787"/>
      <c r="AM701" s="822"/>
      <c r="AN701" s="822"/>
      <c r="AO701" s="822"/>
      <c r="AP701" s="822"/>
      <c r="AQ701" s="822"/>
      <c r="AR701" s="822"/>
      <c r="AS701" s="822"/>
      <c r="AT701" s="822"/>
      <c r="AU701" s="282" t="s">
        <v>2118</v>
      </c>
      <c r="AV701" s="815"/>
      <c r="AW701" s="815"/>
      <c r="AX701" s="815"/>
      <c r="AY701" s="815"/>
      <c r="AZ701" s="815"/>
      <c r="BA701" s="815"/>
      <c r="BB701" s="815"/>
      <c r="BC701" s="815"/>
      <c r="BD701" s="815"/>
      <c r="BE701" s="815"/>
      <c r="BF701" s="815"/>
      <c r="BG701" s="815"/>
      <c r="BH701" s="815"/>
      <c r="BI701" s="815"/>
      <c r="BJ701" s="815"/>
      <c r="BK701" s="815"/>
      <c r="BL701" s="815"/>
      <c r="BM701" s="815"/>
      <c r="BN701" s="815"/>
      <c r="BO701" s="815"/>
      <c r="BP701" s="815"/>
      <c r="BQ701" s="815"/>
      <c r="BR701" s="815"/>
      <c r="BS701" s="815"/>
      <c r="BT701" s="815"/>
      <c r="BU701" s="815"/>
      <c r="BV701" s="815"/>
      <c r="BW701" s="815"/>
      <c r="BX701" s="815"/>
      <c r="BY701" s="815"/>
      <c r="BZ701" s="815"/>
      <c r="CA701" s="815"/>
      <c r="CB701" s="815"/>
      <c r="CC701" s="815"/>
      <c r="CD701" s="815"/>
      <c r="CE701" s="815"/>
      <c r="CF701" s="815"/>
      <c r="CG701" s="815"/>
      <c r="CH701" s="815"/>
      <c r="CI701" s="815"/>
      <c r="CJ701" s="815"/>
      <c r="CK701" s="815"/>
      <c r="CL701" s="815"/>
      <c r="CM701" s="815"/>
      <c r="CN701" s="815"/>
      <c r="CO701" s="815"/>
      <c r="CP701" s="815"/>
      <c r="CQ701" s="815"/>
      <c r="CR701" s="815"/>
      <c r="CS701" s="815"/>
      <c r="CT701" s="815"/>
      <c r="CU701" s="815"/>
      <c r="CV701" s="815"/>
      <c r="CW701" s="815"/>
      <c r="CX701" s="815"/>
      <c r="CY701" s="815"/>
      <c r="CZ701" s="815"/>
      <c r="DA701" s="815"/>
      <c r="DB701" s="815"/>
      <c r="DC701" s="815"/>
      <c r="DD701" s="815"/>
      <c r="DE701" s="815"/>
      <c r="DF701" s="815"/>
      <c r="DG701" s="815"/>
      <c r="DH701" s="815"/>
      <c r="DI701" s="815"/>
      <c r="DJ701" s="815"/>
      <c r="DK701" s="815"/>
      <c r="DL701" s="815"/>
      <c r="DM701" s="815"/>
      <c r="DN701" s="815"/>
      <c r="DO701" s="815"/>
      <c r="DP701" s="815"/>
      <c r="DQ701" s="815"/>
      <c r="DR701" s="815"/>
      <c r="DS701" s="815"/>
      <c r="DT701" s="815"/>
      <c r="DU701" s="815"/>
      <c r="DV701" s="815"/>
      <c r="DW701" s="815"/>
      <c r="DX701" s="815"/>
      <c r="DY701" s="815"/>
      <c r="DZ701" s="815"/>
      <c r="EA701" s="815"/>
      <c r="EB701" s="815"/>
      <c r="EC701" s="815"/>
      <c r="ED701" s="815"/>
      <c r="EE701" s="815"/>
      <c r="EF701" s="815"/>
      <c r="EG701" s="815"/>
      <c r="EH701" s="815"/>
      <c r="EI701" s="815"/>
      <c r="EJ701" s="815"/>
      <c r="EK701" s="815"/>
      <c r="EL701" s="815"/>
      <c r="EM701" s="815"/>
      <c r="EN701" s="815"/>
      <c r="EO701" s="815"/>
      <c r="EP701" s="815"/>
      <c r="EQ701" s="815"/>
      <c r="ER701" s="815"/>
      <c r="ES701" s="815"/>
      <c r="ET701" s="815"/>
      <c r="EU701" s="815"/>
      <c r="EV701" s="815"/>
      <c r="EW701" s="815"/>
      <c r="EX701" s="815"/>
      <c r="EY701" s="815"/>
      <c r="EZ701" s="815"/>
      <c r="FA701" s="815"/>
      <c r="FB701" s="815"/>
      <c r="FC701" s="815"/>
      <c r="FD701" s="815"/>
      <c r="FE701" s="815"/>
      <c r="FF701" s="815"/>
      <c r="FG701" s="815"/>
      <c r="FH701" s="815"/>
      <c r="FI701" s="815"/>
      <c r="FJ701" s="815"/>
      <c r="FK701" s="815"/>
      <c r="FL701" s="815"/>
      <c r="FM701" s="815"/>
      <c r="FN701" s="815"/>
      <c r="FO701" s="815"/>
      <c r="FP701" s="815"/>
      <c r="FQ701" s="815"/>
      <c r="FR701" s="815"/>
      <c r="FS701" s="815"/>
      <c r="FT701" s="815"/>
      <c r="FU701" s="815"/>
      <c r="FV701" s="815"/>
      <c r="FW701" s="815"/>
      <c r="FX701" s="815"/>
      <c r="FY701" s="815"/>
      <c r="FZ701" s="815"/>
      <c r="GA701" s="815"/>
      <c r="GB701" s="815"/>
      <c r="GC701" s="815"/>
      <c r="GD701" s="815"/>
      <c r="GE701" s="815"/>
      <c r="GF701" s="815"/>
      <c r="GG701" s="815"/>
      <c r="GH701" s="815"/>
      <c r="GI701" s="815"/>
      <c r="GJ701" s="815"/>
      <c r="GK701" s="815"/>
      <c r="GL701" s="815"/>
      <c r="GM701" s="815"/>
      <c r="GN701" s="815"/>
      <c r="GO701" s="815"/>
      <c r="GP701" s="815"/>
      <c r="GQ701" s="815"/>
      <c r="GR701" s="815"/>
      <c r="GS701" s="815"/>
      <c r="GT701" s="815"/>
      <c r="GU701" s="815"/>
      <c r="GV701" s="815"/>
      <c r="GW701" s="815"/>
      <c r="GX701" s="815"/>
      <c r="GY701" s="815"/>
      <c r="GZ701" s="815"/>
      <c r="HA701" s="815"/>
      <c r="HB701" s="815"/>
      <c r="HC701" s="815"/>
      <c r="HD701" s="815"/>
      <c r="HE701" s="815"/>
      <c r="HF701" s="815"/>
      <c r="HG701" s="815"/>
      <c r="HH701" s="815"/>
      <c r="HI701" s="815"/>
      <c r="HJ701" s="815"/>
      <c r="HK701" s="815"/>
      <c r="HL701" s="815"/>
      <c r="HM701" s="815"/>
      <c r="HN701" s="815"/>
      <c r="HO701" s="815"/>
      <c r="HP701" s="815"/>
      <c r="HQ701" s="815"/>
      <c r="HR701" s="815"/>
      <c r="HS701" s="815"/>
      <c r="HT701" s="815"/>
      <c r="HU701" s="815"/>
      <c r="HV701" s="815"/>
      <c r="HW701" s="815"/>
      <c r="HX701" s="815"/>
      <c r="HY701" s="815"/>
      <c r="HZ701" s="815"/>
      <c r="IA701" s="815"/>
      <c r="IB701" s="815"/>
      <c r="IC701" s="815"/>
      <c r="ID701" s="815"/>
      <c r="IE701" s="815"/>
      <c r="IF701" s="815"/>
      <c r="IG701" s="815"/>
      <c r="IH701" s="815"/>
      <c r="II701" s="815"/>
      <c r="IJ701" s="815"/>
      <c r="IK701" s="815"/>
      <c r="IL701" s="815"/>
      <c r="IM701" s="815"/>
      <c r="IN701" s="815"/>
      <c r="IO701" s="815"/>
      <c r="IP701" s="815"/>
      <c r="IQ701" s="815"/>
      <c r="IR701" s="815"/>
      <c r="IS701" s="815"/>
      <c r="IT701" s="815"/>
      <c r="IU701" s="815"/>
      <c r="IV701" s="815"/>
      <c r="IW701" s="815"/>
      <c r="IX701" s="815"/>
      <c r="IY701" s="815"/>
      <c r="IZ701" s="815"/>
      <c r="JA701" s="815"/>
      <c r="JB701" s="815"/>
      <c r="JC701" s="815"/>
      <c r="JD701" s="815"/>
      <c r="JE701" s="815"/>
      <c r="JF701" s="815"/>
      <c r="JG701" s="815"/>
      <c r="JH701" s="815"/>
      <c r="JI701" s="815"/>
      <c r="JJ701" s="815"/>
      <c r="JK701" s="815"/>
      <c r="JL701" s="815"/>
      <c r="JM701" s="815"/>
      <c r="JN701" s="815"/>
      <c r="JO701" s="815"/>
      <c r="JP701" s="815"/>
      <c r="JQ701" s="815"/>
      <c r="JR701" s="815"/>
      <c r="JS701" s="815"/>
      <c r="JT701" s="815"/>
      <c r="JU701" s="815"/>
      <c r="JV701" s="815"/>
      <c r="JW701" s="815"/>
      <c r="JX701" s="815"/>
      <c r="JY701" s="815"/>
      <c r="JZ701" s="815"/>
      <c r="KA701" s="815"/>
      <c r="KB701" s="815"/>
      <c r="KC701" s="815"/>
      <c r="KD701" s="815"/>
      <c r="KE701" s="815"/>
      <c r="KF701" s="815"/>
      <c r="KG701" s="815"/>
      <c r="KH701" s="815"/>
      <c r="KI701" s="815"/>
      <c r="KJ701" s="815"/>
      <c r="KK701" s="815"/>
      <c r="KL701" s="815"/>
      <c r="KM701" s="815"/>
      <c r="KN701" s="815"/>
    </row>
    <row r="702" spans="1:300" s="821" customFormat="1" ht="15">
      <c r="A702" s="794">
        <v>700</v>
      </c>
      <c r="B702" s="825" t="s">
        <v>2129</v>
      </c>
      <c r="C702" s="785" t="s">
        <v>1286</v>
      </c>
      <c r="D702" s="824">
        <v>38626</v>
      </c>
      <c r="E702" s="824">
        <v>38687</v>
      </c>
      <c r="F702" s="791">
        <v>2005</v>
      </c>
      <c r="G702" s="821" t="s">
        <v>2128</v>
      </c>
      <c r="H702" s="821" t="s">
        <v>1450</v>
      </c>
      <c r="I702" s="823" t="s">
        <v>2147</v>
      </c>
      <c r="J702" s="790" t="s">
        <v>2440</v>
      </c>
      <c r="K702" s="787">
        <v>400000</v>
      </c>
      <c r="L702" s="787"/>
      <c r="M702" s="787"/>
      <c r="N702" s="787">
        <v>20482.12</v>
      </c>
      <c r="O702" s="808">
        <f>N702/K702</f>
        <v>5.1205299999999995E-2</v>
      </c>
      <c r="P702" s="787"/>
      <c r="Q702" s="787"/>
      <c r="R702" s="787"/>
      <c r="S702" s="787"/>
      <c r="T702" s="817" t="s">
        <v>233</v>
      </c>
      <c r="U702" s="787"/>
      <c r="V702" s="787"/>
      <c r="W702" s="787"/>
      <c r="X702" s="787"/>
      <c r="Y702" s="808"/>
      <c r="Z702" s="787">
        <v>455000</v>
      </c>
      <c r="AA702" s="787"/>
      <c r="AB702" s="787"/>
      <c r="AC702" s="787"/>
      <c r="AD702" s="787"/>
      <c r="AE702" s="787"/>
      <c r="AF702" s="787"/>
      <c r="AG702" s="787"/>
      <c r="AH702" s="808"/>
      <c r="AI702" s="787"/>
      <c r="AJ702" s="787">
        <f t="shared" si="41"/>
        <v>455000</v>
      </c>
      <c r="AK702" s="787"/>
      <c r="AL702" s="787"/>
      <c r="AM702" s="822"/>
      <c r="AN702" s="822"/>
      <c r="AO702" s="822"/>
      <c r="AP702" s="822"/>
      <c r="AQ702" s="822"/>
      <c r="AR702" s="822"/>
      <c r="AS702" s="822"/>
      <c r="AT702" s="822"/>
      <c r="AU702" s="282" t="s">
        <v>2105</v>
      </c>
      <c r="AV702" s="815"/>
      <c r="AW702" s="815"/>
      <c r="AX702" s="815"/>
      <c r="AY702" s="815"/>
      <c r="AZ702" s="815"/>
      <c r="BA702" s="815"/>
      <c r="BB702" s="815"/>
      <c r="BC702" s="815"/>
      <c r="BD702" s="815"/>
      <c r="BE702" s="815"/>
      <c r="BF702" s="815"/>
      <c r="BG702" s="815"/>
      <c r="BH702" s="815"/>
      <c r="BI702" s="815"/>
      <c r="BJ702" s="815"/>
      <c r="BK702" s="815"/>
      <c r="BL702" s="815"/>
      <c r="BM702" s="815"/>
      <c r="BN702" s="815"/>
      <c r="BO702" s="815"/>
      <c r="BP702" s="815"/>
      <c r="BQ702" s="815"/>
      <c r="BR702" s="815"/>
      <c r="BS702" s="815"/>
      <c r="BT702" s="815"/>
      <c r="BU702" s="815"/>
      <c r="BV702" s="815"/>
      <c r="BW702" s="815"/>
      <c r="BX702" s="815"/>
      <c r="BY702" s="815"/>
      <c r="BZ702" s="815"/>
      <c r="CA702" s="815"/>
      <c r="CB702" s="815"/>
      <c r="CC702" s="815"/>
      <c r="CD702" s="815"/>
      <c r="CE702" s="815"/>
      <c r="CF702" s="815"/>
      <c r="CG702" s="815"/>
      <c r="CH702" s="815"/>
      <c r="CI702" s="815"/>
      <c r="CJ702" s="815"/>
      <c r="CK702" s="815"/>
      <c r="CL702" s="815"/>
      <c r="CM702" s="815"/>
      <c r="CN702" s="815"/>
      <c r="CO702" s="815"/>
      <c r="CP702" s="815"/>
      <c r="CQ702" s="815"/>
      <c r="CR702" s="815"/>
      <c r="CS702" s="815"/>
      <c r="CT702" s="815"/>
      <c r="CU702" s="815"/>
      <c r="CV702" s="815"/>
      <c r="CW702" s="815"/>
      <c r="CX702" s="815"/>
      <c r="CY702" s="815"/>
      <c r="CZ702" s="815"/>
      <c r="DA702" s="815"/>
      <c r="DB702" s="815"/>
      <c r="DC702" s="815"/>
      <c r="DD702" s="815"/>
      <c r="DE702" s="815"/>
      <c r="DF702" s="815"/>
      <c r="DG702" s="815"/>
      <c r="DH702" s="815"/>
      <c r="DI702" s="815"/>
      <c r="DJ702" s="815"/>
      <c r="DK702" s="815"/>
      <c r="DL702" s="815"/>
      <c r="DM702" s="815"/>
      <c r="DN702" s="815"/>
      <c r="DO702" s="815"/>
      <c r="DP702" s="815"/>
      <c r="DQ702" s="815"/>
      <c r="DR702" s="815"/>
      <c r="DS702" s="815"/>
      <c r="DT702" s="815"/>
      <c r="DU702" s="815"/>
      <c r="DV702" s="815"/>
      <c r="DW702" s="815"/>
      <c r="DX702" s="815"/>
      <c r="DY702" s="815"/>
      <c r="DZ702" s="815"/>
      <c r="EA702" s="815"/>
      <c r="EB702" s="815"/>
      <c r="EC702" s="815"/>
      <c r="ED702" s="815"/>
      <c r="EE702" s="815"/>
      <c r="EF702" s="815"/>
      <c r="EG702" s="815"/>
      <c r="EH702" s="815"/>
      <c r="EI702" s="815"/>
      <c r="EJ702" s="815"/>
      <c r="EK702" s="815"/>
      <c r="EL702" s="815"/>
      <c r="EM702" s="815"/>
      <c r="EN702" s="815"/>
      <c r="EO702" s="815"/>
      <c r="EP702" s="815"/>
      <c r="EQ702" s="815"/>
      <c r="ER702" s="815"/>
      <c r="ES702" s="815"/>
      <c r="ET702" s="815"/>
      <c r="EU702" s="815"/>
      <c r="EV702" s="815"/>
      <c r="EW702" s="815"/>
      <c r="EX702" s="815"/>
      <c r="EY702" s="815"/>
      <c r="EZ702" s="815"/>
      <c r="FA702" s="815"/>
      <c r="FB702" s="815"/>
      <c r="FC702" s="815"/>
      <c r="FD702" s="815"/>
      <c r="FE702" s="815"/>
      <c r="FF702" s="815"/>
      <c r="FG702" s="815"/>
      <c r="FH702" s="815"/>
      <c r="FI702" s="815"/>
      <c r="FJ702" s="815"/>
      <c r="FK702" s="815"/>
      <c r="FL702" s="815"/>
      <c r="FM702" s="815"/>
      <c r="FN702" s="815"/>
      <c r="FO702" s="815"/>
      <c r="FP702" s="815"/>
      <c r="FQ702" s="815"/>
      <c r="FR702" s="815"/>
      <c r="FS702" s="815"/>
      <c r="FT702" s="815"/>
      <c r="FU702" s="815"/>
      <c r="FV702" s="815"/>
      <c r="FW702" s="815"/>
      <c r="FX702" s="815"/>
      <c r="FY702" s="815"/>
      <c r="FZ702" s="815"/>
      <c r="GA702" s="815"/>
      <c r="GB702" s="815"/>
      <c r="GC702" s="815"/>
      <c r="GD702" s="815"/>
      <c r="GE702" s="815"/>
      <c r="GF702" s="815"/>
      <c r="GG702" s="815"/>
      <c r="GH702" s="815"/>
      <c r="GI702" s="815"/>
      <c r="GJ702" s="815"/>
      <c r="GK702" s="815"/>
      <c r="GL702" s="815"/>
      <c r="GM702" s="815"/>
      <c r="GN702" s="815"/>
      <c r="GO702" s="815"/>
      <c r="GP702" s="815"/>
      <c r="GQ702" s="815"/>
      <c r="GR702" s="815"/>
      <c r="GS702" s="815"/>
      <c r="GT702" s="815"/>
      <c r="GU702" s="815"/>
      <c r="GV702" s="815"/>
      <c r="GW702" s="815"/>
      <c r="GX702" s="815"/>
      <c r="GY702" s="815"/>
      <c r="GZ702" s="815"/>
      <c r="HA702" s="815"/>
      <c r="HB702" s="815"/>
      <c r="HC702" s="815"/>
      <c r="HD702" s="815"/>
      <c r="HE702" s="815"/>
      <c r="HF702" s="815"/>
      <c r="HG702" s="815"/>
      <c r="HH702" s="815"/>
      <c r="HI702" s="815"/>
      <c r="HJ702" s="815"/>
      <c r="HK702" s="815"/>
      <c r="HL702" s="815"/>
      <c r="HM702" s="815"/>
      <c r="HN702" s="815"/>
      <c r="HO702" s="815"/>
      <c r="HP702" s="815"/>
      <c r="HQ702" s="815"/>
      <c r="HR702" s="815"/>
      <c r="HS702" s="815"/>
      <c r="HT702" s="815"/>
      <c r="HU702" s="815"/>
      <c r="HV702" s="815"/>
      <c r="HW702" s="815"/>
      <c r="HX702" s="815"/>
      <c r="HY702" s="815"/>
      <c r="HZ702" s="815"/>
      <c r="IA702" s="815"/>
      <c r="IB702" s="815"/>
      <c r="IC702" s="815"/>
      <c r="ID702" s="815"/>
      <c r="IE702" s="815"/>
      <c r="IF702" s="815"/>
      <c r="IG702" s="815"/>
      <c r="IH702" s="815"/>
      <c r="II702" s="815"/>
      <c r="IJ702" s="815"/>
      <c r="IK702" s="815"/>
      <c r="IL702" s="815"/>
      <c r="IM702" s="815"/>
      <c r="IN702" s="815"/>
      <c r="IO702" s="815"/>
      <c r="IP702" s="815"/>
      <c r="IQ702" s="815"/>
      <c r="IR702" s="815"/>
      <c r="IS702" s="815"/>
      <c r="IT702" s="815"/>
      <c r="IU702" s="815"/>
      <c r="IV702" s="815"/>
      <c r="IW702" s="815"/>
      <c r="IX702" s="815"/>
      <c r="IY702" s="815"/>
      <c r="IZ702" s="815"/>
      <c r="JA702" s="815"/>
      <c r="JB702" s="815"/>
      <c r="JC702" s="815"/>
      <c r="JD702" s="815"/>
      <c r="JE702" s="815"/>
      <c r="JF702" s="815"/>
      <c r="JG702" s="815"/>
      <c r="JH702" s="815"/>
      <c r="JI702" s="815"/>
      <c r="JJ702" s="815"/>
      <c r="JK702" s="815"/>
      <c r="JL702" s="815"/>
      <c r="JM702" s="815"/>
      <c r="JN702" s="815"/>
      <c r="JO702" s="815"/>
      <c r="JP702" s="815"/>
      <c r="JQ702" s="815"/>
      <c r="JR702" s="815"/>
      <c r="JS702" s="815"/>
      <c r="JT702" s="815"/>
      <c r="JU702" s="815"/>
      <c r="JV702" s="815"/>
      <c r="JW702" s="815"/>
      <c r="JX702" s="815"/>
      <c r="JY702" s="815"/>
      <c r="JZ702" s="815"/>
      <c r="KA702" s="815"/>
      <c r="KB702" s="815"/>
      <c r="KC702" s="815"/>
      <c r="KD702" s="815"/>
      <c r="KE702" s="815"/>
      <c r="KF702" s="815"/>
      <c r="KG702" s="815"/>
      <c r="KH702" s="815"/>
      <c r="KI702" s="815"/>
      <c r="KJ702" s="815"/>
      <c r="KK702" s="815"/>
      <c r="KL702" s="815"/>
      <c r="KM702" s="815"/>
      <c r="KN702" s="815"/>
    </row>
    <row r="703" spans="1:300" s="811" customFormat="1" ht="15">
      <c r="A703" s="794">
        <v>701</v>
      </c>
      <c r="B703" s="833" t="s">
        <v>143</v>
      </c>
      <c r="C703" s="833" t="s">
        <v>1299</v>
      </c>
      <c r="D703" s="828">
        <v>38412</v>
      </c>
      <c r="E703" s="828">
        <v>38534</v>
      </c>
      <c r="F703" s="791">
        <v>2005</v>
      </c>
      <c r="G703" s="811" t="s">
        <v>168</v>
      </c>
      <c r="H703" s="811" t="s">
        <v>2096</v>
      </c>
      <c r="I703" s="832" t="s">
        <v>2163</v>
      </c>
      <c r="J703" s="810" t="s">
        <v>2441</v>
      </c>
      <c r="K703" s="827"/>
      <c r="L703" s="827"/>
      <c r="M703" s="827"/>
      <c r="N703" s="827">
        <v>17040</v>
      </c>
      <c r="O703" s="808"/>
      <c r="P703" s="827"/>
      <c r="Q703" s="827"/>
      <c r="R703" s="827"/>
      <c r="S703" s="827"/>
      <c r="T703" s="817" t="s">
        <v>233</v>
      </c>
      <c r="U703" s="827"/>
      <c r="V703" s="827"/>
      <c r="W703" s="827"/>
      <c r="X703" s="827"/>
      <c r="Y703" s="808"/>
      <c r="Z703" s="827"/>
      <c r="AA703" s="827"/>
      <c r="AB703" s="827"/>
      <c r="AC703" s="827"/>
      <c r="AD703" s="827"/>
      <c r="AE703" s="827"/>
      <c r="AF703" s="827"/>
      <c r="AG703" s="827"/>
      <c r="AH703" s="808"/>
      <c r="AI703" s="827"/>
      <c r="AJ703" s="787">
        <f t="shared" si="41"/>
        <v>0</v>
      </c>
      <c r="AK703" s="827"/>
      <c r="AL703" s="827"/>
      <c r="AM703" s="826"/>
      <c r="AN703" s="826"/>
      <c r="AO703" s="826"/>
      <c r="AP703" s="826"/>
      <c r="AQ703" s="826"/>
      <c r="AR703" s="826"/>
      <c r="AS703" s="826"/>
      <c r="AT703" s="826"/>
      <c r="AV703" s="815"/>
      <c r="AW703" s="815"/>
      <c r="AX703" s="815"/>
      <c r="AY703" s="815"/>
      <c r="AZ703" s="815"/>
      <c r="BA703" s="815"/>
      <c r="BB703" s="815"/>
      <c r="BC703" s="815"/>
      <c r="BD703" s="815"/>
      <c r="BE703" s="815"/>
      <c r="BF703" s="815"/>
      <c r="BG703" s="815"/>
      <c r="BH703" s="815"/>
      <c r="BI703" s="815"/>
      <c r="BJ703" s="815"/>
      <c r="BK703" s="815"/>
      <c r="BL703" s="815"/>
      <c r="BM703" s="815"/>
      <c r="BN703" s="815"/>
      <c r="BO703" s="815"/>
      <c r="BP703" s="815"/>
      <c r="BQ703" s="815"/>
      <c r="BR703" s="815"/>
      <c r="BS703" s="815"/>
      <c r="BT703" s="815"/>
      <c r="BU703" s="815"/>
      <c r="BV703" s="815"/>
      <c r="BW703" s="815"/>
      <c r="BX703" s="815"/>
      <c r="BY703" s="815"/>
      <c r="BZ703" s="815"/>
      <c r="CA703" s="815"/>
      <c r="CB703" s="815"/>
      <c r="CC703" s="815"/>
      <c r="CD703" s="815"/>
      <c r="CE703" s="815"/>
      <c r="CF703" s="815"/>
      <c r="CG703" s="815"/>
      <c r="CH703" s="815"/>
      <c r="CI703" s="815"/>
      <c r="CJ703" s="815"/>
      <c r="CK703" s="815"/>
      <c r="CL703" s="815"/>
      <c r="CM703" s="815"/>
      <c r="CN703" s="815"/>
      <c r="CO703" s="815"/>
      <c r="CP703" s="815"/>
      <c r="CQ703" s="815"/>
      <c r="CR703" s="815"/>
      <c r="CS703" s="815"/>
      <c r="CT703" s="815"/>
      <c r="CU703" s="815"/>
      <c r="CV703" s="815"/>
      <c r="CW703" s="815"/>
      <c r="CX703" s="815"/>
      <c r="CY703" s="815"/>
      <c r="CZ703" s="815"/>
      <c r="DA703" s="815"/>
      <c r="DB703" s="815"/>
      <c r="DC703" s="815"/>
      <c r="DD703" s="815"/>
      <c r="DE703" s="815"/>
      <c r="DF703" s="815"/>
      <c r="DG703" s="815"/>
      <c r="DH703" s="815"/>
      <c r="DI703" s="815"/>
      <c r="DJ703" s="815"/>
      <c r="DK703" s="815"/>
      <c r="DL703" s="815"/>
      <c r="DM703" s="815"/>
      <c r="DN703" s="815"/>
      <c r="DO703" s="815"/>
      <c r="DP703" s="815"/>
      <c r="DQ703" s="815"/>
      <c r="DR703" s="815"/>
      <c r="DS703" s="815"/>
      <c r="DT703" s="815"/>
      <c r="DU703" s="815"/>
      <c r="DV703" s="815"/>
      <c r="DW703" s="815"/>
      <c r="DX703" s="815"/>
      <c r="DY703" s="815"/>
      <c r="DZ703" s="815"/>
      <c r="EA703" s="815"/>
      <c r="EB703" s="815"/>
      <c r="EC703" s="815"/>
      <c r="ED703" s="815"/>
      <c r="EE703" s="815"/>
      <c r="EF703" s="815"/>
      <c r="EG703" s="815"/>
      <c r="EH703" s="815"/>
      <c r="EI703" s="815"/>
      <c r="EJ703" s="815"/>
      <c r="EK703" s="815"/>
      <c r="EL703" s="815"/>
      <c r="EM703" s="815"/>
      <c r="EN703" s="815"/>
      <c r="EO703" s="815"/>
      <c r="EP703" s="815"/>
      <c r="EQ703" s="815"/>
      <c r="ER703" s="815"/>
      <c r="ES703" s="815"/>
      <c r="ET703" s="815"/>
      <c r="EU703" s="815"/>
      <c r="EV703" s="815"/>
      <c r="EW703" s="815"/>
      <c r="EX703" s="815"/>
      <c r="EY703" s="815"/>
      <c r="EZ703" s="815"/>
      <c r="FA703" s="815"/>
      <c r="FB703" s="815"/>
      <c r="FC703" s="815"/>
      <c r="FD703" s="815"/>
      <c r="FE703" s="815"/>
      <c r="FF703" s="815"/>
      <c r="FG703" s="815"/>
      <c r="FH703" s="815"/>
      <c r="FI703" s="815"/>
      <c r="FJ703" s="815"/>
      <c r="FK703" s="815"/>
      <c r="FL703" s="815"/>
      <c r="FM703" s="815"/>
      <c r="FN703" s="815"/>
      <c r="FO703" s="815"/>
      <c r="FP703" s="815"/>
      <c r="FQ703" s="815"/>
      <c r="FR703" s="815"/>
      <c r="FS703" s="815"/>
      <c r="FT703" s="815"/>
      <c r="FU703" s="815"/>
      <c r="FV703" s="815"/>
      <c r="FW703" s="815"/>
      <c r="FX703" s="815"/>
      <c r="FY703" s="815"/>
      <c r="FZ703" s="815"/>
      <c r="GA703" s="815"/>
      <c r="GB703" s="815"/>
      <c r="GC703" s="815"/>
      <c r="GD703" s="815"/>
      <c r="GE703" s="815"/>
      <c r="GF703" s="815"/>
      <c r="GG703" s="815"/>
      <c r="GH703" s="815"/>
      <c r="GI703" s="815"/>
      <c r="GJ703" s="815"/>
      <c r="GK703" s="815"/>
      <c r="GL703" s="815"/>
      <c r="GM703" s="815"/>
      <c r="GN703" s="815"/>
      <c r="GO703" s="815"/>
      <c r="GP703" s="815"/>
      <c r="GQ703" s="815"/>
      <c r="GR703" s="815"/>
      <c r="GS703" s="815"/>
      <c r="GT703" s="815"/>
      <c r="GU703" s="815"/>
      <c r="GV703" s="815"/>
      <c r="GW703" s="815"/>
      <c r="GX703" s="815"/>
      <c r="GY703" s="815"/>
      <c r="GZ703" s="815"/>
      <c r="HA703" s="815"/>
      <c r="HB703" s="815"/>
      <c r="HC703" s="815"/>
      <c r="HD703" s="815"/>
      <c r="HE703" s="815"/>
      <c r="HF703" s="815"/>
      <c r="HG703" s="815"/>
      <c r="HH703" s="815"/>
      <c r="HI703" s="815"/>
      <c r="HJ703" s="815"/>
      <c r="HK703" s="815"/>
      <c r="HL703" s="815"/>
      <c r="HM703" s="815"/>
      <c r="HN703" s="815"/>
      <c r="HO703" s="815"/>
      <c r="HP703" s="815"/>
      <c r="HQ703" s="815"/>
      <c r="HR703" s="815"/>
      <c r="HS703" s="815"/>
      <c r="HT703" s="815"/>
      <c r="HU703" s="815"/>
      <c r="HV703" s="815"/>
      <c r="HW703" s="815"/>
      <c r="HX703" s="815"/>
      <c r="HY703" s="815"/>
      <c r="HZ703" s="815"/>
      <c r="IA703" s="815"/>
      <c r="IB703" s="815"/>
      <c r="IC703" s="815"/>
      <c r="ID703" s="815"/>
      <c r="IE703" s="815"/>
      <c r="IF703" s="815"/>
      <c r="IG703" s="815"/>
      <c r="IH703" s="815"/>
      <c r="II703" s="815"/>
      <c r="IJ703" s="815"/>
      <c r="IK703" s="815"/>
      <c r="IL703" s="815"/>
      <c r="IM703" s="815"/>
      <c r="IN703" s="815"/>
      <c r="IO703" s="815"/>
      <c r="IP703" s="815"/>
      <c r="IQ703" s="815"/>
      <c r="IR703" s="815"/>
      <c r="IS703" s="815"/>
      <c r="IT703" s="815"/>
      <c r="IU703" s="815"/>
      <c r="IV703" s="815"/>
      <c r="IW703" s="815"/>
      <c r="IX703" s="815"/>
      <c r="IY703" s="815"/>
      <c r="IZ703" s="815"/>
      <c r="JA703" s="815"/>
      <c r="JB703" s="815"/>
      <c r="JC703" s="815"/>
      <c r="JD703" s="815"/>
      <c r="JE703" s="815"/>
      <c r="JF703" s="815"/>
      <c r="JG703" s="815"/>
      <c r="JH703" s="815"/>
      <c r="JI703" s="815"/>
      <c r="JJ703" s="815"/>
      <c r="JK703" s="815"/>
      <c r="JL703" s="815"/>
      <c r="JM703" s="815"/>
      <c r="JN703" s="815"/>
      <c r="JO703" s="815"/>
      <c r="JP703" s="815"/>
      <c r="JQ703" s="815"/>
      <c r="JR703" s="815"/>
      <c r="JS703" s="815"/>
      <c r="JT703" s="815"/>
      <c r="JU703" s="815"/>
      <c r="JV703" s="815"/>
      <c r="JW703" s="815"/>
      <c r="JX703" s="815"/>
      <c r="JY703" s="815"/>
      <c r="JZ703" s="815"/>
      <c r="KA703" s="815"/>
      <c r="KB703" s="815"/>
      <c r="KC703" s="815"/>
      <c r="KD703" s="815"/>
      <c r="KE703" s="815"/>
      <c r="KF703" s="815"/>
      <c r="KG703" s="815"/>
      <c r="KH703" s="815"/>
      <c r="KI703" s="815"/>
      <c r="KJ703" s="815"/>
      <c r="KK703" s="815"/>
      <c r="KL703" s="815"/>
      <c r="KM703" s="815"/>
      <c r="KN703" s="815"/>
    </row>
    <row r="704" spans="1:300" s="811" customFormat="1" ht="15">
      <c r="A704" s="794">
        <v>702</v>
      </c>
      <c r="B704" s="833" t="s">
        <v>2151</v>
      </c>
      <c r="C704" s="833" t="s">
        <v>1261</v>
      </c>
      <c r="D704" s="828">
        <v>38443</v>
      </c>
      <c r="E704" s="828">
        <v>38535</v>
      </c>
      <c r="F704" s="791">
        <v>2005</v>
      </c>
      <c r="G704" s="811" t="s">
        <v>2150</v>
      </c>
      <c r="H704" s="811" t="s">
        <v>2469</v>
      </c>
      <c r="I704" s="832" t="s">
        <v>2165</v>
      </c>
      <c r="J704" s="810" t="s">
        <v>2441</v>
      </c>
      <c r="K704" s="827"/>
      <c r="L704" s="827"/>
      <c r="M704" s="827"/>
      <c r="N704" s="827">
        <v>29000</v>
      </c>
      <c r="O704" s="808"/>
      <c r="P704" s="827"/>
      <c r="Q704" s="827"/>
      <c r="R704" s="827"/>
      <c r="S704" s="827"/>
      <c r="T704" s="817" t="s">
        <v>233</v>
      </c>
      <c r="U704" s="827"/>
      <c r="V704" s="827"/>
      <c r="W704" s="827"/>
      <c r="X704" s="827"/>
      <c r="Y704" s="808"/>
      <c r="Z704" s="827"/>
      <c r="AA704" s="827"/>
      <c r="AB704" s="827"/>
      <c r="AC704" s="827"/>
      <c r="AD704" s="827"/>
      <c r="AE704" s="827"/>
      <c r="AF704" s="827"/>
      <c r="AG704" s="827"/>
      <c r="AH704" s="808"/>
      <c r="AI704" s="827"/>
      <c r="AJ704" s="787">
        <f t="shared" si="41"/>
        <v>0</v>
      </c>
      <c r="AK704" s="827"/>
      <c r="AL704" s="827"/>
      <c r="AM704" s="826"/>
      <c r="AN704" s="826"/>
      <c r="AO704" s="826"/>
      <c r="AP704" s="826"/>
      <c r="AQ704" s="826"/>
      <c r="AR704" s="826"/>
      <c r="AS704" s="826"/>
      <c r="AT704" s="826"/>
      <c r="AV704" s="815"/>
      <c r="AW704" s="815"/>
      <c r="AX704" s="815"/>
      <c r="AY704" s="815"/>
      <c r="AZ704" s="815"/>
      <c r="BA704" s="815"/>
      <c r="BB704" s="815"/>
      <c r="BC704" s="815"/>
      <c r="BD704" s="815"/>
      <c r="BE704" s="815"/>
      <c r="BF704" s="815"/>
      <c r="BG704" s="815"/>
      <c r="BH704" s="815"/>
      <c r="BI704" s="815"/>
      <c r="BJ704" s="815"/>
      <c r="BK704" s="815"/>
      <c r="BL704" s="815"/>
      <c r="BM704" s="815"/>
      <c r="BN704" s="815"/>
      <c r="BO704" s="815"/>
      <c r="BP704" s="815"/>
      <c r="BQ704" s="815"/>
      <c r="BR704" s="815"/>
      <c r="BS704" s="815"/>
      <c r="BT704" s="815"/>
      <c r="BU704" s="815"/>
      <c r="BV704" s="815"/>
      <c r="BW704" s="815"/>
      <c r="BX704" s="815"/>
      <c r="BY704" s="815"/>
      <c r="BZ704" s="815"/>
      <c r="CA704" s="815"/>
      <c r="CB704" s="815"/>
      <c r="CC704" s="815"/>
      <c r="CD704" s="815"/>
      <c r="CE704" s="815"/>
      <c r="CF704" s="815"/>
      <c r="CG704" s="815"/>
      <c r="CH704" s="815"/>
      <c r="CI704" s="815"/>
      <c r="CJ704" s="815"/>
      <c r="CK704" s="815"/>
      <c r="CL704" s="815"/>
      <c r="CM704" s="815"/>
      <c r="CN704" s="815"/>
      <c r="CO704" s="815"/>
      <c r="CP704" s="815"/>
      <c r="CQ704" s="815"/>
      <c r="CR704" s="815"/>
      <c r="CS704" s="815"/>
      <c r="CT704" s="815"/>
      <c r="CU704" s="815"/>
      <c r="CV704" s="815"/>
      <c r="CW704" s="815"/>
      <c r="CX704" s="815"/>
      <c r="CY704" s="815"/>
      <c r="CZ704" s="815"/>
      <c r="DA704" s="815"/>
      <c r="DB704" s="815"/>
      <c r="DC704" s="815"/>
      <c r="DD704" s="815"/>
      <c r="DE704" s="815"/>
      <c r="DF704" s="815"/>
      <c r="DG704" s="815"/>
      <c r="DH704" s="815"/>
      <c r="DI704" s="815"/>
      <c r="DJ704" s="815"/>
      <c r="DK704" s="815"/>
      <c r="DL704" s="815"/>
      <c r="DM704" s="815"/>
      <c r="DN704" s="815"/>
      <c r="DO704" s="815"/>
      <c r="DP704" s="815"/>
      <c r="DQ704" s="815"/>
      <c r="DR704" s="815"/>
      <c r="DS704" s="815"/>
      <c r="DT704" s="815"/>
      <c r="DU704" s="815"/>
      <c r="DV704" s="815"/>
      <c r="DW704" s="815"/>
      <c r="DX704" s="815"/>
      <c r="DY704" s="815"/>
      <c r="DZ704" s="815"/>
      <c r="EA704" s="815"/>
      <c r="EB704" s="815"/>
      <c r="EC704" s="815"/>
      <c r="ED704" s="815"/>
      <c r="EE704" s="815"/>
      <c r="EF704" s="815"/>
      <c r="EG704" s="815"/>
      <c r="EH704" s="815"/>
      <c r="EI704" s="815"/>
      <c r="EJ704" s="815"/>
      <c r="EK704" s="815"/>
      <c r="EL704" s="815"/>
      <c r="EM704" s="815"/>
      <c r="EN704" s="815"/>
      <c r="EO704" s="815"/>
      <c r="EP704" s="815"/>
      <c r="EQ704" s="815"/>
      <c r="ER704" s="815"/>
      <c r="ES704" s="815"/>
      <c r="ET704" s="815"/>
      <c r="EU704" s="815"/>
      <c r="EV704" s="815"/>
      <c r="EW704" s="815"/>
      <c r="EX704" s="815"/>
      <c r="EY704" s="815"/>
      <c r="EZ704" s="815"/>
      <c r="FA704" s="815"/>
      <c r="FB704" s="815"/>
      <c r="FC704" s="815"/>
      <c r="FD704" s="815"/>
      <c r="FE704" s="815"/>
      <c r="FF704" s="815"/>
      <c r="FG704" s="815"/>
      <c r="FH704" s="815"/>
      <c r="FI704" s="815"/>
      <c r="FJ704" s="815"/>
      <c r="FK704" s="815"/>
      <c r="FL704" s="815"/>
      <c r="FM704" s="815"/>
      <c r="FN704" s="815"/>
      <c r="FO704" s="815"/>
      <c r="FP704" s="815"/>
      <c r="FQ704" s="815"/>
      <c r="FR704" s="815"/>
      <c r="FS704" s="815"/>
      <c r="FT704" s="815"/>
      <c r="FU704" s="815"/>
      <c r="FV704" s="815"/>
      <c r="FW704" s="815"/>
      <c r="FX704" s="815"/>
      <c r="FY704" s="815"/>
      <c r="FZ704" s="815"/>
      <c r="GA704" s="815"/>
      <c r="GB704" s="815"/>
      <c r="GC704" s="815"/>
      <c r="GD704" s="815"/>
      <c r="GE704" s="815"/>
      <c r="GF704" s="815"/>
      <c r="GG704" s="815"/>
      <c r="GH704" s="815"/>
      <c r="GI704" s="815"/>
      <c r="GJ704" s="815"/>
      <c r="GK704" s="815"/>
      <c r="GL704" s="815"/>
      <c r="GM704" s="815"/>
      <c r="GN704" s="815"/>
      <c r="GO704" s="815"/>
      <c r="GP704" s="815"/>
      <c r="GQ704" s="815"/>
      <c r="GR704" s="815"/>
      <c r="GS704" s="815"/>
      <c r="GT704" s="815"/>
      <c r="GU704" s="815"/>
      <c r="GV704" s="815"/>
      <c r="GW704" s="815"/>
      <c r="GX704" s="815"/>
      <c r="GY704" s="815"/>
      <c r="GZ704" s="815"/>
      <c r="HA704" s="815"/>
      <c r="HB704" s="815"/>
      <c r="HC704" s="815"/>
      <c r="HD704" s="815"/>
      <c r="HE704" s="815"/>
      <c r="HF704" s="815"/>
      <c r="HG704" s="815"/>
      <c r="HH704" s="815"/>
      <c r="HI704" s="815"/>
      <c r="HJ704" s="815"/>
      <c r="HK704" s="815"/>
      <c r="HL704" s="815"/>
      <c r="HM704" s="815"/>
      <c r="HN704" s="815"/>
      <c r="HO704" s="815"/>
      <c r="HP704" s="815"/>
      <c r="HQ704" s="815"/>
      <c r="HR704" s="815"/>
      <c r="HS704" s="815"/>
      <c r="HT704" s="815"/>
      <c r="HU704" s="815"/>
      <c r="HV704" s="815"/>
      <c r="HW704" s="815"/>
      <c r="HX704" s="815"/>
      <c r="HY704" s="815"/>
      <c r="HZ704" s="815"/>
      <c r="IA704" s="815"/>
      <c r="IB704" s="815"/>
      <c r="IC704" s="815"/>
      <c r="ID704" s="815"/>
      <c r="IE704" s="815"/>
      <c r="IF704" s="815"/>
      <c r="IG704" s="815"/>
      <c r="IH704" s="815"/>
      <c r="II704" s="815"/>
      <c r="IJ704" s="815"/>
      <c r="IK704" s="815"/>
      <c r="IL704" s="815"/>
      <c r="IM704" s="815"/>
      <c r="IN704" s="815"/>
      <c r="IO704" s="815"/>
      <c r="IP704" s="815"/>
      <c r="IQ704" s="815"/>
      <c r="IR704" s="815"/>
      <c r="IS704" s="815"/>
      <c r="IT704" s="815"/>
      <c r="IU704" s="815"/>
      <c r="IV704" s="815"/>
      <c r="IW704" s="815"/>
      <c r="IX704" s="815"/>
      <c r="IY704" s="815"/>
      <c r="IZ704" s="815"/>
      <c r="JA704" s="815"/>
      <c r="JB704" s="815"/>
      <c r="JC704" s="815"/>
      <c r="JD704" s="815"/>
      <c r="JE704" s="815"/>
      <c r="JF704" s="815"/>
      <c r="JG704" s="815"/>
      <c r="JH704" s="815"/>
      <c r="JI704" s="815"/>
      <c r="JJ704" s="815"/>
      <c r="JK704" s="815"/>
      <c r="JL704" s="815"/>
      <c r="JM704" s="815"/>
      <c r="JN704" s="815"/>
      <c r="JO704" s="815"/>
      <c r="JP704" s="815"/>
      <c r="JQ704" s="815"/>
      <c r="JR704" s="815"/>
      <c r="JS704" s="815"/>
      <c r="JT704" s="815"/>
      <c r="JU704" s="815"/>
      <c r="JV704" s="815"/>
      <c r="JW704" s="815"/>
      <c r="JX704" s="815"/>
      <c r="JY704" s="815"/>
      <c r="JZ704" s="815"/>
      <c r="KA704" s="815"/>
      <c r="KB704" s="815"/>
      <c r="KC704" s="815"/>
      <c r="KD704" s="815"/>
      <c r="KE704" s="815"/>
      <c r="KF704" s="815"/>
      <c r="KG704" s="815"/>
      <c r="KH704" s="815"/>
      <c r="KI704" s="815"/>
      <c r="KJ704" s="815"/>
      <c r="KK704" s="815"/>
      <c r="KL704" s="815"/>
      <c r="KM704" s="815"/>
      <c r="KN704" s="815"/>
    </row>
    <row r="705" spans="1:300" s="821" customFormat="1" ht="15">
      <c r="A705" s="794">
        <v>703</v>
      </c>
      <c r="B705" s="825" t="s">
        <v>2049</v>
      </c>
      <c r="C705" s="785" t="s">
        <v>1286</v>
      </c>
      <c r="D705" s="824">
        <v>38596</v>
      </c>
      <c r="E705" s="824">
        <v>38687</v>
      </c>
      <c r="F705" s="791">
        <v>2005</v>
      </c>
      <c r="G705" s="821" t="s">
        <v>2114</v>
      </c>
      <c r="H705" s="811" t="s">
        <v>2469</v>
      </c>
      <c r="I705" s="823" t="s">
        <v>2146</v>
      </c>
      <c r="J705" s="812" t="s">
        <v>2438</v>
      </c>
      <c r="K705" s="787">
        <f>30000+25000+20000+200000+15000+25000+20000+5000</f>
        <v>340000</v>
      </c>
      <c r="L705" s="787">
        <v>1622621</v>
      </c>
      <c r="M705" s="787">
        <v>726254</v>
      </c>
      <c r="N705" s="787">
        <v>726668</v>
      </c>
      <c r="O705" s="808">
        <f>N705/K705</f>
        <v>2.1372588235294119</v>
      </c>
      <c r="P705" s="787">
        <f>(M705*100)/L705</f>
        <v>44.758079674797749</v>
      </c>
      <c r="Q705" s="787"/>
      <c r="R705" s="787"/>
      <c r="S705" s="787"/>
      <c r="T705" s="817" t="s">
        <v>233</v>
      </c>
      <c r="U705" s="787"/>
      <c r="V705" s="787"/>
      <c r="W705" s="787"/>
      <c r="X705" s="787"/>
      <c r="Y705" s="808"/>
      <c r="Z705" s="787"/>
      <c r="AA705" s="787"/>
      <c r="AB705" s="787" t="s">
        <v>134</v>
      </c>
      <c r="AC705" s="787"/>
      <c r="AD705" s="787"/>
      <c r="AE705" s="787"/>
      <c r="AF705" s="787"/>
      <c r="AG705" s="787"/>
      <c r="AH705" s="808"/>
      <c r="AI705" s="787"/>
      <c r="AJ705" s="787">
        <f t="shared" si="41"/>
        <v>0</v>
      </c>
      <c r="AK705" s="787"/>
      <c r="AL705" s="787"/>
      <c r="AM705" s="822"/>
      <c r="AN705" s="822"/>
      <c r="AO705" s="822"/>
      <c r="AP705" s="822"/>
      <c r="AQ705" s="822"/>
      <c r="AR705" s="822"/>
      <c r="AS705" s="822"/>
      <c r="AT705" s="822"/>
      <c r="AU705" s="282" t="s">
        <v>2106</v>
      </c>
      <c r="AV705" s="815"/>
      <c r="AW705" s="815"/>
      <c r="AX705" s="815"/>
      <c r="AY705" s="815"/>
      <c r="AZ705" s="815"/>
      <c r="BA705" s="815"/>
      <c r="BB705" s="815"/>
      <c r="BC705" s="815"/>
      <c r="BD705" s="815"/>
      <c r="BE705" s="815"/>
      <c r="BF705" s="815"/>
      <c r="BG705" s="815"/>
      <c r="BH705" s="815"/>
      <c r="BI705" s="815"/>
      <c r="BJ705" s="815"/>
      <c r="BK705" s="815"/>
      <c r="BL705" s="815"/>
      <c r="BM705" s="815"/>
      <c r="BN705" s="815"/>
      <c r="BO705" s="815"/>
      <c r="BP705" s="815"/>
      <c r="BQ705" s="815"/>
      <c r="BR705" s="815"/>
      <c r="BS705" s="815"/>
      <c r="BT705" s="815"/>
      <c r="BU705" s="815"/>
      <c r="BV705" s="815"/>
      <c r="BW705" s="815"/>
      <c r="BX705" s="815"/>
      <c r="BY705" s="815"/>
      <c r="BZ705" s="815"/>
      <c r="CA705" s="815"/>
      <c r="CB705" s="815"/>
      <c r="CC705" s="815"/>
      <c r="CD705" s="815"/>
      <c r="CE705" s="815"/>
      <c r="CF705" s="815"/>
      <c r="CG705" s="815"/>
      <c r="CH705" s="815"/>
      <c r="CI705" s="815"/>
      <c r="CJ705" s="815"/>
      <c r="CK705" s="815"/>
      <c r="CL705" s="815"/>
      <c r="CM705" s="815"/>
      <c r="CN705" s="815"/>
      <c r="CO705" s="815"/>
      <c r="CP705" s="815"/>
      <c r="CQ705" s="815"/>
      <c r="CR705" s="815"/>
      <c r="CS705" s="815"/>
      <c r="CT705" s="815"/>
      <c r="CU705" s="815"/>
      <c r="CV705" s="815"/>
      <c r="CW705" s="815"/>
      <c r="CX705" s="815"/>
      <c r="CY705" s="815"/>
      <c r="CZ705" s="815"/>
      <c r="DA705" s="815"/>
      <c r="DB705" s="815"/>
      <c r="DC705" s="815"/>
      <c r="DD705" s="815"/>
      <c r="DE705" s="815"/>
      <c r="DF705" s="815"/>
      <c r="DG705" s="815"/>
      <c r="DH705" s="815"/>
      <c r="DI705" s="815"/>
      <c r="DJ705" s="815"/>
      <c r="DK705" s="815"/>
      <c r="DL705" s="815"/>
      <c r="DM705" s="815"/>
      <c r="DN705" s="815"/>
      <c r="DO705" s="815"/>
      <c r="DP705" s="815"/>
      <c r="DQ705" s="815"/>
      <c r="DR705" s="815"/>
      <c r="DS705" s="815"/>
      <c r="DT705" s="815"/>
      <c r="DU705" s="815"/>
      <c r="DV705" s="815"/>
      <c r="DW705" s="815"/>
      <c r="DX705" s="815"/>
      <c r="DY705" s="815"/>
      <c r="DZ705" s="815"/>
      <c r="EA705" s="815"/>
      <c r="EB705" s="815"/>
      <c r="EC705" s="815"/>
      <c r="ED705" s="815"/>
      <c r="EE705" s="815"/>
      <c r="EF705" s="815"/>
      <c r="EG705" s="815"/>
      <c r="EH705" s="815"/>
      <c r="EI705" s="815"/>
      <c r="EJ705" s="815"/>
      <c r="EK705" s="815"/>
      <c r="EL705" s="815"/>
      <c r="EM705" s="815"/>
      <c r="EN705" s="815"/>
      <c r="EO705" s="815"/>
      <c r="EP705" s="815"/>
      <c r="EQ705" s="815"/>
      <c r="ER705" s="815"/>
      <c r="ES705" s="815"/>
      <c r="ET705" s="815"/>
      <c r="EU705" s="815"/>
      <c r="EV705" s="815"/>
      <c r="EW705" s="815"/>
      <c r="EX705" s="815"/>
      <c r="EY705" s="815"/>
      <c r="EZ705" s="815"/>
      <c r="FA705" s="815"/>
      <c r="FB705" s="815"/>
      <c r="FC705" s="815"/>
      <c r="FD705" s="815"/>
      <c r="FE705" s="815"/>
      <c r="FF705" s="815"/>
      <c r="FG705" s="815"/>
      <c r="FH705" s="815"/>
      <c r="FI705" s="815"/>
      <c r="FJ705" s="815"/>
      <c r="FK705" s="815"/>
      <c r="FL705" s="815"/>
      <c r="FM705" s="815"/>
      <c r="FN705" s="815"/>
      <c r="FO705" s="815"/>
      <c r="FP705" s="815"/>
      <c r="FQ705" s="815"/>
      <c r="FR705" s="815"/>
      <c r="FS705" s="815"/>
      <c r="FT705" s="815"/>
      <c r="FU705" s="815"/>
      <c r="FV705" s="815"/>
      <c r="FW705" s="815"/>
      <c r="FX705" s="815"/>
      <c r="FY705" s="815"/>
      <c r="FZ705" s="815"/>
      <c r="GA705" s="815"/>
      <c r="GB705" s="815"/>
      <c r="GC705" s="815"/>
      <c r="GD705" s="815"/>
      <c r="GE705" s="815"/>
      <c r="GF705" s="815"/>
      <c r="GG705" s="815"/>
      <c r="GH705" s="815"/>
      <c r="GI705" s="815"/>
      <c r="GJ705" s="815"/>
      <c r="GK705" s="815"/>
      <c r="GL705" s="815"/>
      <c r="GM705" s="815"/>
      <c r="GN705" s="815"/>
      <c r="GO705" s="815"/>
      <c r="GP705" s="815"/>
      <c r="GQ705" s="815"/>
      <c r="GR705" s="815"/>
      <c r="GS705" s="815"/>
      <c r="GT705" s="815"/>
      <c r="GU705" s="815"/>
      <c r="GV705" s="815"/>
      <c r="GW705" s="815"/>
      <c r="GX705" s="815"/>
      <c r="GY705" s="815"/>
      <c r="GZ705" s="815"/>
      <c r="HA705" s="815"/>
      <c r="HB705" s="815"/>
      <c r="HC705" s="815"/>
      <c r="HD705" s="815"/>
      <c r="HE705" s="815"/>
      <c r="HF705" s="815"/>
      <c r="HG705" s="815"/>
      <c r="HH705" s="815"/>
      <c r="HI705" s="815"/>
      <c r="HJ705" s="815"/>
      <c r="HK705" s="815"/>
      <c r="HL705" s="815"/>
      <c r="HM705" s="815"/>
      <c r="HN705" s="815"/>
      <c r="HO705" s="815"/>
      <c r="HP705" s="815"/>
      <c r="HQ705" s="815"/>
      <c r="HR705" s="815"/>
      <c r="HS705" s="815"/>
      <c r="HT705" s="815"/>
      <c r="HU705" s="815"/>
      <c r="HV705" s="815"/>
      <c r="HW705" s="815"/>
      <c r="HX705" s="815"/>
      <c r="HY705" s="815"/>
      <c r="HZ705" s="815"/>
      <c r="IA705" s="815"/>
      <c r="IB705" s="815"/>
      <c r="IC705" s="815"/>
      <c r="ID705" s="815"/>
      <c r="IE705" s="815"/>
      <c r="IF705" s="815"/>
      <c r="IG705" s="815"/>
      <c r="IH705" s="815"/>
      <c r="II705" s="815"/>
      <c r="IJ705" s="815"/>
      <c r="IK705" s="815"/>
      <c r="IL705" s="815"/>
      <c r="IM705" s="815"/>
      <c r="IN705" s="815"/>
      <c r="IO705" s="815"/>
      <c r="IP705" s="815"/>
      <c r="IQ705" s="815"/>
      <c r="IR705" s="815"/>
      <c r="IS705" s="815"/>
      <c r="IT705" s="815"/>
      <c r="IU705" s="815"/>
      <c r="IV705" s="815"/>
      <c r="IW705" s="815"/>
      <c r="IX705" s="815"/>
      <c r="IY705" s="815"/>
      <c r="IZ705" s="815"/>
      <c r="JA705" s="815"/>
      <c r="JB705" s="815"/>
      <c r="JC705" s="815"/>
      <c r="JD705" s="815"/>
      <c r="JE705" s="815"/>
      <c r="JF705" s="815"/>
      <c r="JG705" s="815"/>
      <c r="JH705" s="815"/>
      <c r="JI705" s="815"/>
      <c r="JJ705" s="815"/>
      <c r="JK705" s="815"/>
      <c r="JL705" s="815"/>
      <c r="JM705" s="815"/>
      <c r="JN705" s="815"/>
      <c r="JO705" s="815"/>
      <c r="JP705" s="815"/>
      <c r="JQ705" s="815"/>
      <c r="JR705" s="815"/>
      <c r="JS705" s="815"/>
      <c r="JT705" s="815"/>
      <c r="JU705" s="815"/>
      <c r="JV705" s="815"/>
      <c r="JW705" s="815"/>
      <c r="JX705" s="815"/>
      <c r="JY705" s="815"/>
      <c r="JZ705" s="815"/>
      <c r="KA705" s="815"/>
      <c r="KB705" s="815"/>
      <c r="KC705" s="815"/>
      <c r="KD705" s="815"/>
      <c r="KE705" s="815"/>
      <c r="KF705" s="815"/>
      <c r="KG705" s="815"/>
      <c r="KH705" s="815"/>
      <c r="KI705" s="815"/>
      <c r="KJ705" s="815"/>
      <c r="KK705" s="815"/>
      <c r="KL705" s="815"/>
      <c r="KM705" s="815"/>
      <c r="KN705" s="815"/>
    </row>
    <row r="706" spans="1:300" s="821" customFormat="1" ht="15">
      <c r="A706" s="794">
        <v>704</v>
      </c>
      <c r="B706" s="825" t="s">
        <v>1475</v>
      </c>
      <c r="C706" s="785" t="s">
        <v>1286</v>
      </c>
      <c r="D706" s="824">
        <v>38626</v>
      </c>
      <c r="E706" s="824">
        <v>38687</v>
      </c>
      <c r="F706" s="791">
        <v>2005</v>
      </c>
      <c r="G706" s="821" t="s">
        <v>79</v>
      </c>
      <c r="H706" s="821" t="s">
        <v>1453</v>
      </c>
      <c r="I706" s="823" t="s">
        <v>2155</v>
      </c>
      <c r="J706" s="823" t="s">
        <v>2331</v>
      </c>
      <c r="K706" s="787">
        <f>5976*5</f>
        <v>29880</v>
      </c>
      <c r="L706" s="787"/>
      <c r="M706" s="787">
        <v>55000</v>
      </c>
      <c r="N706" s="787">
        <v>52761.08</v>
      </c>
      <c r="O706" s="808">
        <f>N706/K706</f>
        <v>1.7657657295850067</v>
      </c>
      <c r="P706" s="787"/>
      <c r="Q706" s="787">
        <f>4194*5</f>
        <v>20970</v>
      </c>
      <c r="R706" s="787"/>
      <c r="S706" s="787">
        <f>4194*5</f>
        <v>20970</v>
      </c>
      <c r="T706" s="817" t="s">
        <v>233</v>
      </c>
      <c r="U706" s="787" t="s">
        <v>134</v>
      </c>
      <c r="V706" s="787">
        <f>4194*5</f>
        <v>20970</v>
      </c>
      <c r="W706" s="787"/>
      <c r="X706" s="787"/>
      <c r="Y706" s="808">
        <f>X706/S706</f>
        <v>0</v>
      </c>
      <c r="Z706" s="787"/>
      <c r="AA706" s="787"/>
      <c r="AB706" s="787"/>
      <c r="AC706" s="787"/>
      <c r="AD706" s="787"/>
      <c r="AE706" s="787"/>
      <c r="AF706" s="787"/>
      <c r="AG706" s="787"/>
      <c r="AH706" s="808"/>
      <c r="AI706" s="787"/>
      <c r="AJ706" s="787">
        <f t="shared" si="41"/>
        <v>0</v>
      </c>
      <c r="AK706" s="787"/>
      <c r="AL706" s="787"/>
      <c r="AM706" s="822"/>
      <c r="AN706" s="822"/>
      <c r="AO706" s="822"/>
      <c r="AP706" s="822"/>
      <c r="AQ706" s="822"/>
      <c r="AR706" s="822"/>
      <c r="AS706" s="822"/>
      <c r="AT706" s="822"/>
      <c r="AU706" s="282" t="s">
        <v>2108</v>
      </c>
      <c r="AV706" s="815"/>
      <c r="AW706" s="815"/>
      <c r="AX706" s="815"/>
      <c r="AY706" s="815"/>
      <c r="AZ706" s="815"/>
      <c r="BA706" s="815"/>
      <c r="BB706" s="815"/>
      <c r="BC706" s="815"/>
      <c r="BD706" s="815"/>
      <c r="BE706" s="815"/>
      <c r="BF706" s="815"/>
      <c r="BG706" s="815"/>
      <c r="BH706" s="815"/>
      <c r="BI706" s="815"/>
      <c r="BJ706" s="815"/>
      <c r="BK706" s="815"/>
      <c r="BL706" s="815"/>
      <c r="BM706" s="815"/>
      <c r="BN706" s="815"/>
      <c r="BO706" s="815"/>
      <c r="BP706" s="815"/>
      <c r="BQ706" s="815"/>
      <c r="BR706" s="815"/>
      <c r="BS706" s="815"/>
      <c r="BT706" s="815"/>
      <c r="BU706" s="815"/>
      <c r="BV706" s="815"/>
      <c r="BW706" s="815"/>
      <c r="BX706" s="815"/>
      <c r="BY706" s="815"/>
      <c r="BZ706" s="815"/>
      <c r="CA706" s="815"/>
      <c r="CB706" s="815"/>
      <c r="CC706" s="815"/>
      <c r="CD706" s="815"/>
      <c r="CE706" s="815"/>
      <c r="CF706" s="815"/>
      <c r="CG706" s="815"/>
      <c r="CH706" s="815"/>
      <c r="CI706" s="815"/>
      <c r="CJ706" s="815"/>
      <c r="CK706" s="815"/>
      <c r="CL706" s="815"/>
      <c r="CM706" s="815"/>
      <c r="CN706" s="815"/>
      <c r="CO706" s="815"/>
      <c r="CP706" s="815"/>
      <c r="CQ706" s="815"/>
      <c r="CR706" s="815"/>
      <c r="CS706" s="815"/>
      <c r="CT706" s="815"/>
      <c r="CU706" s="815"/>
      <c r="CV706" s="815"/>
      <c r="CW706" s="815"/>
      <c r="CX706" s="815"/>
      <c r="CY706" s="815"/>
      <c r="CZ706" s="815"/>
      <c r="DA706" s="815"/>
      <c r="DB706" s="815"/>
      <c r="DC706" s="815"/>
      <c r="DD706" s="815"/>
      <c r="DE706" s="815"/>
      <c r="DF706" s="815"/>
      <c r="DG706" s="815"/>
      <c r="DH706" s="815"/>
      <c r="DI706" s="815"/>
      <c r="DJ706" s="815"/>
      <c r="DK706" s="815"/>
      <c r="DL706" s="815"/>
      <c r="DM706" s="815"/>
      <c r="DN706" s="815"/>
      <c r="DO706" s="815"/>
      <c r="DP706" s="815"/>
      <c r="DQ706" s="815"/>
      <c r="DR706" s="815"/>
      <c r="DS706" s="815"/>
      <c r="DT706" s="815"/>
      <c r="DU706" s="815"/>
      <c r="DV706" s="815"/>
      <c r="DW706" s="815"/>
      <c r="DX706" s="815"/>
      <c r="DY706" s="815"/>
      <c r="DZ706" s="815"/>
      <c r="EA706" s="815"/>
      <c r="EB706" s="815"/>
      <c r="EC706" s="815"/>
      <c r="ED706" s="815"/>
      <c r="EE706" s="815"/>
      <c r="EF706" s="815"/>
      <c r="EG706" s="815"/>
      <c r="EH706" s="815"/>
      <c r="EI706" s="815"/>
      <c r="EJ706" s="815"/>
      <c r="EK706" s="815"/>
      <c r="EL706" s="815"/>
      <c r="EM706" s="815"/>
      <c r="EN706" s="815"/>
      <c r="EO706" s="815"/>
      <c r="EP706" s="815"/>
      <c r="EQ706" s="815"/>
      <c r="ER706" s="815"/>
      <c r="ES706" s="815"/>
      <c r="ET706" s="815"/>
      <c r="EU706" s="815"/>
      <c r="EV706" s="815"/>
      <c r="EW706" s="815"/>
      <c r="EX706" s="815"/>
      <c r="EY706" s="815"/>
      <c r="EZ706" s="815"/>
      <c r="FA706" s="815"/>
      <c r="FB706" s="815"/>
      <c r="FC706" s="815"/>
      <c r="FD706" s="815"/>
      <c r="FE706" s="815"/>
      <c r="FF706" s="815"/>
      <c r="FG706" s="815"/>
      <c r="FH706" s="815"/>
      <c r="FI706" s="815"/>
      <c r="FJ706" s="815"/>
      <c r="FK706" s="815"/>
      <c r="FL706" s="815"/>
      <c r="FM706" s="815"/>
      <c r="FN706" s="815"/>
      <c r="FO706" s="815"/>
      <c r="FP706" s="815"/>
      <c r="FQ706" s="815"/>
      <c r="FR706" s="815"/>
      <c r="FS706" s="815"/>
      <c r="FT706" s="815"/>
      <c r="FU706" s="815"/>
      <c r="FV706" s="815"/>
      <c r="FW706" s="815"/>
      <c r="FX706" s="815"/>
      <c r="FY706" s="815"/>
      <c r="FZ706" s="815"/>
      <c r="GA706" s="815"/>
      <c r="GB706" s="815"/>
      <c r="GC706" s="815"/>
      <c r="GD706" s="815"/>
      <c r="GE706" s="815"/>
      <c r="GF706" s="815"/>
      <c r="GG706" s="815"/>
      <c r="GH706" s="815"/>
      <c r="GI706" s="815"/>
      <c r="GJ706" s="815"/>
      <c r="GK706" s="815"/>
      <c r="GL706" s="815"/>
      <c r="GM706" s="815"/>
      <c r="GN706" s="815"/>
      <c r="GO706" s="815"/>
      <c r="GP706" s="815"/>
      <c r="GQ706" s="815"/>
      <c r="GR706" s="815"/>
      <c r="GS706" s="815"/>
      <c r="GT706" s="815"/>
      <c r="GU706" s="815"/>
      <c r="GV706" s="815"/>
      <c r="GW706" s="815"/>
      <c r="GX706" s="815"/>
      <c r="GY706" s="815"/>
      <c r="GZ706" s="815"/>
      <c r="HA706" s="815"/>
      <c r="HB706" s="815"/>
      <c r="HC706" s="815"/>
      <c r="HD706" s="815"/>
      <c r="HE706" s="815"/>
      <c r="HF706" s="815"/>
      <c r="HG706" s="815"/>
      <c r="HH706" s="815"/>
      <c r="HI706" s="815"/>
      <c r="HJ706" s="815"/>
      <c r="HK706" s="815"/>
      <c r="HL706" s="815"/>
      <c r="HM706" s="815"/>
      <c r="HN706" s="815"/>
      <c r="HO706" s="815"/>
      <c r="HP706" s="815"/>
      <c r="HQ706" s="815"/>
      <c r="HR706" s="815"/>
      <c r="HS706" s="815"/>
      <c r="HT706" s="815"/>
      <c r="HU706" s="815"/>
      <c r="HV706" s="815"/>
      <c r="HW706" s="815"/>
      <c r="HX706" s="815"/>
      <c r="HY706" s="815"/>
      <c r="HZ706" s="815"/>
      <c r="IA706" s="815"/>
      <c r="IB706" s="815"/>
      <c r="IC706" s="815"/>
      <c r="ID706" s="815"/>
      <c r="IE706" s="815"/>
      <c r="IF706" s="815"/>
      <c r="IG706" s="815"/>
      <c r="IH706" s="815"/>
      <c r="II706" s="815"/>
      <c r="IJ706" s="815"/>
      <c r="IK706" s="815"/>
      <c r="IL706" s="815"/>
      <c r="IM706" s="815"/>
      <c r="IN706" s="815"/>
      <c r="IO706" s="815"/>
      <c r="IP706" s="815"/>
      <c r="IQ706" s="815"/>
      <c r="IR706" s="815"/>
      <c r="IS706" s="815"/>
      <c r="IT706" s="815"/>
      <c r="IU706" s="815"/>
      <c r="IV706" s="815"/>
      <c r="IW706" s="815"/>
      <c r="IX706" s="815"/>
      <c r="IY706" s="815"/>
      <c r="IZ706" s="815"/>
      <c r="JA706" s="815"/>
      <c r="JB706" s="815"/>
      <c r="JC706" s="815"/>
      <c r="JD706" s="815"/>
      <c r="JE706" s="815"/>
      <c r="JF706" s="815"/>
      <c r="JG706" s="815"/>
      <c r="JH706" s="815"/>
      <c r="JI706" s="815"/>
      <c r="JJ706" s="815"/>
      <c r="JK706" s="815"/>
      <c r="JL706" s="815"/>
      <c r="JM706" s="815"/>
      <c r="JN706" s="815"/>
      <c r="JO706" s="815"/>
      <c r="JP706" s="815"/>
      <c r="JQ706" s="815"/>
      <c r="JR706" s="815"/>
      <c r="JS706" s="815"/>
      <c r="JT706" s="815"/>
      <c r="JU706" s="815"/>
      <c r="JV706" s="815"/>
      <c r="JW706" s="815"/>
      <c r="JX706" s="815"/>
      <c r="JY706" s="815"/>
      <c r="JZ706" s="815"/>
      <c r="KA706" s="815"/>
      <c r="KB706" s="815"/>
      <c r="KC706" s="815"/>
      <c r="KD706" s="815"/>
      <c r="KE706" s="815"/>
      <c r="KF706" s="815"/>
      <c r="KG706" s="815"/>
      <c r="KH706" s="815"/>
      <c r="KI706" s="815"/>
      <c r="KJ706" s="815"/>
      <c r="KK706" s="815"/>
      <c r="KL706" s="815"/>
      <c r="KM706" s="815"/>
      <c r="KN706" s="815"/>
    </row>
    <row r="707" spans="1:300" s="821" customFormat="1" ht="15">
      <c r="A707" s="794">
        <v>705</v>
      </c>
      <c r="B707" s="825" t="s">
        <v>550</v>
      </c>
      <c r="C707" s="785" t="s">
        <v>1286</v>
      </c>
      <c r="D707" s="824">
        <v>38596</v>
      </c>
      <c r="E707" s="824">
        <v>38687</v>
      </c>
      <c r="F707" s="791">
        <v>2005</v>
      </c>
      <c r="G707" s="821" t="s">
        <v>24</v>
      </c>
      <c r="H707" s="821" t="s">
        <v>1454</v>
      </c>
      <c r="I707" s="823" t="s">
        <v>2154</v>
      </c>
      <c r="J707" s="823" t="s">
        <v>2331</v>
      </c>
      <c r="K707" s="787">
        <f>500*5</f>
        <v>2500</v>
      </c>
      <c r="L707" s="787"/>
      <c r="M707" s="787">
        <v>22000</v>
      </c>
      <c r="N707" s="787">
        <v>18287.16</v>
      </c>
      <c r="O707" s="808">
        <f>N707/K707</f>
        <v>7.314864</v>
      </c>
      <c r="P707" s="787"/>
      <c r="Q707" s="787">
        <v>2500</v>
      </c>
      <c r="R707" s="787"/>
      <c r="S707" s="787">
        <v>2500</v>
      </c>
      <c r="T707" s="817" t="s">
        <v>233</v>
      </c>
      <c r="U707" s="787"/>
      <c r="V707" s="787"/>
      <c r="W707" s="787"/>
      <c r="X707" s="787"/>
      <c r="Y707" s="808">
        <f>X707/S707</f>
        <v>0</v>
      </c>
      <c r="Z707" s="787"/>
      <c r="AA707" s="787"/>
      <c r="AB707" s="787"/>
      <c r="AC707" s="787"/>
      <c r="AD707" s="787"/>
      <c r="AE707" s="787"/>
      <c r="AF707" s="787"/>
      <c r="AG707" s="787"/>
      <c r="AH707" s="808"/>
      <c r="AI707" s="787"/>
      <c r="AJ707" s="787">
        <f t="shared" si="41"/>
        <v>0</v>
      </c>
      <c r="AK707" s="787"/>
      <c r="AL707" s="787"/>
      <c r="AM707" s="822"/>
      <c r="AN707" s="822"/>
      <c r="AO707" s="822"/>
      <c r="AP707" s="822"/>
      <c r="AQ707" s="822"/>
      <c r="AR707" s="822"/>
      <c r="AS707" s="822"/>
      <c r="AT707" s="822"/>
      <c r="AU707" s="282" t="s">
        <v>2107</v>
      </c>
      <c r="AV707" s="815"/>
      <c r="AW707" s="815"/>
      <c r="AX707" s="815"/>
      <c r="AY707" s="815"/>
      <c r="AZ707" s="815"/>
      <c r="BA707" s="815"/>
      <c r="BB707" s="815"/>
      <c r="BC707" s="815"/>
      <c r="BD707" s="815"/>
      <c r="BE707" s="815"/>
      <c r="BF707" s="815"/>
      <c r="BG707" s="815"/>
      <c r="BH707" s="815"/>
      <c r="BI707" s="815"/>
      <c r="BJ707" s="815"/>
      <c r="BK707" s="815"/>
      <c r="BL707" s="815"/>
      <c r="BM707" s="815"/>
      <c r="BN707" s="815"/>
      <c r="BO707" s="815"/>
      <c r="BP707" s="815"/>
      <c r="BQ707" s="815"/>
      <c r="BR707" s="815"/>
      <c r="BS707" s="815"/>
      <c r="BT707" s="815"/>
      <c r="BU707" s="815"/>
      <c r="BV707" s="815"/>
      <c r="BW707" s="815"/>
      <c r="BX707" s="815"/>
      <c r="BY707" s="815"/>
      <c r="BZ707" s="815"/>
      <c r="CA707" s="815"/>
      <c r="CB707" s="815"/>
      <c r="CC707" s="815"/>
      <c r="CD707" s="815"/>
      <c r="CE707" s="815"/>
      <c r="CF707" s="815"/>
      <c r="CG707" s="815"/>
      <c r="CH707" s="815"/>
      <c r="CI707" s="815"/>
      <c r="CJ707" s="815"/>
      <c r="CK707" s="815"/>
      <c r="CL707" s="815"/>
      <c r="CM707" s="815"/>
      <c r="CN707" s="815"/>
      <c r="CO707" s="815"/>
      <c r="CP707" s="815"/>
      <c r="CQ707" s="815"/>
      <c r="CR707" s="815"/>
      <c r="CS707" s="815"/>
      <c r="CT707" s="815"/>
      <c r="CU707" s="815"/>
      <c r="CV707" s="815"/>
      <c r="CW707" s="815"/>
      <c r="CX707" s="815"/>
      <c r="CY707" s="815"/>
      <c r="CZ707" s="815"/>
      <c r="DA707" s="815"/>
      <c r="DB707" s="815"/>
      <c r="DC707" s="815"/>
      <c r="DD707" s="815"/>
      <c r="DE707" s="815"/>
      <c r="DF707" s="815"/>
      <c r="DG707" s="815"/>
      <c r="DH707" s="815"/>
      <c r="DI707" s="815"/>
      <c r="DJ707" s="815"/>
      <c r="DK707" s="815"/>
      <c r="DL707" s="815"/>
      <c r="DM707" s="815"/>
      <c r="DN707" s="815"/>
      <c r="DO707" s="815"/>
      <c r="DP707" s="815"/>
      <c r="DQ707" s="815"/>
      <c r="DR707" s="815"/>
      <c r="DS707" s="815"/>
      <c r="DT707" s="815"/>
      <c r="DU707" s="815"/>
      <c r="DV707" s="815"/>
      <c r="DW707" s="815"/>
      <c r="DX707" s="815"/>
      <c r="DY707" s="815"/>
      <c r="DZ707" s="815"/>
      <c r="EA707" s="815"/>
      <c r="EB707" s="815"/>
      <c r="EC707" s="815"/>
      <c r="ED707" s="815"/>
      <c r="EE707" s="815"/>
      <c r="EF707" s="815"/>
      <c r="EG707" s="815"/>
      <c r="EH707" s="815"/>
      <c r="EI707" s="815"/>
      <c r="EJ707" s="815"/>
      <c r="EK707" s="815"/>
      <c r="EL707" s="815"/>
      <c r="EM707" s="815"/>
      <c r="EN707" s="815"/>
      <c r="EO707" s="815"/>
      <c r="EP707" s="815"/>
      <c r="EQ707" s="815"/>
      <c r="ER707" s="815"/>
      <c r="ES707" s="815"/>
      <c r="ET707" s="815"/>
      <c r="EU707" s="815"/>
      <c r="EV707" s="815"/>
      <c r="EW707" s="815"/>
      <c r="EX707" s="815"/>
      <c r="EY707" s="815"/>
      <c r="EZ707" s="815"/>
      <c r="FA707" s="815"/>
      <c r="FB707" s="815"/>
      <c r="FC707" s="815"/>
      <c r="FD707" s="815"/>
      <c r="FE707" s="815"/>
      <c r="FF707" s="815"/>
      <c r="FG707" s="815"/>
      <c r="FH707" s="815"/>
      <c r="FI707" s="815"/>
      <c r="FJ707" s="815"/>
      <c r="FK707" s="815"/>
      <c r="FL707" s="815"/>
      <c r="FM707" s="815"/>
      <c r="FN707" s="815"/>
      <c r="FO707" s="815"/>
      <c r="FP707" s="815"/>
      <c r="FQ707" s="815"/>
      <c r="FR707" s="815"/>
      <c r="FS707" s="815"/>
      <c r="FT707" s="815"/>
      <c r="FU707" s="815"/>
      <c r="FV707" s="815"/>
      <c r="FW707" s="815"/>
      <c r="FX707" s="815"/>
      <c r="FY707" s="815"/>
      <c r="FZ707" s="815"/>
      <c r="GA707" s="815"/>
      <c r="GB707" s="815"/>
      <c r="GC707" s="815"/>
      <c r="GD707" s="815"/>
      <c r="GE707" s="815"/>
      <c r="GF707" s="815"/>
      <c r="GG707" s="815"/>
      <c r="GH707" s="815"/>
      <c r="GI707" s="815"/>
      <c r="GJ707" s="815"/>
      <c r="GK707" s="815"/>
      <c r="GL707" s="815"/>
      <c r="GM707" s="815"/>
      <c r="GN707" s="815"/>
      <c r="GO707" s="815"/>
      <c r="GP707" s="815"/>
      <c r="GQ707" s="815"/>
      <c r="GR707" s="815"/>
      <c r="GS707" s="815"/>
      <c r="GT707" s="815"/>
      <c r="GU707" s="815"/>
      <c r="GV707" s="815"/>
      <c r="GW707" s="815"/>
      <c r="GX707" s="815"/>
      <c r="GY707" s="815"/>
      <c r="GZ707" s="815"/>
      <c r="HA707" s="815"/>
      <c r="HB707" s="815"/>
      <c r="HC707" s="815"/>
      <c r="HD707" s="815"/>
      <c r="HE707" s="815"/>
      <c r="HF707" s="815"/>
      <c r="HG707" s="815"/>
      <c r="HH707" s="815"/>
      <c r="HI707" s="815"/>
      <c r="HJ707" s="815"/>
      <c r="HK707" s="815"/>
      <c r="HL707" s="815"/>
      <c r="HM707" s="815"/>
      <c r="HN707" s="815"/>
      <c r="HO707" s="815"/>
      <c r="HP707" s="815"/>
      <c r="HQ707" s="815"/>
      <c r="HR707" s="815"/>
      <c r="HS707" s="815"/>
      <c r="HT707" s="815"/>
      <c r="HU707" s="815"/>
      <c r="HV707" s="815"/>
      <c r="HW707" s="815"/>
      <c r="HX707" s="815"/>
      <c r="HY707" s="815"/>
      <c r="HZ707" s="815"/>
      <c r="IA707" s="815"/>
      <c r="IB707" s="815"/>
      <c r="IC707" s="815"/>
      <c r="ID707" s="815"/>
      <c r="IE707" s="815"/>
      <c r="IF707" s="815"/>
      <c r="IG707" s="815"/>
      <c r="IH707" s="815"/>
      <c r="II707" s="815"/>
      <c r="IJ707" s="815"/>
      <c r="IK707" s="815"/>
      <c r="IL707" s="815"/>
      <c r="IM707" s="815"/>
      <c r="IN707" s="815"/>
      <c r="IO707" s="815"/>
      <c r="IP707" s="815"/>
      <c r="IQ707" s="815"/>
      <c r="IR707" s="815"/>
      <c r="IS707" s="815"/>
      <c r="IT707" s="815"/>
      <c r="IU707" s="815"/>
      <c r="IV707" s="815"/>
      <c r="IW707" s="815"/>
      <c r="IX707" s="815"/>
      <c r="IY707" s="815"/>
      <c r="IZ707" s="815"/>
      <c r="JA707" s="815"/>
      <c r="JB707" s="815"/>
      <c r="JC707" s="815"/>
      <c r="JD707" s="815"/>
      <c r="JE707" s="815"/>
      <c r="JF707" s="815"/>
      <c r="JG707" s="815"/>
      <c r="JH707" s="815"/>
      <c r="JI707" s="815"/>
      <c r="JJ707" s="815"/>
      <c r="JK707" s="815"/>
      <c r="JL707" s="815"/>
      <c r="JM707" s="815"/>
      <c r="JN707" s="815"/>
      <c r="JO707" s="815"/>
      <c r="JP707" s="815"/>
      <c r="JQ707" s="815"/>
      <c r="JR707" s="815"/>
      <c r="JS707" s="815"/>
      <c r="JT707" s="815"/>
      <c r="JU707" s="815"/>
      <c r="JV707" s="815"/>
      <c r="JW707" s="815"/>
      <c r="JX707" s="815"/>
      <c r="JY707" s="815"/>
      <c r="JZ707" s="815"/>
      <c r="KA707" s="815"/>
      <c r="KB707" s="815"/>
      <c r="KC707" s="815"/>
      <c r="KD707" s="815"/>
      <c r="KE707" s="815"/>
      <c r="KF707" s="815"/>
      <c r="KG707" s="815"/>
      <c r="KH707" s="815"/>
      <c r="KI707" s="815"/>
      <c r="KJ707" s="815"/>
      <c r="KK707" s="815"/>
      <c r="KL707" s="815"/>
      <c r="KM707" s="815"/>
      <c r="KN707" s="815"/>
    </row>
    <row r="708" spans="1:300" s="815" customFormat="1" ht="15">
      <c r="A708" s="794">
        <v>706</v>
      </c>
      <c r="B708" s="820" t="s">
        <v>871</v>
      </c>
      <c r="C708" s="785" t="s">
        <v>1260</v>
      </c>
      <c r="D708" s="819">
        <v>38687</v>
      </c>
      <c r="E708" s="819">
        <v>38869</v>
      </c>
      <c r="F708" s="791">
        <v>2005</v>
      </c>
      <c r="G708" s="815" t="s">
        <v>2094</v>
      </c>
      <c r="H708" s="815" t="s">
        <v>1461</v>
      </c>
      <c r="I708" s="818" t="s">
        <v>2095</v>
      </c>
      <c r="J708" s="800" t="s">
        <v>2331</v>
      </c>
      <c r="K708" s="808">
        <v>4560</v>
      </c>
      <c r="L708" s="808">
        <v>36000</v>
      </c>
      <c r="M708" s="808">
        <v>28642</v>
      </c>
      <c r="N708" s="808">
        <v>28642</v>
      </c>
      <c r="O708" s="808">
        <f>N708/K708</f>
        <v>6.2811403508771928</v>
      </c>
      <c r="P708" s="808">
        <f>(M708*100)/L708</f>
        <v>79.561111111111117</v>
      </c>
      <c r="Q708" s="808">
        <v>3000</v>
      </c>
      <c r="R708" s="808"/>
      <c r="S708" s="808">
        <v>3000</v>
      </c>
      <c r="T708" s="817" t="s">
        <v>233</v>
      </c>
      <c r="U708" s="808">
        <v>210</v>
      </c>
      <c r="V708" s="808"/>
      <c r="W708" s="808">
        <v>9546</v>
      </c>
      <c r="X708" s="808">
        <v>9546</v>
      </c>
      <c r="Y708" s="808">
        <f>X708/S708</f>
        <v>3.1819999999999999</v>
      </c>
      <c r="Z708" s="808"/>
      <c r="AA708" s="808"/>
      <c r="AB708" s="808"/>
      <c r="AC708" s="808"/>
      <c r="AD708" s="808"/>
      <c r="AE708" s="808"/>
      <c r="AF708" s="808"/>
      <c r="AG708" s="808"/>
      <c r="AH708" s="808"/>
      <c r="AI708" s="808"/>
      <c r="AJ708" s="787">
        <f t="shared" si="41"/>
        <v>0</v>
      </c>
      <c r="AK708" s="808" t="s">
        <v>66</v>
      </c>
      <c r="AL708" s="808" t="s">
        <v>66</v>
      </c>
      <c r="AM708" s="816"/>
      <c r="AN708" s="816"/>
      <c r="AO708" s="816"/>
      <c r="AP708" s="816"/>
      <c r="AQ708" s="816"/>
      <c r="AR708" s="816"/>
      <c r="AS708" s="816"/>
      <c r="AT708" s="816"/>
      <c r="AU708" s="815" t="s">
        <v>2093</v>
      </c>
    </row>
    <row r="709" spans="1:300" s="811" customFormat="1" ht="15">
      <c r="A709" s="794">
        <v>707</v>
      </c>
      <c r="B709" s="830" t="s">
        <v>871</v>
      </c>
      <c r="C709" s="833" t="s">
        <v>1260</v>
      </c>
      <c r="D709" s="828">
        <v>38657</v>
      </c>
      <c r="E709" s="828">
        <v>38473</v>
      </c>
      <c r="F709" s="791">
        <v>2005</v>
      </c>
      <c r="G709" s="811" t="s">
        <v>2113</v>
      </c>
      <c r="H709" s="811" t="s">
        <v>1449</v>
      </c>
      <c r="I709" s="832" t="s">
        <v>2166</v>
      </c>
      <c r="J709" s="810" t="s">
        <v>2441</v>
      </c>
      <c r="K709" s="827"/>
      <c r="L709" s="827"/>
      <c r="M709" s="827"/>
      <c r="N709" s="827">
        <v>2961.81</v>
      </c>
      <c r="O709" s="808"/>
      <c r="P709" s="827"/>
      <c r="Q709" s="827"/>
      <c r="R709" s="827"/>
      <c r="S709" s="827"/>
      <c r="T709" s="817" t="s">
        <v>233</v>
      </c>
      <c r="U709" s="827"/>
      <c r="V709" s="827"/>
      <c r="W709" s="827"/>
      <c r="X709" s="827"/>
      <c r="Y709" s="808"/>
      <c r="Z709" s="827"/>
      <c r="AA709" s="827"/>
      <c r="AB709" s="827"/>
      <c r="AC709" s="827"/>
      <c r="AD709" s="827"/>
      <c r="AE709" s="827"/>
      <c r="AF709" s="827"/>
      <c r="AG709" s="827"/>
      <c r="AH709" s="808"/>
      <c r="AI709" s="827"/>
      <c r="AJ709" s="787">
        <f t="shared" si="41"/>
        <v>0</v>
      </c>
      <c r="AK709" s="827"/>
      <c r="AL709" s="827"/>
      <c r="AM709" s="826"/>
      <c r="AN709" s="826"/>
      <c r="AO709" s="826"/>
      <c r="AP709" s="826"/>
      <c r="AQ709" s="826"/>
      <c r="AR709" s="826"/>
      <c r="AS709" s="826"/>
      <c r="AT709" s="826"/>
      <c r="AV709" s="815"/>
      <c r="AW709" s="815"/>
      <c r="AX709" s="815"/>
      <c r="AY709" s="815"/>
      <c r="AZ709" s="815"/>
      <c r="BA709" s="815"/>
      <c r="BB709" s="815"/>
      <c r="BC709" s="815"/>
      <c r="BD709" s="815"/>
      <c r="BE709" s="815"/>
      <c r="BF709" s="815"/>
      <c r="BG709" s="815"/>
      <c r="BH709" s="815"/>
      <c r="BI709" s="815"/>
      <c r="BJ709" s="815"/>
      <c r="BK709" s="815"/>
      <c r="BL709" s="815"/>
      <c r="BM709" s="815"/>
      <c r="BN709" s="815"/>
      <c r="BO709" s="815"/>
      <c r="BP709" s="815"/>
      <c r="BQ709" s="815"/>
      <c r="BR709" s="815"/>
      <c r="BS709" s="815"/>
      <c r="BT709" s="815"/>
      <c r="BU709" s="815"/>
      <c r="BV709" s="815"/>
      <c r="BW709" s="815"/>
      <c r="BX709" s="815"/>
      <c r="BY709" s="815"/>
      <c r="BZ709" s="815"/>
      <c r="CA709" s="815"/>
      <c r="CB709" s="815"/>
      <c r="CC709" s="815"/>
      <c r="CD709" s="815"/>
      <c r="CE709" s="815"/>
      <c r="CF709" s="815"/>
      <c r="CG709" s="815"/>
      <c r="CH709" s="815"/>
      <c r="CI709" s="815"/>
      <c r="CJ709" s="815"/>
      <c r="CK709" s="815"/>
      <c r="CL709" s="815"/>
      <c r="CM709" s="815"/>
      <c r="CN709" s="815"/>
      <c r="CO709" s="815"/>
      <c r="CP709" s="815"/>
      <c r="CQ709" s="815"/>
      <c r="CR709" s="815"/>
      <c r="CS709" s="815"/>
      <c r="CT709" s="815"/>
      <c r="CU709" s="815"/>
      <c r="CV709" s="815"/>
      <c r="CW709" s="815"/>
      <c r="CX709" s="815"/>
      <c r="CY709" s="815"/>
      <c r="CZ709" s="815"/>
      <c r="DA709" s="815"/>
      <c r="DB709" s="815"/>
      <c r="DC709" s="815"/>
      <c r="DD709" s="815"/>
      <c r="DE709" s="815"/>
      <c r="DF709" s="815"/>
      <c r="DG709" s="815"/>
      <c r="DH709" s="815"/>
      <c r="DI709" s="815"/>
      <c r="DJ709" s="815"/>
      <c r="DK709" s="815"/>
      <c r="DL709" s="815"/>
      <c r="DM709" s="815"/>
      <c r="DN709" s="815"/>
      <c r="DO709" s="815"/>
      <c r="DP709" s="815"/>
      <c r="DQ709" s="815"/>
      <c r="DR709" s="815"/>
      <c r="DS709" s="815"/>
      <c r="DT709" s="815"/>
      <c r="DU709" s="815"/>
      <c r="DV709" s="815"/>
      <c r="DW709" s="815"/>
      <c r="DX709" s="815"/>
      <c r="DY709" s="815"/>
      <c r="DZ709" s="815"/>
      <c r="EA709" s="815"/>
      <c r="EB709" s="815"/>
      <c r="EC709" s="815"/>
      <c r="ED709" s="815"/>
      <c r="EE709" s="815"/>
      <c r="EF709" s="815"/>
      <c r="EG709" s="815"/>
      <c r="EH709" s="815"/>
      <c r="EI709" s="815"/>
      <c r="EJ709" s="815"/>
      <c r="EK709" s="815"/>
      <c r="EL709" s="815"/>
      <c r="EM709" s="815"/>
      <c r="EN709" s="815"/>
      <c r="EO709" s="815"/>
      <c r="EP709" s="815"/>
      <c r="EQ709" s="815"/>
      <c r="ER709" s="815"/>
      <c r="ES709" s="815"/>
      <c r="ET709" s="815"/>
      <c r="EU709" s="815"/>
      <c r="EV709" s="815"/>
      <c r="EW709" s="815"/>
      <c r="EX709" s="815"/>
      <c r="EY709" s="815"/>
      <c r="EZ709" s="815"/>
      <c r="FA709" s="815"/>
      <c r="FB709" s="815"/>
      <c r="FC709" s="815"/>
      <c r="FD709" s="815"/>
      <c r="FE709" s="815"/>
      <c r="FF709" s="815"/>
      <c r="FG709" s="815"/>
      <c r="FH709" s="815"/>
      <c r="FI709" s="815"/>
      <c r="FJ709" s="815"/>
      <c r="FK709" s="815"/>
      <c r="FL709" s="815"/>
      <c r="FM709" s="815"/>
      <c r="FN709" s="815"/>
      <c r="FO709" s="815"/>
      <c r="FP709" s="815"/>
      <c r="FQ709" s="815"/>
      <c r="FR709" s="815"/>
      <c r="FS709" s="815"/>
      <c r="FT709" s="815"/>
      <c r="FU709" s="815"/>
      <c r="FV709" s="815"/>
      <c r="FW709" s="815"/>
      <c r="FX709" s="815"/>
      <c r="FY709" s="815"/>
      <c r="FZ709" s="815"/>
      <c r="GA709" s="815"/>
      <c r="GB709" s="815"/>
      <c r="GC709" s="815"/>
      <c r="GD709" s="815"/>
      <c r="GE709" s="815"/>
      <c r="GF709" s="815"/>
      <c r="GG709" s="815"/>
      <c r="GH709" s="815"/>
      <c r="GI709" s="815"/>
      <c r="GJ709" s="815"/>
      <c r="GK709" s="815"/>
      <c r="GL709" s="815"/>
      <c r="GM709" s="815"/>
      <c r="GN709" s="815"/>
      <c r="GO709" s="815"/>
      <c r="GP709" s="815"/>
      <c r="GQ709" s="815"/>
      <c r="GR709" s="815"/>
      <c r="GS709" s="815"/>
      <c r="GT709" s="815"/>
      <c r="GU709" s="815"/>
      <c r="GV709" s="815"/>
      <c r="GW709" s="815"/>
      <c r="GX709" s="815"/>
      <c r="GY709" s="815"/>
      <c r="GZ709" s="815"/>
      <c r="HA709" s="815"/>
      <c r="HB709" s="815"/>
      <c r="HC709" s="815"/>
      <c r="HD709" s="815"/>
      <c r="HE709" s="815"/>
      <c r="HF709" s="815"/>
      <c r="HG709" s="815"/>
      <c r="HH709" s="815"/>
      <c r="HI709" s="815"/>
      <c r="HJ709" s="815"/>
      <c r="HK709" s="815"/>
      <c r="HL709" s="815"/>
      <c r="HM709" s="815"/>
      <c r="HN709" s="815"/>
      <c r="HO709" s="815"/>
      <c r="HP709" s="815"/>
      <c r="HQ709" s="815"/>
      <c r="HR709" s="815"/>
      <c r="HS709" s="815"/>
      <c r="HT709" s="815"/>
      <c r="HU709" s="815"/>
      <c r="HV709" s="815"/>
      <c r="HW709" s="815"/>
      <c r="HX709" s="815"/>
      <c r="HY709" s="815"/>
      <c r="HZ709" s="815"/>
      <c r="IA709" s="815"/>
      <c r="IB709" s="815"/>
      <c r="IC709" s="815"/>
      <c r="ID709" s="815"/>
      <c r="IE709" s="815"/>
      <c r="IF709" s="815"/>
      <c r="IG709" s="815"/>
      <c r="IH709" s="815"/>
      <c r="II709" s="815"/>
      <c r="IJ709" s="815"/>
      <c r="IK709" s="815"/>
      <c r="IL709" s="815"/>
      <c r="IM709" s="815"/>
      <c r="IN709" s="815"/>
      <c r="IO709" s="815"/>
      <c r="IP709" s="815"/>
      <c r="IQ709" s="815"/>
      <c r="IR709" s="815"/>
      <c r="IS709" s="815"/>
      <c r="IT709" s="815"/>
      <c r="IU709" s="815"/>
      <c r="IV709" s="815"/>
      <c r="IW709" s="815"/>
      <c r="IX709" s="815"/>
      <c r="IY709" s="815"/>
      <c r="IZ709" s="815"/>
      <c r="JA709" s="815"/>
      <c r="JB709" s="815"/>
      <c r="JC709" s="815"/>
      <c r="JD709" s="815"/>
      <c r="JE709" s="815"/>
      <c r="JF709" s="815"/>
      <c r="JG709" s="815"/>
      <c r="JH709" s="815"/>
      <c r="JI709" s="815"/>
      <c r="JJ709" s="815"/>
      <c r="JK709" s="815"/>
      <c r="JL709" s="815"/>
      <c r="JM709" s="815"/>
      <c r="JN709" s="815"/>
      <c r="JO709" s="815"/>
      <c r="JP709" s="815"/>
      <c r="JQ709" s="815"/>
      <c r="JR709" s="815"/>
      <c r="JS709" s="815"/>
      <c r="JT709" s="815"/>
      <c r="JU709" s="815"/>
      <c r="JV709" s="815"/>
      <c r="JW709" s="815"/>
      <c r="JX709" s="815"/>
      <c r="JY709" s="815"/>
      <c r="JZ709" s="815"/>
      <c r="KA709" s="815"/>
      <c r="KB709" s="815"/>
      <c r="KC709" s="815"/>
      <c r="KD709" s="815"/>
      <c r="KE709" s="815"/>
      <c r="KF709" s="815"/>
      <c r="KG709" s="815"/>
      <c r="KH709" s="815"/>
      <c r="KI709" s="815"/>
      <c r="KJ709" s="815"/>
      <c r="KK709" s="815"/>
      <c r="KL709" s="815"/>
      <c r="KM709" s="815"/>
      <c r="KN709" s="815"/>
    </row>
    <row r="710" spans="1:300" s="811" customFormat="1" ht="15">
      <c r="A710" s="794">
        <v>708</v>
      </c>
      <c r="B710" s="833" t="s">
        <v>2047</v>
      </c>
      <c r="C710" s="833" t="s">
        <v>1260</v>
      </c>
      <c r="D710" s="828">
        <v>38412</v>
      </c>
      <c r="E710" s="828">
        <v>38443</v>
      </c>
      <c r="F710" s="791">
        <v>2005</v>
      </c>
      <c r="G710" s="811" t="s">
        <v>2067</v>
      </c>
      <c r="H710" s="811" t="s">
        <v>1453</v>
      </c>
      <c r="I710" s="832" t="s">
        <v>2164</v>
      </c>
      <c r="J710" s="810" t="s">
        <v>2441</v>
      </c>
      <c r="K710" s="827"/>
      <c r="L710" s="827"/>
      <c r="M710" s="827"/>
      <c r="N710" s="827">
        <v>105568.06</v>
      </c>
      <c r="O710" s="808"/>
      <c r="P710" s="827"/>
      <c r="Q710" s="827"/>
      <c r="R710" s="827"/>
      <c r="S710" s="827"/>
      <c r="T710" s="817" t="s">
        <v>233</v>
      </c>
      <c r="U710" s="827"/>
      <c r="V710" s="827"/>
      <c r="W710" s="827"/>
      <c r="X710" s="827"/>
      <c r="Y710" s="808"/>
      <c r="Z710" s="827"/>
      <c r="AA710" s="827"/>
      <c r="AB710" s="827"/>
      <c r="AC710" s="827"/>
      <c r="AD710" s="827"/>
      <c r="AE710" s="827"/>
      <c r="AF710" s="827"/>
      <c r="AG710" s="827"/>
      <c r="AH710" s="808"/>
      <c r="AI710" s="827"/>
      <c r="AJ710" s="787">
        <f t="shared" si="41"/>
        <v>0</v>
      </c>
      <c r="AK710" s="827"/>
      <c r="AL710" s="827"/>
      <c r="AM710" s="826"/>
      <c r="AN710" s="826"/>
      <c r="AO710" s="826"/>
      <c r="AP710" s="826"/>
      <c r="AQ710" s="826"/>
      <c r="AR710" s="826"/>
      <c r="AS710" s="826"/>
      <c r="AT710" s="826"/>
      <c r="AV710" s="815"/>
      <c r="AW710" s="815"/>
      <c r="AX710" s="815"/>
      <c r="AY710" s="815"/>
      <c r="AZ710" s="815"/>
      <c r="BA710" s="815"/>
      <c r="BB710" s="815"/>
      <c r="BC710" s="815"/>
      <c r="BD710" s="815"/>
      <c r="BE710" s="815"/>
      <c r="BF710" s="815"/>
      <c r="BG710" s="815"/>
      <c r="BH710" s="815"/>
      <c r="BI710" s="815"/>
      <c r="BJ710" s="815"/>
      <c r="BK710" s="815"/>
      <c r="BL710" s="815"/>
      <c r="BM710" s="815"/>
      <c r="BN710" s="815"/>
      <c r="BO710" s="815"/>
      <c r="BP710" s="815"/>
      <c r="BQ710" s="815"/>
      <c r="BR710" s="815"/>
      <c r="BS710" s="815"/>
      <c r="BT710" s="815"/>
      <c r="BU710" s="815"/>
      <c r="BV710" s="815"/>
      <c r="BW710" s="815"/>
      <c r="BX710" s="815"/>
      <c r="BY710" s="815"/>
      <c r="BZ710" s="815"/>
      <c r="CA710" s="815"/>
      <c r="CB710" s="815"/>
      <c r="CC710" s="815"/>
      <c r="CD710" s="815"/>
      <c r="CE710" s="815"/>
      <c r="CF710" s="815"/>
      <c r="CG710" s="815"/>
      <c r="CH710" s="815"/>
      <c r="CI710" s="815"/>
      <c r="CJ710" s="815"/>
      <c r="CK710" s="815"/>
      <c r="CL710" s="815"/>
      <c r="CM710" s="815"/>
      <c r="CN710" s="815"/>
      <c r="CO710" s="815"/>
      <c r="CP710" s="815"/>
      <c r="CQ710" s="815"/>
      <c r="CR710" s="815"/>
      <c r="CS710" s="815"/>
      <c r="CT710" s="815"/>
      <c r="CU710" s="815"/>
      <c r="CV710" s="815"/>
      <c r="CW710" s="815"/>
      <c r="CX710" s="815"/>
      <c r="CY710" s="815"/>
      <c r="CZ710" s="815"/>
      <c r="DA710" s="815"/>
      <c r="DB710" s="815"/>
      <c r="DC710" s="815"/>
      <c r="DD710" s="815"/>
      <c r="DE710" s="815"/>
      <c r="DF710" s="815"/>
      <c r="DG710" s="815"/>
      <c r="DH710" s="815"/>
      <c r="DI710" s="815"/>
      <c r="DJ710" s="815"/>
      <c r="DK710" s="815"/>
      <c r="DL710" s="815"/>
      <c r="DM710" s="815"/>
      <c r="DN710" s="815"/>
      <c r="DO710" s="815"/>
      <c r="DP710" s="815"/>
      <c r="DQ710" s="815"/>
      <c r="DR710" s="815"/>
      <c r="DS710" s="815"/>
      <c r="DT710" s="815"/>
      <c r="DU710" s="815"/>
      <c r="DV710" s="815"/>
      <c r="DW710" s="815"/>
      <c r="DX710" s="815"/>
      <c r="DY710" s="815"/>
      <c r="DZ710" s="815"/>
      <c r="EA710" s="815"/>
      <c r="EB710" s="815"/>
      <c r="EC710" s="815"/>
      <c r="ED710" s="815"/>
      <c r="EE710" s="815"/>
      <c r="EF710" s="815"/>
      <c r="EG710" s="815"/>
      <c r="EH710" s="815"/>
      <c r="EI710" s="815"/>
      <c r="EJ710" s="815"/>
      <c r="EK710" s="815"/>
      <c r="EL710" s="815"/>
      <c r="EM710" s="815"/>
      <c r="EN710" s="815"/>
      <c r="EO710" s="815"/>
      <c r="EP710" s="815"/>
      <c r="EQ710" s="815"/>
      <c r="ER710" s="815"/>
      <c r="ES710" s="815"/>
      <c r="ET710" s="815"/>
      <c r="EU710" s="815"/>
      <c r="EV710" s="815"/>
      <c r="EW710" s="815"/>
      <c r="EX710" s="815"/>
      <c r="EY710" s="815"/>
      <c r="EZ710" s="815"/>
      <c r="FA710" s="815"/>
      <c r="FB710" s="815"/>
      <c r="FC710" s="815"/>
      <c r="FD710" s="815"/>
      <c r="FE710" s="815"/>
      <c r="FF710" s="815"/>
      <c r="FG710" s="815"/>
      <c r="FH710" s="815"/>
      <c r="FI710" s="815"/>
      <c r="FJ710" s="815"/>
      <c r="FK710" s="815"/>
      <c r="FL710" s="815"/>
      <c r="FM710" s="815"/>
      <c r="FN710" s="815"/>
      <c r="FO710" s="815"/>
      <c r="FP710" s="815"/>
      <c r="FQ710" s="815"/>
      <c r="FR710" s="815"/>
      <c r="FS710" s="815"/>
      <c r="FT710" s="815"/>
      <c r="FU710" s="815"/>
      <c r="FV710" s="815"/>
      <c r="FW710" s="815"/>
      <c r="FX710" s="815"/>
      <c r="FY710" s="815"/>
      <c r="FZ710" s="815"/>
      <c r="GA710" s="815"/>
      <c r="GB710" s="815"/>
      <c r="GC710" s="815"/>
      <c r="GD710" s="815"/>
      <c r="GE710" s="815"/>
      <c r="GF710" s="815"/>
      <c r="GG710" s="815"/>
      <c r="GH710" s="815"/>
      <c r="GI710" s="815"/>
      <c r="GJ710" s="815"/>
      <c r="GK710" s="815"/>
      <c r="GL710" s="815"/>
      <c r="GM710" s="815"/>
      <c r="GN710" s="815"/>
      <c r="GO710" s="815"/>
      <c r="GP710" s="815"/>
      <c r="GQ710" s="815"/>
      <c r="GR710" s="815"/>
      <c r="GS710" s="815"/>
      <c r="GT710" s="815"/>
      <c r="GU710" s="815"/>
      <c r="GV710" s="815"/>
      <c r="GW710" s="815"/>
      <c r="GX710" s="815"/>
      <c r="GY710" s="815"/>
      <c r="GZ710" s="815"/>
      <c r="HA710" s="815"/>
      <c r="HB710" s="815"/>
      <c r="HC710" s="815"/>
      <c r="HD710" s="815"/>
      <c r="HE710" s="815"/>
      <c r="HF710" s="815"/>
      <c r="HG710" s="815"/>
      <c r="HH710" s="815"/>
      <c r="HI710" s="815"/>
      <c r="HJ710" s="815"/>
      <c r="HK710" s="815"/>
      <c r="HL710" s="815"/>
      <c r="HM710" s="815"/>
      <c r="HN710" s="815"/>
      <c r="HO710" s="815"/>
      <c r="HP710" s="815"/>
      <c r="HQ710" s="815"/>
      <c r="HR710" s="815"/>
      <c r="HS710" s="815"/>
      <c r="HT710" s="815"/>
      <c r="HU710" s="815"/>
      <c r="HV710" s="815"/>
      <c r="HW710" s="815"/>
      <c r="HX710" s="815"/>
      <c r="HY710" s="815"/>
      <c r="HZ710" s="815"/>
      <c r="IA710" s="815"/>
      <c r="IB710" s="815"/>
      <c r="IC710" s="815"/>
      <c r="ID710" s="815"/>
      <c r="IE710" s="815"/>
      <c r="IF710" s="815"/>
      <c r="IG710" s="815"/>
      <c r="IH710" s="815"/>
      <c r="II710" s="815"/>
      <c r="IJ710" s="815"/>
      <c r="IK710" s="815"/>
      <c r="IL710" s="815"/>
      <c r="IM710" s="815"/>
      <c r="IN710" s="815"/>
      <c r="IO710" s="815"/>
      <c r="IP710" s="815"/>
      <c r="IQ710" s="815"/>
      <c r="IR710" s="815"/>
      <c r="IS710" s="815"/>
      <c r="IT710" s="815"/>
      <c r="IU710" s="815"/>
      <c r="IV710" s="815"/>
      <c r="IW710" s="815"/>
      <c r="IX710" s="815"/>
      <c r="IY710" s="815"/>
      <c r="IZ710" s="815"/>
      <c r="JA710" s="815"/>
      <c r="JB710" s="815"/>
      <c r="JC710" s="815"/>
      <c r="JD710" s="815"/>
      <c r="JE710" s="815"/>
      <c r="JF710" s="815"/>
      <c r="JG710" s="815"/>
      <c r="JH710" s="815"/>
      <c r="JI710" s="815"/>
      <c r="JJ710" s="815"/>
      <c r="JK710" s="815"/>
      <c r="JL710" s="815"/>
      <c r="JM710" s="815"/>
      <c r="JN710" s="815"/>
      <c r="JO710" s="815"/>
      <c r="JP710" s="815"/>
      <c r="JQ710" s="815"/>
      <c r="JR710" s="815"/>
      <c r="JS710" s="815"/>
      <c r="JT710" s="815"/>
      <c r="JU710" s="815"/>
      <c r="JV710" s="815"/>
      <c r="JW710" s="815"/>
      <c r="JX710" s="815"/>
      <c r="JY710" s="815"/>
      <c r="JZ710" s="815"/>
      <c r="KA710" s="815"/>
      <c r="KB710" s="815"/>
      <c r="KC710" s="815"/>
      <c r="KD710" s="815"/>
      <c r="KE710" s="815"/>
      <c r="KF710" s="815"/>
      <c r="KG710" s="815"/>
      <c r="KH710" s="815"/>
      <c r="KI710" s="815"/>
      <c r="KJ710" s="815"/>
      <c r="KK710" s="815"/>
      <c r="KL710" s="815"/>
      <c r="KM710" s="815"/>
      <c r="KN710" s="815"/>
    </row>
    <row r="711" spans="1:300" s="815" customFormat="1" ht="15">
      <c r="A711" s="794">
        <v>709</v>
      </c>
      <c r="B711" s="785" t="s">
        <v>26</v>
      </c>
      <c r="C711" s="800" t="s">
        <v>1299</v>
      </c>
      <c r="D711" s="819">
        <v>38657</v>
      </c>
      <c r="E711" s="819">
        <v>39295</v>
      </c>
      <c r="F711" s="791">
        <v>2005</v>
      </c>
      <c r="G711" s="815" t="s">
        <v>2055</v>
      </c>
      <c r="H711" s="815" t="s">
        <v>1452</v>
      </c>
      <c r="I711" s="818" t="s">
        <v>2054</v>
      </c>
      <c r="J711" s="812" t="s">
        <v>2438</v>
      </c>
      <c r="K711" s="808">
        <v>145000</v>
      </c>
      <c r="L711" s="808">
        <v>14097272</v>
      </c>
      <c r="M711" s="808">
        <f>L711*0.29</f>
        <v>4088208.88</v>
      </c>
      <c r="N711" s="831">
        <v>4088208.88</v>
      </c>
      <c r="O711" s="808">
        <f>N711/K711</f>
        <v>28.194544</v>
      </c>
      <c r="P711" s="808">
        <v>29</v>
      </c>
      <c r="Q711" s="808">
        <f>163*500</f>
        <v>81500</v>
      </c>
      <c r="R711" s="808"/>
      <c r="S711" s="808">
        <v>81500</v>
      </c>
      <c r="T711" s="808" t="s">
        <v>2</v>
      </c>
      <c r="U711" s="808">
        <v>200</v>
      </c>
      <c r="V711" s="808">
        <f>152000*5</f>
        <v>760000</v>
      </c>
      <c r="W711" s="808"/>
      <c r="X711" s="808"/>
      <c r="Y711" s="808">
        <f>X711/S711</f>
        <v>0</v>
      </c>
      <c r="Z711" s="808"/>
      <c r="AA711" s="808">
        <v>650000</v>
      </c>
      <c r="AB711" s="808">
        <v>331</v>
      </c>
      <c r="AC711" s="808">
        <v>15</v>
      </c>
      <c r="AD711" s="808"/>
      <c r="AE711" s="808"/>
      <c r="AF711" s="808"/>
      <c r="AG711" s="808"/>
      <c r="AH711" s="808"/>
      <c r="AI711" s="808"/>
      <c r="AJ711" s="787">
        <f t="shared" si="41"/>
        <v>650000</v>
      </c>
      <c r="AK711" s="808"/>
      <c r="AL711" s="808"/>
      <c r="AM711" s="816"/>
      <c r="AN711" s="816"/>
      <c r="AO711" s="816"/>
      <c r="AP711" s="816"/>
      <c r="AQ711" s="816"/>
      <c r="AR711" s="816"/>
      <c r="AS711" s="816"/>
      <c r="AT711" s="816"/>
      <c r="AU711" s="433" t="s">
        <v>2053</v>
      </c>
    </row>
    <row r="712" spans="1:300" s="815" customFormat="1" ht="24" customHeight="1">
      <c r="A712" s="794">
        <v>710</v>
      </c>
      <c r="B712" s="785" t="s">
        <v>160</v>
      </c>
      <c r="C712" s="802" t="s">
        <v>1278</v>
      </c>
      <c r="D712" s="819">
        <v>38596</v>
      </c>
      <c r="E712" s="819">
        <v>38534</v>
      </c>
      <c r="F712" s="791">
        <v>2005</v>
      </c>
      <c r="G712" s="815" t="s">
        <v>2073</v>
      </c>
      <c r="H712" s="815" t="s">
        <v>1450</v>
      </c>
      <c r="I712" s="818" t="s">
        <v>2072</v>
      </c>
      <c r="J712" s="818" t="s">
        <v>2331</v>
      </c>
      <c r="K712" s="808" t="s">
        <v>134</v>
      </c>
      <c r="L712" s="808">
        <v>11000</v>
      </c>
      <c r="M712" s="808">
        <v>11116</v>
      </c>
      <c r="N712" s="808">
        <v>11116</v>
      </c>
      <c r="O712" s="808"/>
      <c r="P712" s="808">
        <f>(N712*100)/L712</f>
        <v>101.05454545454545</v>
      </c>
      <c r="Q712" s="808"/>
      <c r="R712" s="808"/>
      <c r="S712" s="808"/>
      <c r="T712" s="817" t="s">
        <v>233</v>
      </c>
      <c r="U712" s="808"/>
      <c r="V712" s="808"/>
      <c r="W712" s="808"/>
      <c r="X712" s="808"/>
      <c r="Y712" s="808"/>
      <c r="Z712" s="808"/>
      <c r="AA712" s="808"/>
      <c r="AB712" s="808"/>
      <c r="AC712" s="808"/>
      <c r="AD712" s="808"/>
      <c r="AE712" s="808"/>
      <c r="AF712" s="808"/>
      <c r="AG712" s="808"/>
      <c r="AH712" s="808"/>
      <c r="AI712" s="808"/>
      <c r="AJ712" s="787">
        <f t="shared" si="41"/>
        <v>0</v>
      </c>
      <c r="AK712" s="808"/>
      <c r="AL712" s="808"/>
      <c r="AM712" s="816"/>
      <c r="AN712" s="816"/>
      <c r="AO712" s="816"/>
      <c r="AP712" s="816"/>
      <c r="AQ712" s="816"/>
      <c r="AR712" s="816"/>
      <c r="AS712" s="816"/>
      <c r="AT712" s="816"/>
      <c r="AU712" s="37" t="s">
        <v>2071</v>
      </c>
    </row>
    <row r="713" spans="1:300" s="815" customFormat="1" ht="15">
      <c r="A713" s="794">
        <v>711</v>
      </c>
      <c r="B713" s="785" t="s">
        <v>148</v>
      </c>
      <c r="C713" s="820" t="s">
        <v>1299</v>
      </c>
      <c r="D713" s="819">
        <v>38384</v>
      </c>
      <c r="E713" s="819">
        <v>38596</v>
      </c>
      <c r="F713" s="791">
        <v>2005</v>
      </c>
      <c r="G713" s="815" t="s">
        <v>2065</v>
      </c>
      <c r="H713" s="815" t="s">
        <v>1452</v>
      </c>
      <c r="I713" s="818" t="s">
        <v>2064</v>
      </c>
      <c r="J713" s="818" t="s">
        <v>2331</v>
      </c>
      <c r="K713" s="808">
        <v>5000</v>
      </c>
      <c r="L713" s="808"/>
      <c r="M713" s="808"/>
      <c r="N713" s="808">
        <v>55250</v>
      </c>
      <c r="O713" s="808">
        <f>N713/K713</f>
        <v>11.05</v>
      </c>
      <c r="P713" s="808"/>
      <c r="Q713" s="808"/>
      <c r="R713" s="808"/>
      <c r="S713" s="808"/>
      <c r="T713" s="817" t="s">
        <v>233</v>
      </c>
      <c r="U713" s="808"/>
      <c r="V713" s="808"/>
      <c r="W713" s="808"/>
      <c r="X713" s="808"/>
      <c r="Y713" s="808"/>
      <c r="Z713" s="808"/>
      <c r="AA713" s="808"/>
      <c r="AB713" s="808"/>
      <c r="AC713" s="808"/>
      <c r="AD713" s="808"/>
      <c r="AE713" s="808"/>
      <c r="AF713" s="808"/>
      <c r="AG713" s="808"/>
      <c r="AH713" s="808"/>
      <c r="AI713" s="808"/>
      <c r="AJ713" s="787">
        <f t="shared" si="41"/>
        <v>0</v>
      </c>
      <c r="AK713" s="808"/>
      <c r="AL713" s="808"/>
      <c r="AM713" s="816"/>
      <c r="AN713" s="816"/>
      <c r="AO713" s="816"/>
      <c r="AP713" s="816"/>
      <c r="AQ713" s="816"/>
      <c r="AR713" s="816"/>
      <c r="AS713" s="816"/>
      <c r="AT713" s="816"/>
      <c r="AU713" s="815" t="s">
        <v>2063</v>
      </c>
    </row>
    <row r="714" spans="1:300" s="811" customFormat="1" ht="15">
      <c r="A714" s="794">
        <v>712</v>
      </c>
      <c r="B714" s="830" t="s">
        <v>251</v>
      </c>
      <c r="C714" s="829" t="s">
        <v>1260</v>
      </c>
      <c r="D714" s="828">
        <v>38687</v>
      </c>
      <c r="E714" s="828">
        <v>38718</v>
      </c>
      <c r="F714" s="791">
        <v>2005</v>
      </c>
      <c r="G714" s="811" t="s">
        <v>2119</v>
      </c>
      <c r="H714" s="811" t="s">
        <v>1449</v>
      </c>
      <c r="I714" s="811" t="s">
        <v>2167</v>
      </c>
      <c r="J714" s="810" t="s">
        <v>2441</v>
      </c>
      <c r="K714" s="827"/>
      <c r="L714" s="827"/>
      <c r="M714" s="827"/>
      <c r="N714" s="827">
        <v>4386.03</v>
      </c>
      <c r="O714" s="808"/>
      <c r="P714" s="827"/>
      <c r="Q714" s="827"/>
      <c r="R714" s="827"/>
      <c r="S714" s="827"/>
      <c r="T714" s="817" t="s">
        <v>233</v>
      </c>
      <c r="U714" s="827"/>
      <c r="V714" s="827"/>
      <c r="W714" s="827"/>
      <c r="X714" s="827"/>
      <c r="Y714" s="808"/>
      <c r="Z714" s="827"/>
      <c r="AA714" s="827"/>
      <c r="AB714" s="827"/>
      <c r="AC714" s="827"/>
      <c r="AD714" s="827"/>
      <c r="AE714" s="827"/>
      <c r="AF714" s="827"/>
      <c r="AG714" s="827"/>
      <c r="AH714" s="808"/>
      <c r="AI714" s="827"/>
      <c r="AJ714" s="787">
        <f t="shared" ref="AJ714:AJ776" si="44">SUM(Z714,AA714,AH714)</f>
        <v>0</v>
      </c>
      <c r="AK714" s="827"/>
      <c r="AL714" s="827"/>
      <c r="AM714" s="826"/>
      <c r="AN714" s="826"/>
      <c r="AO714" s="826"/>
      <c r="AP714" s="826"/>
      <c r="AQ714" s="826"/>
      <c r="AR714" s="826"/>
      <c r="AS714" s="826"/>
      <c r="AT714" s="826"/>
      <c r="AV714" s="815"/>
      <c r="AW714" s="815"/>
      <c r="AX714" s="815"/>
      <c r="AY714" s="815"/>
      <c r="AZ714" s="815"/>
      <c r="BA714" s="815"/>
      <c r="BB714" s="815"/>
      <c r="BC714" s="815"/>
      <c r="BD714" s="815"/>
      <c r="BE714" s="815"/>
      <c r="BF714" s="815"/>
      <c r="BG714" s="815"/>
      <c r="BH714" s="815"/>
      <c r="BI714" s="815"/>
      <c r="BJ714" s="815"/>
      <c r="BK714" s="815"/>
      <c r="BL714" s="815"/>
      <c r="BM714" s="815"/>
      <c r="BN714" s="815"/>
      <c r="BO714" s="815"/>
      <c r="BP714" s="815"/>
      <c r="BQ714" s="815"/>
      <c r="BR714" s="815"/>
      <c r="BS714" s="815"/>
      <c r="BT714" s="815"/>
      <c r="BU714" s="815"/>
      <c r="BV714" s="815"/>
      <c r="BW714" s="815"/>
      <c r="BX714" s="815"/>
      <c r="BY714" s="815"/>
      <c r="BZ714" s="815"/>
      <c r="CA714" s="815"/>
      <c r="CB714" s="815"/>
      <c r="CC714" s="815"/>
      <c r="CD714" s="815"/>
      <c r="CE714" s="815"/>
      <c r="CF714" s="815"/>
      <c r="CG714" s="815"/>
      <c r="CH714" s="815"/>
      <c r="CI714" s="815"/>
      <c r="CJ714" s="815"/>
      <c r="CK714" s="815"/>
      <c r="CL714" s="815"/>
      <c r="CM714" s="815"/>
      <c r="CN714" s="815"/>
      <c r="CO714" s="815"/>
      <c r="CP714" s="815"/>
      <c r="CQ714" s="815"/>
      <c r="CR714" s="815"/>
      <c r="CS714" s="815"/>
      <c r="CT714" s="815"/>
      <c r="CU714" s="815"/>
      <c r="CV714" s="815"/>
      <c r="CW714" s="815"/>
      <c r="CX714" s="815"/>
      <c r="CY714" s="815"/>
      <c r="CZ714" s="815"/>
      <c r="DA714" s="815"/>
      <c r="DB714" s="815"/>
      <c r="DC714" s="815"/>
      <c r="DD714" s="815"/>
      <c r="DE714" s="815"/>
      <c r="DF714" s="815"/>
      <c r="DG714" s="815"/>
      <c r="DH714" s="815"/>
      <c r="DI714" s="815"/>
      <c r="DJ714" s="815"/>
      <c r="DK714" s="815"/>
      <c r="DL714" s="815"/>
      <c r="DM714" s="815"/>
      <c r="DN714" s="815"/>
      <c r="DO714" s="815"/>
      <c r="DP714" s="815"/>
      <c r="DQ714" s="815"/>
      <c r="DR714" s="815"/>
      <c r="DS714" s="815"/>
      <c r="DT714" s="815"/>
      <c r="DU714" s="815"/>
      <c r="DV714" s="815"/>
      <c r="DW714" s="815"/>
      <c r="DX714" s="815"/>
      <c r="DY714" s="815"/>
      <c r="DZ714" s="815"/>
      <c r="EA714" s="815"/>
      <c r="EB714" s="815"/>
      <c r="EC714" s="815"/>
      <c r="ED714" s="815"/>
      <c r="EE714" s="815"/>
      <c r="EF714" s="815"/>
      <c r="EG714" s="815"/>
      <c r="EH714" s="815"/>
      <c r="EI714" s="815"/>
      <c r="EJ714" s="815"/>
      <c r="EK714" s="815"/>
      <c r="EL714" s="815"/>
      <c r="EM714" s="815"/>
      <c r="EN714" s="815"/>
      <c r="EO714" s="815"/>
      <c r="EP714" s="815"/>
      <c r="EQ714" s="815"/>
      <c r="ER714" s="815"/>
      <c r="ES714" s="815"/>
      <c r="ET714" s="815"/>
      <c r="EU714" s="815"/>
      <c r="EV714" s="815"/>
      <c r="EW714" s="815"/>
      <c r="EX714" s="815"/>
      <c r="EY714" s="815"/>
      <c r="EZ714" s="815"/>
      <c r="FA714" s="815"/>
      <c r="FB714" s="815"/>
      <c r="FC714" s="815"/>
      <c r="FD714" s="815"/>
      <c r="FE714" s="815"/>
      <c r="FF714" s="815"/>
      <c r="FG714" s="815"/>
      <c r="FH714" s="815"/>
      <c r="FI714" s="815"/>
      <c r="FJ714" s="815"/>
      <c r="FK714" s="815"/>
      <c r="FL714" s="815"/>
      <c r="FM714" s="815"/>
      <c r="FN714" s="815"/>
      <c r="FO714" s="815"/>
      <c r="FP714" s="815"/>
      <c r="FQ714" s="815"/>
      <c r="FR714" s="815"/>
      <c r="FS714" s="815"/>
      <c r="FT714" s="815"/>
      <c r="FU714" s="815"/>
      <c r="FV714" s="815"/>
      <c r="FW714" s="815"/>
      <c r="FX714" s="815"/>
      <c r="FY714" s="815"/>
      <c r="FZ714" s="815"/>
      <c r="GA714" s="815"/>
      <c r="GB714" s="815"/>
      <c r="GC714" s="815"/>
      <c r="GD714" s="815"/>
      <c r="GE714" s="815"/>
      <c r="GF714" s="815"/>
      <c r="GG714" s="815"/>
      <c r="GH714" s="815"/>
      <c r="GI714" s="815"/>
      <c r="GJ714" s="815"/>
      <c r="GK714" s="815"/>
      <c r="GL714" s="815"/>
      <c r="GM714" s="815"/>
      <c r="GN714" s="815"/>
      <c r="GO714" s="815"/>
      <c r="GP714" s="815"/>
      <c r="GQ714" s="815"/>
      <c r="GR714" s="815"/>
      <c r="GS714" s="815"/>
      <c r="GT714" s="815"/>
      <c r="GU714" s="815"/>
      <c r="GV714" s="815"/>
      <c r="GW714" s="815"/>
      <c r="GX714" s="815"/>
      <c r="GY714" s="815"/>
      <c r="GZ714" s="815"/>
      <c r="HA714" s="815"/>
      <c r="HB714" s="815"/>
      <c r="HC714" s="815"/>
      <c r="HD714" s="815"/>
      <c r="HE714" s="815"/>
      <c r="HF714" s="815"/>
      <c r="HG714" s="815"/>
      <c r="HH714" s="815"/>
      <c r="HI714" s="815"/>
      <c r="HJ714" s="815"/>
      <c r="HK714" s="815"/>
      <c r="HL714" s="815"/>
      <c r="HM714" s="815"/>
      <c r="HN714" s="815"/>
      <c r="HO714" s="815"/>
      <c r="HP714" s="815"/>
      <c r="HQ714" s="815"/>
      <c r="HR714" s="815"/>
      <c r="HS714" s="815"/>
      <c r="HT714" s="815"/>
      <c r="HU714" s="815"/>
      <c r="HV714" s="815"/>
      <c r="HW714" s="815"/>
      <c r="HX714" s="815"/>
      <c r="HY714" s="815"/>
      <c r="HZ714" s="815"/>
      <c r="IA714" s="815"/>
      <c r="IB714" s="815"/>
      <c r="IC714" s="815"/>
      <c r="ID714" s="815"/>
      <c r="IE714" s="815"/>
      <c r="IF714" s="815"/>
      <c r="IG714" s="815"/>
      <c r="IH714" s="815"/>
      <c r="II714" s="815"/>
      <c r="IJ714" s="815"/>
      <c r="IK714" s="815"/>
      <c r="IL714" s="815"/>
      <c r="IM714" s="815"/>
      <c r="IN714" s="815"/>
      <c r="IO714" s="815"/>
      <c r="IP714" s="815"/>
      <c r="IQ714" s="815"/>
      <c r="IR714" s="815"/>
      <c r="IS714" s="815"/>
      <c r="IT714" s="815"/>
      <c r="IU714" s="815"/>
      <c r="IV714" s="815"/>
      <c r="IW714" s="815"/>
      <c r="IX714" s="815"/>
      <c r="IY714" s="815"/>
      <c r="IZ714" s="815"/>
      <c r="JA714" s="815"/>
      <c r="JB714" s="815"/>
      <c r="JC714" s="815"/>
      <c r="JD714" s="815"/>
      <c r="JE714" s="815"/>
      <c r="JF714" s="815"/>
      <c r="JG714" s="815"/>
      <c r="JH714" s="815"/>
      <c r="JI714" s="815"/>
      <c r="JJ714" s="815"/>
      <c r="JK714" s="815"/>
      <c r="JL714" s="815"/>
      <c r="JM714" s="815"/>
      <c r="JN714" s="815"/>
      <c r="JO714" s="815"/>
      <c r="JP714" s="815"/>
      <c r="JQ714" s="815"/>
      <c r="JR714" s="815"/>
      <c r="JS714" s="815"/>
      <c r="JT714" s="815"/>
      <c r="JU714" s="815"/>
      <c r="JV714" s="815"/>
      <c r="JW714" s="815"/>
      <c r="JX714" s="815"/>
      <c r="JY714" s="815"/>
      <c r="JZ714" s="815"/>
      <c r="KA714" s="815"/>
      <c r="KB714" s="815"/>
      <c r="KC714" s="815"/>
      <c r="KD714" s="815"/>
      <c r="KE714" s="815"/>
      <c r="KF714" s="815"/>
      <c r="KG714" s="815"/>
      <c r="KH714" s="815"/>
      <c r="KI714" s="815"/>
      <c r="KJ714" s="815"/>
      <c r="KK714" s="815"/>
      <c r="KL714" s="815"/>
      <c r="KM714" s="815"/>
      <c r="KN714" s="815"/>
    </row>
    <row r="715" spans="1:300" s="815" customFormat="1" ht="15">
      <c r="A715" s="794">
        <v>713</v>
      </c>
      <c r="B715" s="785" t="s">
        <v>1401</v>
      </c>
      <c r="C715" s="800" t="s">
        <v>1286</v>
      </c>
      <c r="D715" s="819">
        <v>38384</v>
      </c>
      <c r="E715" s="819"/>
      <c r="F715" s="791">
        <v>2005</v>
      </c>
      <c r="G715" s="815" t="s">
        <v>5</v>
      </c>
      <c r="H715" s="815" t="s">
        <v>1451</v>
      </c>
      <c r="I715" s="818" t="s">
        <v>2069</v>
      </c>
      <c r="J715" s="790" t="s">
        <v>2440</v>
      </c>
      <c r="K715" s="808">
        <v>5000</v>
      </c>
      <c r="L715" s="808"/>
      <c r="M715" s="808"/>
      <c r="N715" s="808">
        <v>100000</v>
      </c>
      <c r="O715" s="808">
        <f>N715/K715</f>
        <v>20</v>
      </c>
      <c r="P715" s="808"/>
      <c r="Q715" s="808">
        <v>5000</v>
      </c>
      <c r="R715" s="808"/>
      <c r="S715" s="808">
        <v>5000</v>
      </c>
      <c r="T715" s="817" t="s">
        <v>233</v>
      </c>
      <c r="U715" s="808"/>
      <c r="V715" s="808">
        <v>5000</v>
      </c>
      <c r="W715" s="808"/>
      <c r="X715" s="808"/>
      <c r="Y715" s="808">
        <f>X715/S715</f>
        <v>0</v>
      </c>
      <c r="Z715" s="808">
        <v>5000</v>
      </c>
      <c r="AA715" s="808"/>
      <c r="AB715" s="808"/>
      <c r="AC715" s="808"/>
      <c r="AD715" s="808"/>
      <c r="AE715" s="808">
        <v>700</v>
      </c>
      <c r="AF715" s="808"/>
      <c r="AG715" s="808"/>
      <c r="AH715" s="808"/>
      <c r="AI715" s="808"/>
      <c r="AJ715" s="787">
        <f t="shared" si="44"/>
        <v>5000</v>
      </c>
      <c r="AK715" s="808"/>
      <c r="AL715" s="808"/>
      <c r="AM715" s="816"/>
      <c r="AN715" s="816"/>
      <c r="AO715" s="816"/>
      <c r="AP715" s="816"/>
      <c r="AQ715" s="816"/>
      <c r="AR715" s="816"/>
      <c r="AS715" s="816"/>
      <c r="AT715" s="816"/>
      <c r="AU715" s="815" t="s">
        <v>2068</v>
      </c>
    </row>
    <row r="716" spans="1:300" s="821" customFormat="1" ht="35.25" customHeight="1">
      <c r="A716" s="794">
        <v>714</v>
      </c>
      <c r="B716" s="785" t="s">
        <v>2048</v>
      </c>
      <c r="C716" s="802" t="s">
        <v>1278</v>
      </c>
      <c r="D716" s="824">
        <v>38473</v>
      </c>
      <c r="E716" s="824">
        <v>38687</v>
      </c>
      <c r="F716" s="791">
        <v>2005</v>
      </c>
      <c r="G716" s="815" t="s">
        <v>5</v>
      </c>
      <c r="H716" s="815" t="s">
        <v>1451</v>
      </c>
      <c r="I716" s="818" t="s">
        <v>2122</v>
      </c>
      <c r="J716" s="818" t="s">
        <v>2331</v>
      </c>
      <c r="K716" s="808">
        <v>400</v>
      </c>
      <c r="L716" s="787"/>
      <c r="M716" s="787"/>
      <c r="N716" s="787">
        <v>59999.99</v>
      </c>
      <c r="O716" s="808">
        <f>N716/K716</f>
        <v>149.99997500000001</v>
      </c>
      <c r="P716" s="787"/>
      <c r="Q716" s="787"/>
      <c r="R716" s="787"/>
      <c r="S716" s="787"/>
      <c r="T716" s="817" t="s">
        <v>233</v>
      </c>
      <c r="U716" s="787"/>
      <c r="V716" s="787"/>
      <c r="W716" s="787" t="s">
        <v>66</v>
      </c>
      <c r="X716" s="787">
        <v>12</v>
      </c>
      <c r="Y716" s="808"/>
      <c r="Z716" s="787"/>
      <c r="AA716" s="787"/>
      <c r="AB716" s="787"/>
      <c r="AC716" s="787"/>
      <c r="AD716" s="787"/>
      <c r="AE716" s="787"/>
      <c r="AF716" s="787"/>
      <c r="AG716" s="787"/>
      <c r="AH716" s="808"/>
      <c r="AI716" s="787"/>
      <c r="AJ716" s="787">
        <f t="shared" si="44"/>
        <v>0</v>
      </c>
      <c r="AK716" s="787" t="s">
        <v>66</v>
      </c>
      <c r="AL716" s="787" t="s">
        <v>66</v>
      </c>
      <c r="AM716" s="822"/>
      <c r="AN716" s="822"/>
      <c r="AO716" s="822"/>
      <c r="AP716" s="822"/>
      <c r="AQ716" s="822"/>
      <c r="AR716" s="822"/>
      <c r="AS716" s="822"/>
      <c r="AT716" s="822"/>
      <c r="AU716" s="282" t="s">
        <v>2097</v>
      </c>
      <c r="AV716" s="815"/>
      <c r="AW716" s="815"/>
      <c r="AX716" s="815"/>
      <c r="AY716" s="815"/>
      <c r="AZ716" s="815"/>
      <c r="BA716" s="815"/>
      <c r="BB716" s="815"/>
      <c r="BC716" s="815"/>
      <c r="BD716" s="815"/>
      <c r="BE716" s="815"/>
      <c r="BF716" s="815"/>
      <c r="BG716" s="815"/>
      <c r="BH716" s="815"/>
      <c r="BI716" s="815"/>
      <c r="BJ716" s="815"/>
      <c r="BK716" s="815"/>
      <c r="BL716" s="815"/>
      <c r="BM716" s="815"/>
      <c r="BN716" s="815"/>
      <c r="BO716" s="815"/>
      <c r="BP716" s="815"/>
      <c r="BQ716" s="815"/>
      <c r="BR716" s="815"/>
      <c r="BS716" s="815"/>
      <c r="BT716" s="815"/>
      <c r="BU716" s="815"/>
      <c r="BV716" s="815"/>
      <c r="BW716" s="815"/>
      <c r="BX716" s="815"/>
      <c r="BY716" s="815"/>
      <c r="BZ716" s="815"/>
      <c r="CA716" s="815"/>
      <c r="CB716" s="815"/>
      <c r="CC716" s="815"/>
      <c r="CD716" s="815"/>
      <c r="CE716" s="815"/>
      <c r="CF716" s="815"/>
      <c r="CG716" s="815"/>
      <c r="CH716" s="815"/>
      <c r="CI716" s="815"/>
      <c r="CJ716" s="815"/>
      <c r="CK716" s="815"/>
      <c r="CL716" s="815"/>
      <c r="CM716" s="815"/>
      <c r="CN716" s="815"/>
      <c r="CO716" s="815"/>
      <c r="CP716" s="815"/>
      <c r="CQ716" s="815"/>
      <c r="CR716" s="815"/>
      <c r="CS716" s="815"/>
      <c r="CT716" s="815"/>
      <c r="CU716" s="815"/>
      <c r="CV716" s="815"/>
      <c r="CW716" s="815"/>
      <c r="CX716" s="815"/>
      <c r="CY716" s="815"/>
      <c r="CZ716" s="815"/>
      <c r="DA716" s="815"/>
      <c r="DB716" s="815"/>
      <c r="DC716" s="815"/>
      <c r="DD716" s="815"/>
      <c r="DE716" s="815"/>
      <c r="DF716" s="815"/>
      <c r="DG716" s="815"/>
      <c r="DH716" s="815"/>
      <c r="DI716" s="815"/>
      <c r="DJ716" s="815"/>
      <c r="DK716" s="815"/>
      <c r="DL716" s="815"/>
      <c r="DM716" s="815"/>
      <c r="DN716" s="815"/>
      <c r="DO716" s="815"/>
      <c r="DP716" s="815"/>
      <c r="DQ716" s="815"/>
      <c r="DR716" s="815"/>
      <c r="DS716" s="815"/>
      <c r="DT716" s="815"/>
      <c r="DU716" s="815"/>
      <c r="DV716" s="815"/>
      <c r="DW716" s="815"/>
      <c r="DX716" s="815"/>
      <c r="DY716" s="815"/>
      <c r="DZ716" s="815"/>
      <c r="EA716" s="815"/>
      <c r="EB716" s="815"/>
      <c r="EC716" s="815"/>
      <c r="ED716" s="815"/>
      <c r="EE716" s="815"/>
      <c r="EF716" s="815"/>
      <c r="EG716" s="815"/>
      <c r="EH716" s="815"/>
      <c r="EI716" s="815"/>
      <c r="EJ716" s="815"/>
      <c r="EK716" s="815"/>
      <c r="EL716" s="815"/>
      <c r="EM716" s="815"/>
      <c r="EN716" s="815"/>
      <c r="EO716" s="815"/>
      <c r="EP716" s="815"/>
      <c r="EQ716" s="815"/>
      <c r="ER716" s="815"/>
      <c r="ES716" s="815"/>
      <c r="ET716" s="815"/>
      <c r="EU716" s="815"/>
      <c r="EV716" s="815"/>
      <c r="EW716" s="815"/>
      <c r="EX716" s="815"/>
      <c r="EY716" s="815"/>
      <c r="EZ716" s="815"/>
      <c r="FA716" s="815"/>
      <c r="FB716" s="815"/>
      <c r="FC716" s="815"/>
      <c r="FD716" s="815"/>
      <c r="FE716" s="815"/>
      <c r="FF716" s="815"/>
      <c r="FG716" s="815"/>
      <c r="FH716" s="815"/>
      <c r="FI716" s="815"/>
      <c r="FJ716" s="815"/>
      <c r="FK716" s="815"/>
      <c r="FL716" s="815"/>
      <c r="FM716" s="815"/>
      <c r="FN716" s="815"/>
      <c r="FO716" s="815"/>
      <c r="FP716" s="815"/>
      <c r="FQ716" s="815"/>
      <c r="FR716" s="815"/>
      <c r="FS716" s="815"/>
      <c r="FT716" s="815"/>
      <c r="FU716" s="815"/>
      <c r="FV716" s="815"/>
      <c r="FW716" s="815"/>
      <c r="FX716" s="815"/>
      <c r="FY716" s="815"/>
      <c r="FZ716" s="815"/>
      <c r="GA716" s="815"/>
      <c r="GB716" s="815"/>
      <c r="GC716" s="815"/>
      <c r="GD716" s="815"/>
      <c r="GE716" s="815"/>
      <c r="GF716" s="815"/>
      <c r="GG716" s="815"/>
      <c r="GH716" s="815"/>
      <c r="GI716" s="815"/>
      <c r="GJ716" s="815"/>
      <c r="GK716" s="815"/>
      <c r="GL716" s="815"/>
      <c r="GM716" s="815"/>
      <c r="GN716" s="815"/>
      <c r="GO716" s="815"/>
      <c r="GP716" s="815"/>
      <c r="GQ716" s="815"/>
      <c r="GR716" s="815"/>
      <c r="GS716" s="815"/>
      <c r="GT716" s="815"/>
      <c r="GU716" s="815"/>
      <c r="GV716" s="815"/>
      <c r="GW716" s="815"/>
      <c r="GX716" s="815"/>
      <c r="GY716" s="815"/>
      <c r="GZ716" s="815"/>
      <c r="HA716" s="815"/>
      <c r="HB716" s="815"/>
      <c r="HC716" s="815"/>
      <c r="HD716" s="815"/>
      <c r="HE716" s="815"/>
      <c r="HF716" s="815"/>
      <c r="HG716" s="815"/>
      <c r="HH716" s="815"/>
      <c r="HI716" s="815"/>
      <c r="HJ716" s="815"/>
      <c r="HK716" s="815"/>
      <c r="HL716" s="815"/>
      <c r="HM716" s="815"/>
      <c r="HN716" s="815"/>
      <c r="HO716" s="815"/>
      <c r="HP716" s="815"/>
      <c r="HQ716" s="815"/>
      <c r="HR716" s="815"/>
      <c r="HS716" s="815"/>
      <c r="HT716" s="815"/>
      <c r="HU716" s="815"/>
      <c r="HV716" s="815"/>
      <c r="HW716" s="815"/>
      <c r="HX716" s="815"/>
      <c r="HY716" s="815"/>
      <c r="HZ716" s="815"/>
      <c r="IA716" s="815"/>
      <c r="IB716" s="815"/>
      <c r="IC716" s="815"/>
      <c r="ID716" s="815"/>
      <c r="IE716" s="815"/>
      <c r="IF716" s="815"/>
      <c r="IG716" s="815"/>
      <c r="IH716" s="815"/>
      <c r="II716" s="815"/>
      <c r="IJ716" s="815"/>
      <c r="IK716" s="815"/>
      <c r="IL716" s="815"/>
      <c r="IM716" s="815"/>
      <c r="IN716" s="815"/>
      <c r="IO716" s="815"/>
      <c r="IP716" s="815"/>
      <c r="IQ716" s="815"/>
      <c r="IR716" s="815"/>
      <c r="IS716" s="815"/>
      <c r="IT716" s="815"/>
      <c r="IU716" s="815"/>
      <c r="IV716" s="815"/>
      <c r="IW716" s="815"/>
      <c r="IX716" s="815"/>
      <c r="IY716" s="815"/>
      <c r="IZ716" s="815"/>
      <c r="JA716" s="815"/>
      <c r="JB716" s="815"/>
      <c r="JC716" s="815"/>
      <c r="JD716" s="815"/>
      <c r="JE716" s="815"/>
      <c r="JF716" s="815"/>
      <c r="JG716" s="815"/>
      <c r="JH716" s="815"/>
      <c r="JI716" s="815"/>
      <c r="JJ716" s="815"/>
      <c r="JK716" s="815"/>
      <c r="JL716" s="815"/>
      <c r="JM716" s="815"/>
      <c r="JN716" s="815"/>
      <c r="JO716" s="815"/>
      <c r="JP716" s="815"/>
      <c r="JQ716" s="815"/>
      <c r="JR716" s="815"/>
      <c r="JS716" s="815"/>
      <c r="JT716" s="815"/>
      <c r="JU716" s="815"/>
      <c r="JV716" s="815"/>
      <c r="JW716" s="815"/>
      <c r="JX716" s="815"/>
      <c r="JY716" s="815"/>
      <c r="JZ716" s="815"/>
      <c r="KA716" s="815"/>
      <c r="KB716" s="815"/>
      <c r="KC716" s="815"/>
      <c r="KD716" s="815"/>
      <c r="KE716" s="815"/>
      <c r="KF716" s="815"/>
      <c r="KG716" s="815"/>
      <c r="KH716" s="815"/>
      <c r="KI716" s="815"/>
      <c r="KJ716" s="815"/>
      <c r="KK716" s="815"/>
      <c r="KL716" s="815"/>
      <c r="KM716" s="815"/>
      <c r="KN716" s="815"/>
    </row>
    <row r="717" spans="1:300" s="821" customFormat="1" ht="15">
      <c r="A717" s="794">
        <v>715</v>
      </c>
      <c r="B717" s="785" t="s">
        <v>321</v>
      </c>
      <c r="C717" s="825" t="s">
        <v>1261</v>
      </c>
      <c r="D717" s="824">
        <v>38412</v>
      </c>
      <c r="E717" s="824">
        <v>38991</v>
      </c>
      <c r="F717" s="791">
        <v>2005</v>
      </c>
      <c r="G717" s="821" t="s">
        <v>2059</v>
      </c>
      <c r="H717" s="821" t="s">
        <v>1451</v>
      </c>
      <c r="I717" s="823" t="s">
        <v>322</v>
      </c>
      <c r="J717" s="812" t="s">
        <v>2438</v>
      </c>
      <c r="K717" s="787">
        <v>70000</v>
      </c>
      <c r="L717" s="787">
        <v>1648032</v>
      </c>
      <c r="M717" s="787">
        <v>1546226</v>
      </c>
      <c r="N717" s="787">
        <v>1546226</v>
      </c>
      <c r="O717" s="808">
        <f>N717/K717</f>
        <v>22.088942857142857</v>
      </c>
      <c r="P717" s="787">
        <f>(M717*100)/L717</f>
        <v>93.822571406380462</v>
      </c>
      <c r="Q717" s="787"/>
      <c r="R717" s="787"/>
      <c r="S717" s="787"/>
      <c r="T717" s="817" t="s">
        <v>233</v>
      </c>
      <c r="U717" s="787"/>
      <c r="V717" s="787">
        <v>10000</v>
      </c>
      <c r="W717" s="787" t="s">
        <v>66</v>
      </c>
      <c r="X717" s="787">
        <v>1251</v>
      </c>
      <c r="Y717" s="808"/>
      <c r="Z717" s="787"/>
      <c r="AA717" s="787"/>
      <c r="AB717" s="787"/>
      <c r="AC717" s="787">
        <v>500</v>
      </c>
      <c r="AD717" s="787"/>
      <c r="AE717" s="787"/>
      <c r="AF717" s="787"/>
      <c r="AG717" s="787"/>
      <c r="AH717" s="808"/>
      <c r="AI717" s="787"/>
      <c r="AJ717" s="787">
        <f t="shared" si="44"/>
        <v>0</v>
      </c>
      <c r="AK717" s="787">
        <v>65911</v>
      </c>
      <c r="AL717" s="787">
        <v>71365</v>
      </c>
      <c r="AM717" s="822"/>
      <c r="AN717" s="822"/>
      <c r="AO717" s="822"/>
      <c r="AP717" s="822"/>
      <c r="AQ717" s="822"/>
      <c r="AR717" s="822"/>
      <c r="AS717" s="822"/>
      <c r="AT717" s="822"/>
      <c r="AU717" s="821" t="s">
        <v>2057</v>
      </c>
      <c r="AV717" s="815"/>
      <c r="AW717" s="815"/>
      <c r="AX717" s="815"/>
      <c r="AY717" s="815"/>
      <c r="AZ717" s="815"/>
      <c r="BA717" s="815"/>
      <c r="BB717" s="815"/>
      <c r="BC717" s="815"/>
      <c r="BD717" s="815"/>
      <c r="BE717" s="815"/>
      <c r="BF717" s="815"/>
      <c r="BG717" s="815"/>
      <c r="BH717" s="815"/>
      <c r="BI717" s="815"/>
      <c r="BJ717" s="815"/>
      <c r="BK717" s="815"/>
      <c r="BL717" s="815"/>
      <c r="BM717" s="815"/>
      <c r="BN717" s="815"/>
      <c r="BO717" s="815"/>
      <c r="BP717" s="815"/>
      <c r="BQ717" s="815"/>
      <c r="BR717" s="815"/>
      <c r="BS717" s="815"/>
      <c r="BT717" s="815"/>
      <c r="BU717" s="815"/>
      <c r="BV717" s="815"/>
      <c r="BW717" s="815"/>
      <c r="BX717" s="815"/>
      <c r="BY717" s="815"/>
      <c r="BZ717" s="815"/>
      <c r="CA717" s="815"/>
      <c r="CB717" s="815"/>
      <c r="CC717" s="815"/>
      <c r="CD717" s="815"/>
      <c r="CE717" s="815"/>
      <c r="CF717" s="815"/>
      <c r="CG717" s="815"/>
      <c r="CH717" s="815"/>
      <c r="CI717" s="815"/>
      <c r="CJ717" s="815"/>
      <c r="CK717" s="815"/>
      <c r="CL717" s="815"/>
      <c r="CM717" s="815"/>
      <c r="CN717" s="815"/>
      <c r="CO717" s="815"/>
      <c r="CP717" s="815"/>
      <c r="CQ717" s="815"/>
      <c r="CR717" s="815"/>
      <c r="CS717" s="815"/>
      <c r="CT717" s="815"/>
      <c r="CU717" s="815"/>
      <c r="CV717" s="815"/>
      <c r="CW717" s="815"/>
      <c r="CX717" s="815"/>
      <c r="CY717" s="815"/>
      <c r="CZ717" s="815"/>
      <c r="DA717" s="815"/>
      <c r="DB717" s="815"/>
      <c r="DC717" s="815"/>
      <c r="DD717" s="815"/>
      <c r="DE717" s="815"/>
      <c r="DF717" s="815"/>
      <c r="DG717" s="815"/>
      <c r="DH717" s="815"/>
      <c r="DI717" s="815"/>
      <c r="DJ717" s="815"/>
      <c r="DK717" s="815"/>
      <c r="DL717" s="815"/>
      <c r="DM717" s="815"/>
      <c r="DN717" s="815"/>
      <c r="DO717" s="815"/>
      <c r="DP717" s="815"/>
      <c r="DQ717" s="815"/>
      <c r="DR717" s="815"/>
      <c r="DS717" s="815"/>
      <c r="DT717" s="815"/>
      <c r="DU717" s="815"/>
      <c r="DV717" s="815"/>
      <c r="DW717" s="815"/>
      <c r="DX717" s="815"/>
      <c r="DY717" s="815"/>
      <c r="DZ717" s="815"/>
      <c r="EA717" s="815"/>
      <c r="EB717" s="815"/>
      <c r="EC717" s="815"/>
      <c r="ED717" s="815"/>
      <c r="EE717" s="815"/>
      <c r="EF717" s="815"/>
      <c r="EG717" s="815"/>
      <c r="EH717" s="815"/>
      <c r="EI717" s="815"/>
      <c r="EJ717" s="815"/>
      <c r="EK717" s="815"/>
      <c r="EL717" s="815"/>
      <c r="EM717" s="815"/>
      <c r="EN717" s="815"/>
      <c r="EO717" s="815"/>
      <c r="EP717" s="815"/>
      <c r="EQ717" s="815"/>
      <c r="ER717" s="815"/>
      <c r="ES717" s="815"/>
      <c r="ET717" s="815"/>
      <c r="EU717" s="815"/>
      <c r="EV717" s="815"/>
      <c r="EW717" s="815"/>
      <c r="EX717" s="815"/>
      <c r="EY717" s="815"/>
      <c r="EZ717" s="815"/>
      <c r="FA717" s="815"/>
      <c r="FB717" s="815"/>
      <c r="FC717" s="815"/>
      <c r="FD717" s="815"/>
      <c r="FE717" s="815"/>
      <c r="FF717" s="815"/>
      <c r="FG717" s="815"/>
      <c r="FH717" s="815"/>
      <c r="FI717" s="815"/>
      <c r="FJ717" s="815"/>
      <c r="FK717" s="815"/>
      <c r="FL717" s="815"/>
      <c r="FM717" s="815"/>
      <c r="FN717" s="815"/>
      <c r="FO717" s="815"/>
      <c r="FP717" s="815"/>
      <c r="FQ717" s="815"/>
      <c r="FR717" s="815"/>
      <c r="FS717" s="815"/>
      <c r="FT717" s="815"/>
      <c r="FU717" s="815"/>
      <c r="FV717" s="815"/>
      <c r="FW717" s="815"/>
      <c r="FX717" s="815"/>
      <c r="FY717" s="815"/>
      <c r="FZ717" s="815"/>
      <c r="GA717" s="815"/>
      <c r="GB717" s="815"/>
      <c r="GC717" s="815"/>
      <c r="GD717" s="815"/>
      <c r="GE717" s="815"/>
      <c r="GF717" s="815"/>
      <c r="GG717" s="815"/>
      <c r="GH717" s="815"/>
      <c r="GI717" s="815"/>
      <c r="GJ717" s="815"/>
      <c r="GK717" s="815"/>
      <c r="GL717" s="815"/>
      <c r="GM717" s="815"/>
      <c r="GN717" s="815"/>
      <c r="GO717" s="815"/>
      <c r="GP717" s="815"/>
      <c r="GQ717" s="815"/>
      <c r="GR717" s="815"/>
      <c r="GS717" s="815"/>
      <c r="GT717" s="815"/>
      <c r="GU717" s="815"/>
      <c r="GV717" s="815"/>
      <c r="GW717" s="815"/>
      <c r="GX717" s="815"/>
      <c r="GY717" s="815"/>
      <c r="GZ717" s="815"/>
      <c r="HA717" s="815"/>
      <c r="HB717" s="815"/>
      <c r="HC717" s="815"/>
      <c r="HD717" s="815"/>
      <c r="HE717" s="815"/>
      <c r="HF717" s="815"/>
      <c r="HG717" s="815"/>
      <c r="HH717" s="815"/>
      <c r="HI717" s="815"/>
      <c r="HJ717" s="815"/>
      <c r="HK717" s="815"/>
      <c r="HL717" s="815"/>
      <c r="HM717" s="815"/>
      <c r="HN717" s="815"/>
      <c r="HO717" s="815"/>
      <c r="HP717" s="815"/>
      <c r="HQ717" s="815"/>
      <c r="HR717" s="815"/>
      <c r="HS717" s="815"/>
      <c r="HT717" s="815"/>
      <c r="HU717" s="815"/>
      <c r="HV717" s="815"/>
      <c r="HW717" s="815"/>
      <c r="HX717" s="815"/>
      <c r="HY717" s="815"/>
      <c r="HZ717" s="815"/>
      <c r="IA717" s="815"/>
      <c r="IB717" s="815"/>
      <c r="IC717" s="815"/>
      <c r="ID717" s="815"/>
      <c r="IE717" s="815"/>
      <c r="IF717" s="815"/>
      <c r="IG717" s="815"/>
      <c r="IH717" s="815"/>
      <c r="II717" s="815"/>
      <c r="IJ717" s="815"/>
      <c r="IK717" s="815"/>
      <c r="IL717" s="815"/>
      <c r="IM717" s="815"/>
      <c r="IN717" s="815"/>
      <c r="IO717" s="815"/>
      <c r="IP717" s="815"/>
      <c r="IQ717" s="815"/>
      <c r="IR717" s="815"/>
      <c r="IS717" s="815"/>
      <c r="IT717" s="815"/>
      <c r="IU717" s="815"/>
      <c r="IV717" s="815"/>
      <c r="IW717" s="815"/>
      <c r="IX717" s="815"/>
      <c r="IY717" s="815"/>
      <c r="IZ717" s="815"/>
      <c r="JA717" s="815"/>
      <c r="JB717" s="815"/>
      <c r="JC717" s="815"/>
      <c r="JD717" s="815"/>
      <c r="JE717" s="815"/>
      <c r="JF717" s="815"/>
      <c r="JG717" s="815"/>
      <c r="JH717" s="815"/>
      <c r="JI717" s="815"/>
      <c r="JJ717" s="815"/>
      <c r="JK717" s="815"/>
      <c r="JL717" s="815"/>
      <c r="JM717" s="815"/>
      <c r="JN717" s="815"/>
      <c r="JO717" s="815"/>
      <c r="JP717" s="815"/>
      <c r="JQ717" s="815"/>
      <c r="JR717" s="815"/>
      <c r="JS717" s="815"/>
      <c r="JT717" s="815"/>
      <c r="JU717" s="815"/>
      <c r="JV717" s="815"/>
      <c r="JW717" s="815"/>
      <c r="JX717" s="815"/>
      <c r="JY717" s="815"/>
      <c r="JZ717" s="815"/>
      <c r="KA717" s="815"/>
      <c r="KB717" s="815"/>
      <c r="KC717" s="815"/>
      <c r="KD717" s="815"/>
      <c r="KE717" s="815"/>
      <c r="KF717" s="815"/>
      <c r="KG717" s="815"/>
      <c r="KH717" s="815"/>
      <c r="KI717" s="815"/>
      <c r="KJ717" s="815"/>
      <c r="KK717" s="815"/>
      <c r="KL717" s="815"/>
      <c r="KM717" s="815"/>
      <c r="KN717" s="815"/>
    </row>
    <row r="718" spans="1:300" s="815" customFormat="1" ht="15">
      <c r="A718" s="794">
        <v>716</v>
      </c>
      <c r="B718" s="785" t="s">
        <v>182</v>
      </c>
      <c r="C718" s="820" t="s">
        <v>1286</v>
      </c>
      <c r="D718" s="819">
        <v>38626</v>
      </c>
      <c r="E718" s="819">
        <v>39173</v>
      </c>
      <c r="F718" s="791">
        <v>2005</v>
      </c>
      <c r="G718" s="815" t="s">
        <v>181</v>
      </c>
      <c r="H718" s="815" t="s">
        <v>1450</v>
      </c>
      <c r="I718" s="818" t="s">
        <v>179</v>
      </c>
      <c r="J718" s="812" t="s">
        <v>2438</v>
      </c>
      <c r="K718" s="808">
        <v>50250</v>
      </c>
      <c r="L718" s="808">
        <v>6175760</v>
      </c>
      <c r="M718" s="808">
        <v>5537744</v>
      </c>
      <c r="N718" s="808">
        <v>5443913</v>
      </c>
      <c r="O718" s="808">
        <f>N718/K718</f>
        <v>108.33657711442785</v>
      </c>
      <c r="P718" s="808">
        <f>(M718*100)/L718</f>
        <v>89.669028589193886</v>
      </c>
      <c r="Q718" s="808"/>
      <c r="R718" s="808">
        <f>(167+82+26+56)*5</f>
        <v>1655</v>
      </c>
      <c r="S718" s="808">
        <f>(167+82+26+56)*5</f>
        <v>1655</v>
      </c>
      <c r="T718" s="808" t="s">
        <v>2</v>
      </c>
      <c r="U718" s="808"/>
      <c r="V718" s="808">
        <f>34+70+28+103+112+28</f>
        <v>375</v>
      </c>
      <c r="W718" s="808">
        <v>383915</v>
      </c>
      <c r="X718" s="808">
        <v>333520</v>
      </c>
      <c r="Y718" s="808">
        <f>X718/S718</f>
        <v>201.52265861027189</v>
      </c>
      <c r="Z718" s="808">
        <f>670+148</f>
        <v>818</v>
      </c>
      <c r="AA718" s="808">
        <f>10001+ (671*5)+1880+521</f>
        <v>15757</v>
      </c>
      <c r="AB718" s="808">
        <v>63</v>
      </c>
      <c r="AC718" s="808"/>
      <c r="AD718" s="808"/>
      <c r="AE718" s="808"/>
      <c r="AF718" s="808"/>
      <c r="AG718" s="808"/>
      <c r="AH718" s="808">
        <v>1997</v>
      </c>
      <c r="AI718" s="808">
        <v>42</v>
      </c>
      <c r="AJ718" s="808">
        <f t="shared" si="44"/>
        <v>18572</v>
      </c>
      <c r="AK718" s="808">
        <v>107509</v>
      </c>
      <c r="AL718" s="808">
        <v>48946</v>
      </c>
      <c r="AM718" s="816"/>
      <c r="AN718" s="816"/>
      <c r="AO718" s="816"/>
      <c r="AP718" s="816"/>
      <c r="AQ718" s="816"/>
      <c r="AR718" s="816"/>
      <c r="AS718" s="816"/>
      <c r="AT718" s="816"/>
      <c r="AU718" s="433" t="s">
        <v>180</v>
      </c>
    </row>
    <row r="719" spans="1:300" s="815" customFormat="1" ht="15">
      <c r="A719" s="794">
        <v>717</v>
      </c>
      <c r="B719" s="785" t="s">
        <v>121</v>
      </c>
      <c r="C719" s="820" t="s">
        <v>1261</v>
      </c>
      <c r="D719" s="819">
        <v>38657</v>
      </c>
      <c r="E719" s="819">
        <v>38749</v>
      </c>
      <c r="F719" s="791">
        <v>2005</v>
      </c>
      <c r="G719" s="815" t="s">
        <v>2061</v>
      </c>
      <c r="H719" s="815" t="s">
        <v>1454</v>
      </c>
      <c r="I719" s="818" t="s">
        <v>2062</v>
      </c>
      <c r="J719" s="818" t="s">
        <v>2331</v>
      </c>
      <c r="K719" s="808" t="s">
        <v>134</v>
      </c>
      <c r="L719" s="808">
        <v>130000</v>
      </c>
      <c r="M719" s="808">
        <v>128762</v>
      </c>
      <c r="N719" s="808">
        <v>128762</v>
      </c>
      <c r="O719" s="808"/>
      <c r="P719" s="808">
        <f>(N719*100)/L719</f>
        <v>99.047692307692301</v>
      </c>
      <c r="Q719" s="808"/>
      <c r="R719" s="808">
        <f>25*20</f>
        <v>500</v>
      </c>
      <c r="S719" s="808">
        <f>25*20</f>
        <v>500</v>
      </c>
      <c r="T719" s="817" t="s">
        <v>233</v>
      </c>
      <c r="U719" s="808"/>
      <c r="V719" s="808"/>
      <c r="W719" s="808"/>
      <c r="X719" s="808"/>
      <c r="Y719" s="808">
        <f>X719/S719</f>
        <v>0</v>
      </c>
      <c r="Z719" s="808"/>
      <c r="AA719" s="808"/>
      <c r="AB719" s="808"/>
      <c r="AC719" s="808"/>
      <c r="AD719" s="808"/>
      <c r="AE719" s="808"/>
      <c r="AF719" s="808"/>
      <c r="AG719" s="808"/>
      <c r="AH719" s="808"/>
      <c r="AI719" s="808"/>
      <c r="AJ719" s="808">
        <f t="shared" si="44"/>
        <v>0</v>
      </c>
      <c r="AK719" s="808"/>
      <c r="AL719" s="808"/>
      <c r="AM719" s="816"/>
      <c r="AN719" s="816"/>
      <c r="AO719" s="816"/>
      <c r="AP719" s="816"/>
      <c r="AQ719" s="816"/>
      <c r="AR719" s="816"/>
      <c r="AS719" s="816"/>
      <c r="AT719" s="816"/>
      <c r="AU719" s="433" t="s">
        <v>2060</v>
      </c>
    </row>
    <row r="720" spans="1:300" s="448" customFormat="1" ht="19.5" customHeight="1">
      <c r="A720" s="794">
        <v>718</v>
      </c>
      <c r="B720" s="441" t="s">
        <v>871</v>
      </c>
      <c r="C720" s="441" t="s">
        <v>1260</v>
      </c>
      <c r="D720" s="442">
        <v>38231</v>
      </c>
      <c r="E720" s="442">
        <v>39417</v>
      </c>
      <c r="F720" s="809">
        <v>2004</v>
      </c>
      <c r="G720" s="814" t="s">
        <v>1468</v>
      </c>
      <c r="H720" s="444" t="s">
        <v>1452</v>
      </c>
      <c r="I720" s="441" t="s">
        <v>856</v>
      </c>
      <c r="J720" s="812" t="s">
        <v>2438</v>
      </c>
      <c r="K720" s="446">
        <v>5000</v>
      </c>
      <c r="L720" s="446">
        <v>2590046</v>
      </c>
      <c r="M720" s="446">
        <v>2603081</v>
      </c>
      <c r="N720" s="446">
        <v>2603081</v>
      </c>
      <c r="O720" s="808">
        <f t="shared" ref="O720:O734" si="45">N720/K720</f>
        <v>520.61620000000005</v>
      </c>
      <c r="P720" s="446">
        <v>101</v>
      </c>
      <c r="Q720" s="446" t="s">
        <v>75</v>
      </c>
      <c r="R720" s="446" t="s">
        <v>75</v>
      </c>
      <c r="S720" s="446" t="s">
        <v>75</v>
      </c>
      <c r="T720" s="446" t="s">
        <v>849</v>
      </c>
      <c r="U720" s="446" t="s">
        <v>75</v>
      </c>
      <c r="V720" s="446" t="s">
        <v>75</v>
      </c>
      <c r="W720" s="446">
        <v>25</v>
      </c>
      <c r="X720" s="446">
        <v>25</v>
      </c>
      <c r="Y720" s="446"/>
      <c r="Z720" s="446">
        <v>1000</v>
      </c>
      <c r="AA720" s="446" t="s">
        <v>75</v>
      </c>
      <c r="AB720" s="446" t="s">
        <v>75</v>
      </c>
      <c r="AC720" s="446" t="s">
        <v>75</v>
      </c>
      <c r="AD720" s="446" t="s">
        <v>75</v>
      </c>
      <c r="AE720" s="446" t="s">
        <v>75</v>
      </c>
      <c r="AF720" s="446" t="s">
        <v>75</v>
      </c>
      <c r="AG720" s="446" t="s">
        <v>75</v>
      </c>
      <c r="AH720" s="446" t="s">
        <v>75</v>
      </c>
      <c r="AI720" s="446" t="s">
        <v>75</v>
      </c>
      <c r="AJ720" s="447">
        <f t="shared" si="44"/>
        <v>1000</v>
      </c>
      <c r="AK720" s="446">
        <v>517</v>
      </c>
      <c r="AL720" s="446">
        <v>529</v>
      </c>
      <c r="AM720" s="446"/>
      <c r="AN720" s="446" t="s">
        <v>75</v>
      </c>
      <c r="AO720" s="446" t="s">
        <v>75</v>
      </c>
      <c r="AP720" s="446" t="s">
        <v>75</v>
      </c>
      <c r="AQ720" s="446" t="s">
        <v>75</v>
      </c>
      <c r="AR720" s="446" t="s">
        <v>75</v>
      </c>
      <c r="AS720" s="446" t="s">
        <v>75</v>
      </c>
      <c r="AT720" s="446" t="s">
        <v>75</v>
      </c>
      <c r="AU720" s="359" t="s">
        <v>752</v>
      </c>
      <c r="AV720" s="441"/>
      <c r="AW720" s="441"/>
      <c r="AX720" s="441"/>
      <c r="AY720" s="441"/>
      <c r="AZ720" s="441"/>
      <c r="BA720" s="441"/>
      <c r="BB720" s="441"/>
      <c r="BC720" s="441"/>
      <c r="BD720" s="441"/>
      <c r="BE720" s="441"/>
      <c r="BF720" s="441"/>
      <c r="BG720" s="441"/>
      <c r="BH720" s="441"/>
      <c r="BI720" s="441"/>
      <c r="BJ720" s="441"/>
      <c r="BK720" s="441"/>
      <c r="BL720" s="441"/>
      <c r="BM720" s="441"/>
    </row>
    <row r="721" spans="1:118" s="449" customFormat="1" ht="15">
      <c r="A721" s="794">
        <v>719</v>
      </c>
      <c r="B721" s="785" t="s">
        <v>1180</v>
      </c>
      <c r="C721" s="449" t="s">
        <v>1261</v>
      </c>
      <c r="D721" s="450">
        <v>38078</v>
      </c>
      <c r="E721" s="450">
        <v>38443</v>
      </c>
      <c r="F721" s="809">
        <v>2004</v>
      </c>
      <c r="G721" s="449" t="s">
        <v>319</v>
      </c>
      <c r="H721" s="444" t="s">
        <v>1463</v>
      </c>
      <c r="I721" s="449" t="s">
        <v>405</v>
      </c>
      <c r="J721" s="449" t="s">
        <v>2438</v>
      </c>
      <c r="K721" s="455">
        <v>127000</v>
      </c>
      <c r="L721" s="453">
        <v>1683756</v>
      </c>
      <c r="M721" s="453">
        <v>1562136</v>
      </c>
      <c r="N721" s="453">
        <v>1562136</v>
      </c>
      <c r="O721" s="808">
        <f t="shared" si="45"/>
        <v>12.300283464566929</v>
      </c>
      <c r="P721" s="453">
        <v>92.7</v>
      </c>
      <c r="Q721" s="453">
        <v>27000</v>
      </c>
      <c r="R721" s="453" t="s">
        <v>75</v>
      </c>
      <c r="S721" s="453">
        <v>27000</v>
      </c>
      <c r="T721" s="453" t="s">
        <v>233</v>
      </c>
      <c r="U721" s="453" t="s">
        <v>75</v>
      </c>
      <c r="V721" s="453" t="s">
        <v>75</v>
      </c>
      <c r="W721" s="455">
        <v>416000</v>
      </c>
      <c r="X721" s="453">
        <v>507131</v>
      </c>
      <c r="Y721" s="808">
        <f>X721/S721</f>
        <v>18.782629629629628</v>
      </c>
      <c r="Z721" s="453" t="s">
        <v>75</v>
      </c>
      <c r="AA721" s="453" t="s">
        <v>75</v>
      </c>
      <c r="AB721" s="453" t="s">
        <v>134</v>
      </c>
      <c r="AC721" s="453" t="s">
        <v>75</v>
      </c>
      <c r="AD721" s="453" t="s">
        <v>75</v>
      </c>
      <c r="AE721" s="453" t="s">
        <v>75</v>
      </c>
      <c r="AF721" s="453" t="s">
        <v>75</v>
      </c>
      <c r="AG721" s="453" t="s">
        <v>75</v>
      </c>
      <c r="AH721" s="455" t="s">
        <v>320</v>
      </c>
      <c r="AI721" s="453" t="s">
        <v>75</v>
      </c>
      <c r="AJ721" s="787">
        <f t="shared" si="44"/>
        <v>0</v>
      </c>
      <c r="AK721" s="455">
        <v>109000</v>
      </c>
      <c r="AL721" s="453">
        <v>148387</v>
      </c>
      <c r="AM721" s="453"/>
      <c r="AN721" s="453" t="s">
        <v>75</v>
      </c>
      <c r="AO721" s="453" t="s">
        <v>75</v>
      </c>
      <c r="AP721" s="453" t="s">
        <v>75</v>
      </c>
      <c r="AQ721" s="453" t="s">
        <v>75</v>
      </c>
      <c r="AR721" s="453" t="s">
        <v>75</v>
      </c>
      <c r="AS721" s="453" t="s">
        <v>75</v>
      </c>
      <c r="AT721" s="453" t="s">
        <v>75</v>
      </c>
      <c r="AU721" s="403" t="s">
        <v>318</v>
      </c>
      <c r="DN721" s="448"/>
    </row>
    <row r="722" spans="1:118" s="449" customFormat="1" ht="15">
      <c r="A722" s="794">
        <v>720</v>
      </c>
      <c r="B722" s="449" t="s">
        <v>333</v>
      </c>
      <c r="C722" s="449" t="s">
        <v>1278</v>
      </c>
      <c r="D722" s="450">
        <v>38018</v>
      </c>
      <c r="E722" s="450">
        <v>38687</v>
      </c>
      <c r="F722" s="809">
        <v>2004</v>
      </c>
      <c r="G722" s="449" t="s">
        <v>24</v>
      </c>
      <c r="H722" s="454" t="s">
        <v>1454</v>
      </c>
      <c r="I722" s="449" t="s">
        <v>365</v>
      </c>
      <c r="J722" s="812" t="s">
        <v>2438</v>
      </c>
      <c r="K722" s="455">
        <v>30000</v>
      </c>
      <c r="L722" s="453">
        <v>2832086</v>
      </c>
      <c r="M722" s="453">
        <v>27373977</v>
      </c>
      <c r="N722" s="453">
        <v>2508669</v>
      </c>
      <c r="O722" s="808">
        <f t="shared" si="45"/>
        <v>83.622299999999996</v>
      </c>
      <c r="P722" s="453">
        <v>97</v>
      </c>
      <c r="Q722" s="453">
        <v>1500</v>
      </c>
      <c r="R722" s="453">
        <v>1500</v>
      </c>
      <c r="S722" s="453">
        <v>1500</v>
      </c>
      <c r="T722" s="453" t="s">
        <v>233</v>
      </c>
      <c r="U722" s="453" t="s">
        <v>75</v>
      </c>
      <c r="V722" s="453" t="s">
        <v>75</v>
      </c>
      <c r="W722" s="455">
        <v>101000</v>
      </c>
      <c r="X722" s="453">
        <v>172</v>
      </c>
      <c r="Y722" s="808">
        <f>X722/S722</f>
        <v>0.11466666666666667</v>
      </c>
      <c r="Z722" s="453">
        <v>1500</v>
      </c>
      <c r="AA722" s="453" t="s">
        <v>134</v>
      </c>
      <c r="AB722" s="453">
        <v>961</v>
      </c>
      <c r="AC722" s="453" t="s">
        <v>75</v>
      </c>
      <c r="AD722" s="453" t="s">
        <v>75</v>
      </c>
      <c r="AE722" s="453" t="s">
        <v>75</v>
      </c>
      <c r="AF722" s="453" t="s">
        <v>75</v>
      </c>
      <c r="AG722" s="453" t="s">
        <v>75</v>
      </c>
      <c r="AH722" s="455" t="s">
        <v>267</v>
      </c>
      <c r="AI722" s="453" t="s">
        <v>75</v>
      </c>
      <c r="AJ722" s="447">
        <f t="shared" si="44"/>
        <v>1500</v>
      </c>
      <c r="AK722" s="455" t="s">
        <v>66</v>
      </c>
      <c r="AL722" s="453" t="s">
        <v>66</v>
      </c>
      <c r="AM722" s="453"/>
      <c r="AN722" s="455" t="s">
        <v>75</v>
      </c>
      <c r="AO722" s="453" t="s">
        <v>75</v>
      </c>
      <c r="AP722" s="453" t="s">
        <v>75</v>
      </c>
      <c r="AQ722" s="453" t="s">
        <v>75</v>
      </c>
      <c r="AR722" s="453" t="s">
        <v>75</v>
      </c>
      <c r="AS722" s="453" t="s">
        <v>75</v>
      </c>
      <c r="AT722" s="453" t="s">
        <v>75</v>
      </c>
      <c r="AU722" s="403" t="s">
        <v>358</v>
      </c>
      <c r="DN722" s="448"/>
    </row>
    <row r="723" spans="1:118" s="449" customFormat="1" ht="15">
      <c r="A723" s="794">
        <v>721</v>
      </c>
      <c r="B723" s="449" t="s">
        <v>12</v>
      </c>
      <c r="C723" s="449" t="s">
        <v>1299</v>
      </c>
      <c r="D723" s="450">
        <v>38200</v>
      </c>
      <c r="E723" s="450">
        <v>38565</v>
      </c>
      <c r="F723" s="809">
        <v>2004</v>
      </c>
      <c r="G723" s="449" t="s">
        <v>79</v>
      </c>
      <c r="H723" s="454" t="s">
        <v>1453</v>
      </c>
      <c r="I723" s="449" t="s">
        <v>364</v>
      </c>
      <c r="J723" s="812" t="s">
        <v>2438</v>
      </c>
      <c r="K723" s="455">
        <v>308000</v>
      </c>
      <c r="L723" s="453">
        <v>2121677</v>
      </c>
      <c r="M723" s="453">
        <v>1346654</v>
      </c>
      <c r="N723" s="453">
        <v>1346654</v>
      </c>
      <c r="O723" s="808">
        <f t="shared" si="45"/>
        <v>4.3722532467532469</v>
      </c>
      <c r="P723" s="453">
        <v>63.47</v>
      </c>
      <c r="Q723" s="453">
        <v>22500</v>
      </c>
      <c r="R723" s="453">
        <v>26800</v>
      </c>
      <c r="S723" s="453">
        <v>26800</v>
      </c>
      <c r="T723" s="453" t="s">
        <v>2</v>
      </c>
      <c r="U723" s="453">
        <v>60</v>
      </c>
      <c r="V723" s="453">
        <v>26800</v>
      </c>
      <c r="W723" s="455">
        <v>231616</v>
      </c>
      <c r="X723" s="453">
        <v>145918</v>
      </c>
      <c r="Y723" s="808">
        <f>X723/S723</f>
        <v>5.4447014925373134</v>
      </c>
      <c r="Z723" s="453" t="s">
        <v>75</v>
      </c>
      <c r="AA723" s="453" t="s">
        <v>134</v>
      </c>
      <c r="AB723" s="453">
        <v>30</v>
      </c>
      <c r="AC723" s="453" t="s">
        <v>75</v>
      </c>
      <c r="AD723" s="453" t="s">
        <v>75</v>
      </c>
      <c r="AE723" s="453" t="s">
        <v>75</v>
      </c>
      <c r="AF723" s="453" t="s">
        <v>75</v>
      </c>
      <c r="AG723" s="453" t="s">
        <v>75</v>
      </c>
      <c r="AH723" s="455" t="s">
        <v>75</v>
      </c>
      <c r="AI723" s="453" t="s">
        <v>75</v>
      </c>
      <c r="AJ723" s="447">
        <f t="shared" si="44"/>
        <v>0</v>
      </c>
      <c r="AK723" s="455" t="s">
        <v>66</v>
      </c>
      <c r="AL723" s="453" t="s">
        <v>66</v>
      </c>
      <c r="AM723" s="453"/>
      <c r="AN723" s="453" t="s">
        <v>75</v>
      </c>
      <c r="AO723" s="453" t="s">
        <v>75</v>
      </c>
      <c r="AP723" s="453" t="s">
        <v>75</v>
      </c>
      <c r="AQ723" s="453" t="s">
        <v>75</v>
      </c>
      <c r="AR723" s="453" t="s">
        <v>75</v>
      </c>
      <c r="AS723" s="453" t="s">
        <v>75</v>
      </c>
      <c r="AT723" s="453" t="s">
        <v>75</v>
      </c>
      <c r="AU723" s="403" t="s">
        <v>363</v>
      </c>
      <c r="DN723" s="448"/>
    </row>
    <row r="724" spans="1:118" s="449" customFormat="1" ht="15">
      <c r="A724" s="794">
        <v>722</v>
      </c>
      <c r="B724" s="449" t="s">
        <v>6</v>
      </c>
      <c r="C724" s="449" t="s">
        <v>1261</v>
      </c>
      <c r="D724" s="450">
        <v>38169</v>
      </c>
      <c r="E724" s="450">
        <v>38504</v>
      </c>
      <c r="F724" s="809">
        <v>2004</v>
      </c>
      <c r="G724" s="449" t="s">
        <v>5</v>
      </c>
      <c r="H724" s="444" t="s">
        <v>1451</v>
      </c>
      <c r="I724" s="449" t="s">
        <v>415</v>
      </c>
      <c r="J724" s="812" t="s">
        <v>2438</v>
      </c>
      <c r="K724" s="455">
        <v>1407500</v>
      </c>
      <c r="L724" s="453">
        <v>7051000</v>
      </c>
      <c r="M724" s="453">
        <v>6489244</v>
      </c>
      <c r="N724" s="453">
        <v>6489244</v>
      </c>
      <c r="O724" s="808">
        <f t="shared" si="45"/>
        <v>4.6104753108348131</v>
      </c>
      <c r="P724" s="453">
        <v>92</v>
      </c>
      <c r="Q724" s="453" t="s">
        <v>75</v>
      </c>
      <c r="R724" s="453" t="s">
        <v>75</v>
      </c>
      <c r="S724" s="453" t="s">
        <v>75</v>
      </c>
      <c r="T724" s="453" t="s">
        <v>233</v>
      </c>
      <c r="U724" s="453" t="s">
        <v>75</v>
      </c>
      <c r="V724" s="453" t="s">
        <v>75</v>
      </c>
      <c r="W724" s="455" t="s">
        <v>66</v>
      </c>
      <c r="X724" s="453" t="s">
        <v>66</v>
      </c>
      <c r="Y724" s="455"/>
      <c r="Z724" s="453" t="s">
        <v>75</v>
      </c>
      <c r="AA724" s="453" t="s">
        <v>75</v>
      </c>
      <c r="AB724" s="453" t="s">
        <v>75</v>
      </c>
      <c r="AC724" s="453" t="s">
        <v>75</v>
      </c>
      <c r="AD724" s="453" t="s">
        <v>75</v>
      </c>
      <c r="AE724" s="453" t="s">
        <v>75</v>
      </c>
      <c r="AF724" s="453" t="s">
        <v>75</v>
      </c>
      <c r="AG724" s="453" t="s">
        <v>75</v>
      </c>
      <c r="AH724" s="455">
        <v>361323</v>
      </c>
      <c r="AI724" s="453" t="s">
        <v>75</v>
      </c>
      <c r="AJ724" s="447">
        <f t="shared" si="44"/>
        <v>361323</v>
      </c>
      <c r="AK724" s="455">
        <v>131608</v>
      </c>
      <c r="AL724" s="453">
        <v>124988</v>
      </c>
      <c r="AM724" s="453"/>
      <c r="AN724" s="453"/>
      <c r="AO724" s="453"/>
      <c r="AP724" s="453"/>
      <c r="AQ724" s="453"/>
      <c r="AR724" s="453"/>
      <c r="AS724" s="453" t="s">
        <v>75</v>
      </c>
      <c r="AT724" s="453" t="s">
        <v>75</v>
      </c>
      <c r="AU724" s="403" t="s">
        <v>413</v>
      </c>
      <c r="DN724" s="448"/>
    </row>
    <row r="725" spans="1:118" s="449" customFormat="1" ht="15">
      <c r="A725" s="794">
        <v>723</v>
      </c>
      <c r="B725" s="449" t="s">
        <v>373</v>
      </c>
      <c r="C725" s="449" t="s">
        <v>1261</v>
      </c>
      <c r="D725" s="450">
        <v>38169</v>
      </c>
      <c r="E725" s="450">
        <v>38626</v>
      </c>
      <c r="F725" s="809">
        <v>2004</v>
      </c>
      <c r="G725" s="449" t="s">
        <v>5</v>
      </c>
      <c r="H725" s="444" t="s">
        <v>1451</v>
      </c>
      <c r="I725" s="449" t="s">
        <v>416</v>
      </c>
      <c r="J725" s="812" t="s">
        <v>2438</v>
      </c>
      <c r="K725" s="455">
        <v>200000</v>
      </c>
      <c r="L725" s="453">
        <v>2034912</v>
      </c>
      <c r="M725" s="453">
        <v>1794373</v>
      </c>
      <c r="N725" s="453">
        <v>1794373</v>
      </c>
      <c r="O725" s="808">
        <f t="shared" si="45"/>
        <v>8.9718649999999993</v>
      </c>
      <c r="P725" s="453">
        <v>88.2</v>
      </c>
      <c r="Q725" s="453">
        <v>2000</v>
      </c>
      <c r="R725" s="453">
        <v>740</v>
      </c>
      <c r="S725" s="453">
        <v>2000</v>
      </c>
      <c r="T725" s="453" t="s">
        <v>233</v>
      </c>
      <c r="U725" s="453" t="s">
        <v>75</v>
      </c>
      <c r="V725" s="453" t="s">
        <v>75</v>
      </c>
      <c r="W725" s="455">
        <v>56100</v>
      </c>
      <c r="X725" s="453">
        <v>49480</v>
      </c>
      <c r="Y725" s="808">
        <f>X725/S725</f>
        <v>24.74</v>
      </c>
      <c r="Z725" s="453" t="s">
        <v>75</v>
      </c>
      <c r="AA725" s="453" t="s">
        <v>75</v>
      </c>
      <c r="AB725" s="453">
        <v>500</v>
      </c>
      <c r="AC725" s="453" t="s">
        <v>75</v>
      </c>
      <c r="AD725" s="453" t="s">
        <v>75</v>
      </c>
      <c r="AE725" s="453">
        <v>80000</v>
      </c>
      <c r="AF725" s="453" t="s">
        <v>75</v>
      </c>
      <c r="AG725" s="453" t="s">
        <v>75</v>
      </c>
      <c r="AH725" s="455" t="s">
        <v>75</v>
      </c>
      <c r="AI725" s="453" t="s">
        <v>75</v>
      </c>
      <c r="AJ725" s="447">
        <f t="shared" si="44"/>
        <v>0</v>
      </c>
      <c r="AK725" s="455">
        <v>0</v>
      </c>
      <c r="AL725" s="453">
        <v>160</v>
      </c>
      <c r="AM725" s="453"/>
      <c r="AN725" s="453"/>
      <c r="AO725" s="453"/>
      <c r="AP725" s="453"/>
      <c r="AQ725" s="453"/>
      <c r="AR725" s="453"/>
      <c r="AS725" s="453" t="s">
        <v>75</v>
      </c>
      <c r="AT725" s="453" t="s">
        <v>75</v>
      </c>
      <c r="AU725" s="403" t="s">
        <v>414</v>
      </c>
      <c r="DN725" s="448"/>
    </row>
    <row r="726" spans="1:118" s="448" customFormat="1" ht="15">
      <c r="A726" s="794">
        <v>724</v>
      </c>
      <c r="B726" s="448" t="s">
        <v>18</v>
      </c>
      <c r="C726" s="448" t="s">
        <v>1286</v>
      </c>
      <c r="D726" s="456">
        <v>38231</v>
      </c>
      <c r="E726" s="456">
        <v>38657</v>
      </c>
      <c r="F726" s="809">
        <v>2004</v>
      </c>
      <c r="G726" s="448" t="s">
        <v>5</v>
      </c>
      <c r="H726" s="444" t="s">
        <v>1451</v>
      </c>
      <c r="I726" s="448" t="s">
        <v>432</v>
      </c>
      <c r="J726" s="812" t="s">
        <v>2438</v>
      </c>
      <c r="K726" s="455">
        <v>50000</v>
      </c>
      <c r="L726" s="455">
        <v>11673000</v>
      </c>
      <c r="M726" s="455">
        <v>4862630</v>
      </c>
      <c r="N726" s="455">
        <v>4684894</v>
      </c>
      <c r="O726" s="808">
        <f t="shared" si="45"/>
        <v>93.697879999999998</v>
      </c>
      <c r="P726" s="455">
        <v>41.6</v>
      </c>
      <c r="Q726" s="455">
        <v>15000</v>
      </c>
      <c r="R726" s="455">
        <v>6385</v>
      </c>
      <c r="S726" s="455">
        <v>15000</v>
      </c>
      <c r="T726" s="455" t="s">
        <v>2</v>
      </c>
      <c r="U726" s="455">
        <v>48</v>
      </c>
      <c r="V726" s="455" t="s">
        <v>75</v>
      </c>
      <c r="W726" s="455">
        <v>2314437</v>
      </c>
      <c r="X726" s="455">
        <v>192954</v>
      </c>
      <c r="Y726" s="808">
        <f>X726/S726</f>
        <v>12.8636</v>
      </c>
      <c r="Z726" s="455" t="s">
        <v>75</v>
      </c>
      <c r="AA726" s="455">
        <v>51010</v>
      </c>
      <c r="AB726" s="455">
        <v>25</v>
      </c>
      <c r="AC726" s="455" t="s">
        <v>2</v>
      </c>
      <c r="AD726" s="455" t="s">
        <v>75</v>
      </c>
      <c r="AE726" s="455">
        <v>8716</v>
      </c>
      <c r="AF726" s="455" t="s">
        <v>75</v>
      </c>
      <c r="AG726" s="455" t="s">
        <v>75</v>
      </c>
      <c r="AH726" s="455" t="s">
        <v>75</v>
      </c>
      <c r="AI726" s="455" t="s">
        <v>75</v>
      </c>
      <c r="AJ726" s="447">
        <f t="shared" si="44"/>
        <v>51010</v>
      </c>
      <c r="AK726" s="455">
        <v>15493</v>
      </c>
      <c r="AL726" s="455">
        <v>8915</v>
      </c>
      <c r="AM726" s="455"/>
      <c r="AN726" s="455">
        <v>1</v>
      </c>
      <c r="AO726" s="457"/>
      <c r="AP726" s="455">
        <v>1</v>
      </c>
      <c r="AQ726" s="455">
        <v>1</v>
      </c>
      <c r="AR726" s="457"/>
      <c r="AS726" s="455" t="s">
        <v>75</v>
      </c>
      <c r="AT726" s="455" t="s">
        <v>75</v>
      </c>
      <c r="AU726" s="276" t="s">
        <v>429</v>
      </c>
    </row>
    <row r="727" spans="1:118" s="448" customFormat="1" ht="15">
      <c r="A727" s="794">
        <v>725</v>
      </c>
      <c r="B727" s="448" t="s">
        <v>375</v>
      </c>
      <c r="C727" s="448" t="s">
        <v>1286</v>
      </c>
      <c r="D727" s="456">
        <v>38231</v>
      </c>
      <c r="E727" s="456">
        <v>38534</v>
      </c>
      <c r="F727" s="809">
        <v>2004</v>
      </c>
      <c r="G727" s="448" t="s">
        <v>431</v>
      </c>
      <c r="H727" s="444" t="s">
        <v>2271</v>
      </c>
      <c r="I727" s="448" t="s">
        <v>433</v>
      </c>
      <c r="J727" s="812" t="s">
        <v>2438</v>
      </c>
      <c r="K727" s="455">
        <v>25000</v>
      </c>
      <c r="L727" s="455">
        <v>2419000</v>
      </c>
      <c r="M727" s="455">
        <v>268396</v>
      </c>
      <c r="N727" s="455">
        <v>254101</v>
      </c>
      <c r="O727" s="808">
        <f t="shared" si="45"/>
        <v>10.16404</v>
      </c>
      <c r="P727" s="455">
        <v>11.1</v>
      </c>
      <c r="Q727" s="455" t="s">
        <v>75</v>
      </c>
      <c r="R727" s="455" t="s">
        <v>75</v>
      </c>
      <c r="S727" s="455" t="s">
        <v>75</v>
      </c>
      <c r="T727" s="455" t="s">
        <v>233</v>
      </c>
      <c r="U727" s="455" t="s">
        <v>75</v>
      </c>
      <c r="V727" s="455" t="s">
        <v>75</v>
      </c>
      <c r="W727" s="455" t="s">
        <v>66</v>
      </c>
      <c r="X727" s="455" t="s">
        <v>66</v>
      </c>
      <c r="Y727" s="455"/>
      <c r="Z727" s="455" t="s">
        <v>2</v>
      </c>
      <c r="AA727" s="455" t="s">
        <v>134</v>
      </c>
      <c r="AB727" s="455" t="s">
        <v>134</v>
      </c>
      <c r="AC727" s="455" t="s">
        <v>75</v>
      </c>
      <c r="AD727" s="455" t="s">
        <v>75</v>
      </c>
      <c r="AE727" s="455" t="s">
        <v>75</v>
      </c>
      <c r="AF727" s="455" t="s">
        <v>75</v>
      </c>
      <c r="AG727" s="455" t="s">
        <v>75</v>
      </c>
      <c r="AH727" s="455" t="s">
        <v>75</v>
      </c>
      <c r="AI727" s="455" t="s">
        <v>75</v>
      </c>
      <c r="AJ727" s="447">
        <f t="shared" si="44"/>
        <v>0</v>
      </c>
      <c r="AK727" s="455" t="s">
        <v>66</v>
      </c>
      <c r="AL727" s="455" t="s">
        <v>66</v>
      </c>
      <c r="AM727" s="455"/>
      <c r="AN727" s="455"/>
      <c r="AO727" s="455"/>
      <c r="AP727" s="455"/>
      <c r="AQ727" s="455"/>
      <c r="AR727" s="455"/>
      <c r="AS727" s="455" t="s">
        <v>75</v>
      </c>
      <c r="AT727" s="455" t="s">
        <v>75</v>
      </c>
      <c r="AU727" s="276" t="s">
        <v>430</v>
      </c>
    </row>
    <row r="728" spans="1:118" s="444" customFormat="1" ht="15">
      <c r="A728" s="794">
        <v>726</v>
      </c>
      <c r="B728" s="448" t="s">
        <v>485</v>
      </c>
      <c r="C728" s="448" t="s">
        <v>1299</v>
      </c>
      <c r="D728" s="458">
        <v>38018</v>
      </c>
      <c r="E728" s="458">
        <v>38869</v>
      </c>
      <c r="F728" s="809">
        <v>2004</v>
      </c>
      <c r="G728" s="448" t="s">
        <v>2171</v>
      </c>
      <c r="H728" s="444" t="s">
        <v>1450</v>
      </c>
      <c r="I728" s="444" t="s">
        <v>2213</v>
      </c>
      <c r="J728" s="812" t="s">
        <v>2438</v>
      </c>
      <c r="K728" s="455">
        <v>25000</v>
      </c>
      <c r="L728" s="455">
        <v>427000</v>
      </c>
      <c r="M728" s="447">
        <v>535355</v>
      </c>
      <c r="N728" s="447">
        <v>501061</v>
      </c>
      <c r="O728" s="808">
        <f t="shared" si="45"/>
        <v>20.042439999999999</v>
      </c>
      <c r="P728" s="813">
        <f>(M728*100)/L728</f>
        <v>125.37587822014052</v>
      </c>
      <c r="Q728" s="447"/>
      <c r="R728" s="447"/>
      <c r="S728" s="447"/>
      <c r="T728" s="455" t="s">
        <v>233</v>
      </c>
      <c r="U728" s="447">
        <v>50</v>
      </c>
      <c r="V728" s="447">
        <v>5000</v>
      </c>
      <c r="W728" s="447" t="s">
        <v>66</v>
      </c>
      <c r="X728" s="447">
        <v>92</v>
      </c>
      <c r="Y728" s="463"/>
      <c r="Z728" s="447"/>
      <c r="AA728" s="447">
        <v>5000</v>
      </c>
      <c r="AB728" s="455">
        <v>50</v>
      </c>
      <c r="AC728" s="447"/>
      <c r="AD728" s="447"/>
      <c r="AE728" s="447">
        <v>9000</v>
      </c>
      <c r="AF728" s="447"/>
      <c r="AG728" s="447"/>
      <c r="AH728" s="463"/>
      <c r="AI728" s="447"/>
      <c r="AJ728" s="447">
        <f t="shared" si="44"/>
        <v>5000</v>
      </c>
      <c r="AK728" s="447" t="s">
        <v>66</v>
      </c>
      <c r="AL728" s="447">
        <v>18943</v>
      </c>
      <c r="AM728" s="447"/>
      <c r="AN728" s="447"/>
      <c r="AO728" s="447"/>
      <c r="AP728" s="447"/>
      <c r="AQ728" s="447"/>
      <c r="AR728" s="447"/>
      <c r="AS728" s="447"/>
      <c r="AT728" s="447"/>
      <c r="AU728" s="352" t="s">
        <v>2170</v>
      </c>
      <c r="DN728" s="454"/>
    </row>
    <row r="729" spans="1:118" s="454" customFormat="1" ht="15">
      <c r="A729" s="794">
        <v>727</v>
      </c>
      <c r="B729" s="448" t="s">
        <v>87</v>
      </c>
      <c r="C729" s="448" t="s">
        <v>1261</v>
      </c>
      <c r="D729" s="461">
        <v>38169</v>
      </c>
      <c r="E729" s="461">
        <v>38231</v>
      </c>
      <c r="F729" s="809">
        <v>2004</v>
      </c>
      <c r="G729" s="448" t="s">
        <v>2175</v>
      </c>
      <c r="H729" s="454" t="s">
        <v>1450</v>
      </c>
      <c r="I729" s="454" t="s">
        <v>2252</v>
      </c>
      <c r="J729" s="812" t="s">
        <v>2438</v>
      </c>
      <c r="K729" s="463">
        <v>25000</v>
      </c>
      <c r="L729" s="463">
        <v>413048</v>
      </c>
      <c r="M729" s="463">
        <v>324266</v>
      </c>
      <c r="N729" s="463">
        <v>324266</v>
      </c>
      <c r="O729" s="808">
        <f t="shared" si="45"/>
        <v>12.97064</v>
      </c>
      <c r="P729" s="463">
        <v>78.5</v>
      </c>
      <c r="Q729" s="463"/>
      <c r="R729" s="463"/>
      <c r="S729" s="463"/>
      <c r="T729" s="455" t="s">
        <v>233</v>
      </c>
      <c r="U729" s="463"/>
      <c r="V729" s="463"/>
      <c r="W729" s="463">
        <v>32000</v>
      </c>
      <c r="X729" s="463"/>
      <c r="Y729" s="463"/>
      <c r="Z729" s="463"/>
      <c r="AA729" s="463"/>
      <c r="AB729" s="463"/>
      <c r="AC729" s="463" t="s">
        <v>2</v>
      </c>
      <c r="AD729" s="463"/>
      <c r="AE729" s="463"/>
      <c r="AF729" s="463"/>
      <c r="AG729" s="463"/>
      <c r="AH729" s="463"/>
      <c r="AI729" s="463"/>
      <c r="AJ729" s="447">
        <f t="shared" si="44"/>
        <v>0</v>
      </c>
      <c r="AK729" s="463">
        <v>1000</v>
      </c>
      <c r="AL729" s="463">
        <f>0.79*AK729</f>
        <v>790</v>
      </c>
      <c r="AM729" s="463"/>
      <c r="AN729" s="463"/>
      <c r="AO729" s="463"/>
      <c r="AP729" s="463"/>
      <c r="AQ729" s="463"/>
      <c r="AR729" s="463"/>
      <c r="AS729" s="463"/>
      <c r="AT729" s="463"/>
      <c r="AU729" s="346" t="s">
        <v>2172</v>
      </c>
    </row>
    <row r="730" spans="1:118" s="454" customFormat="1" ht="15">
      <c r="A730" s="794">
        <v>728</v>
      </c>
      <c r="B730" s="448" t="s">
        <v>8</v>
      </c>
      <c r="C730" s="448" t="s">
        <v>1261</v>
      </c>
      <c r="D730" s="461">
        <v>38292</v>
      </c>
      <c r="E730" s="461">
        <v>38565</v>
      </c>
      <c r="F730" s="809">
        <v>2004</v>
      </c>
      <c r="G730" s="448" t="s">
        <v>2174</v>
      </c>
      <c r="H730" s="454" t="s">
        <v>1450</v>
      </c>
      <c r="I730" s="454" t="s">
        <v>2228</v>
      </c>
      <c r="J730" s="812" t="s">
        <v>2438</v>
      </c>
      <c r="K730" s="463">
        <v>300000</v>
      </c>
      <c r="L730" s="463">
        <v>4193878</v>
      </c>
      <c r="M730" s="463">
        <v>2812177</v>
      </c>
      <c r="N730" s="463">
        <v>2812177</v>
      </c>
      <c r="O730" s="808">
        <f t="shared" si="45"/>
        <v>9.3739233333333338</v>
      </c>
      <c r="P730" s="447">
        <f>(M730*100)/L730</f>
        <v>67.054334913891154</v>
      </c>
      <c r="Q730" s="463">
        <f>5*500</f>
        <v>2500</v>
      </c>
      <c r="R730" s="463"/>
      <c r="S730" s="463">
        <v>2500</v>
      </c>
      <c r="T730" s="455" t="s">
        <v>233</v>
      </c>
      <c r="U730" s="463"/>
      <c r="V730" s="463"/>
      <c r="W730" s="463">
        <v>81600</v>
      </c>
      <c r="X730" s="463">
        <v>43047</v>
      </c>
      <c r="Y730" s="808">
        <f>X730/S730</f>
        <v>17.218800000000002</v>
      </c>
      <c r="Z730" s="463"/>
      <c r="AA730" s="647">
        <v>50000</v>
      </c>
      <c r="AB730" s="463"/>
      <c r="AC730" s="463"/>
      <c r="AD730" s="463"/>
      <c r="AE730" s="463">
        <v>50000</v>
      </c>
      <c r="AF730" s="463"/>
      <c r="AG730" s="463"/>
      <c r="AH730" s="463"/>
      <c r="AI730" s="463"/>
      <c r="AJ730" s="447">
        <f t="shared" si="44"/>
        <v>50000</v>
      </c>
      <c r="AK730" s="463">
        <v>280000</v>
      </c>
      <c r="AL730" s="463">
        <v>81680</v>
      </c>
      <c r="AM730" s="463"/>
      <c r="AN730" s="463"/>
      <c r="AO730" s="463"/>
      <c r="AP730" s="463"/>
      <c r="AQ730" s="463"/>
      <c r="AR730" s="463"/>
      <c r="AS730" s="463"/>
      <c r="AT730" s="463"/>
      <c r="AU730" s="346" t="s">
        <v>2173</v>
      </c>
    </row>
    <row r="731" spans="1:118" s="454" customFormat="1" ht="15">
      <c r="A731" s="794">
        <v>729</v>
      </c>
      <c r="B731" s="448" t="s">
        <v>85</v>
      </c>
      <c r="C731" s="448" t="s">
        <v>1261</v>
      </c>
      <c r="D731" s="456">
        <v>37987</v>
      </c>
      <c r="E731" s="456">
        <v>38108</v>
      </c>
      <c r="F731" s="809">
        <v>2004</v>
      </c>
      <c r="G731" s="448" t="s">
        <v>5</v>
      </c>
      <c r="H731" s="454" t="s">
        <v>1451</v>
      </c>
      <c r="I731" s="454" t="s">
        <v>2227</v>
      </c>
      <c r="J731" s="812" t="s">
        <v>2438</v>
      </c>
      <c r="K731" s="463">
        <v>25000</v>
      </c>
      <c r="L731" s="463">
        <v>904234</v>
      </c>
      <c r="M731" s="463">
        <v>730882</v>
      </c>
      <c r="N731" s="463">
        <v>730882</v>
      </c>
      <c r="O731" s="808">
        <f t="shared" si="45"/>
        <v>29.235279999999999</v>
      </c>
      <c r="P731" s="463">
        <f>(N731*100)/L731</f>
        <v>80.828856247387293</v>
      </c>
      <c r="Q731" s="463">
        <v>55086</v>
      </c>
      <c r="R731" s="463"/>
      <c r="S731" s="463">
        <v>55086</v>
      </c>
      <c r="T731" s="455" t="s">
        <v>233</v>
      </c>
      <c r="U731" s="463"/>
      <c r="V731" s="463"/>
      <c r="W731" s="463">
        <v>36000</v>
      </c>
      <c r="X731" s="463">
        <v>26916</v>
      </c>
      <c r="Y731" s="808">
        <f>X731/S731</f>
        <v>0.48861779762553098</v>
      </c>
      <c r="Z731" s="463"/>
      <c r="AA731" s="463"/>
      <c r="AB731" s="463"/>
      <c r="AC731" s="463"/>
      <c r="AD731" s="463"/>
      <c r="AE731" s="463"/>
      <c r="AF731" s="463"/>
      <c r="AG731" s="463"/>
      <c r="AH731" s="463"/>
      <c r="AI731" s="463"/>
      <c r="AJ731" s="447">
        <f t="shared" si="44"/>
        <v>0</v>
      </c>
      <c r="AK731" s="463" t="s">
        <v>66</v>
      </c>
      <c r="AL731" s="463" t="s">
        <v>66</v>
      </c>
      <c r="AM731" s="463"/>
      <c r="AN731" s="463"/>
      <c r="AO731" s="463"/>
      <c r="AP731" s="463"/>
      <c r="AQ731" s="463"/>
      <c r="AR731" s="463"/>
      <c r="AS731" s="463"/>
      <c r="AT731" s="463"/>
      <c r="AU731" s="346" t="s">
        <v>2177</v>
      </c>
    </row>
    <row r="732" spans="1:118" s="454" customFormat="1" ht="15">
      <c r="A732" s="794">
        <v>730</v>
      </c>
      <c r="B732" s="448" t="s">
        <v>2183</v>
      </c>
      <c r="C732" s="448" t="s">
        <v>1261</v>
      </c>
      <c r="D732" s="461">
        <v>37987</v>
      </c>
      <c r="E732" s="461">
        <v>38473</v>
      </c>
      <c r="F732" s="809">
        <v>2004</v>
      </c>
      <c r="G732" s="448" t="s">
        <v>2185</v>
      </c>
      <c r="H732" s="454" t="s">
        <v>1451</v>
      </c>
      <c r="I732" s="454" t="s">
        <v>2253</v>
      </c>
      <c r="J732" s="812" t="s">
        <v>2438</v>
      </c>
      <c r="K732" s="463">
        <f>565*5</f>
        <v>2825</v>
      </c>
      <c r="L732" s="463">
        <v>378148</v>
      </c>
      <c r="M732" s="463">
        <v>356306</v>
      </c>
      <c r="N732" s="463">
        <v>356306</v>
      </c>
      <c r="O732" s="808">
        <f t="shared" si="45"/>
        <v>126.12601769911504</v>
      </c>
      <c r="P732" s="463">
        <f>(N732*100)/L732</f>
        <v>94.223954642097809</v>
      </c>
      <c r="Q732" s="463"/>
      <c r="R732" s="463"/>
      <c r="S732" s="463"/>
      <c r="T732" s="455" t="s">
        <v>233</v>
      </c>
      <c r="U732" s="463"/>
      <c r="V732" s="463"/>
      <c r="W732" s="463">
        <v>18182</v>
      </c>
      <c r="X732" s="463"/>
      <c r="Y732" s="463"/>
      <c r="Z732" s="463"/>
      <c r="AA732" s="463"/>
      <c r="AB732" s="463"/>
      <c r="AC732" s="463">
        <v>56</v>
      </c>
      <c r="AD732" s="463"/>
      <c r="AE732" s="463"/>
      <c r="AF732" s="463"/>
      <c r="AG732" s="463"/>
      <c r="AH732" s="463"/>
      <c r="AI732" s="463"/>
      <c r="AJ732" s="447">
        <f t="shared" si="44"/>
        <v>0</v>
      </c>
      <c r="AK732" s="463"/>
      <c r="AL732" s="463"/>
      <c r="AM732" s="463"/>
      <c r="AN732" s="463"/>
      <c r="AO732" s="463"/>
      <c r="AP732" s="463"/>
      <c r="AQ732" s="463"/>
      <c r="AR732" s="463"/>
      <c r="AS732" s="463"/>
      <c r="AT732" s="463"/>
      <c r="AU732" s="346" t="s">
        <v>2184</v>
      </c>
    </row>
    <row r="733" spans="1:118" s="454" customFormat="1" ht="15">
      <c r="A733" s="794">
        <v>731</v>
      </c>
      <c r="B733" s="448" t="s">
        <v>1998</v>
      </c>
      <c r="C733" s="448" t="s">
        <v>1299</v>
      </c>
      <c r="D733" s="461">
        <v>38018</v>
      </c>
      <c r="E733" s="461">
        <v>38292</v>
      </c>
      <c r="F733" s="809">
        <v>2004</v>
      </c>
      <c r="G733" s="448" t="s">
        <v>79</v>
      </c>
      <c r="H733" s="454" t="s">
        <v>1453</v>
      </c>
      <c r="I733" s="454" t="s">
        <v>2254</v>
      </c>
      <c r="J733" s="812" t="s">
        <v>2438</v>
      </c>
      <c r="K733" s="463">
        <v>50000</v>
      </c>
      <c r="L733" s="463">
        <v>4910430</v>
      </c>
      <c r="M733" s="463">
        <v>2712305</v>
      </c>
      <c r="N733" s="463">
        <v>2642908</v>
      </c>
      <c r="O733" s="808">
        <f t="shared" si="45"/>
        <v>52.858159999999998</v>
      </c>
      <c r="P733" s="463">
        <f>(N733*100)/L733</f>
        <v>53.822333278348331</v>
      </c>
      <c r="Q733" s="463">
        <v>8000</v>
      </c>
      <c r="R733" s="463">
        <f>30*5</f>
        <v>150</v>
      </c>
      <c r="S733" s="463">
        <v>8000</v>
      </c>
      <c r="T733" s="463" t="s">
        <v>2</v>
      </c>
      <c r="U733" s="463">
        <v>40</v>
      </c>
      <c r="V733" s="463">
        <v>540</v>
      </c>
      <c r="W733" s="463">
        <v>460943</v>
      </c>
      <c r="X733" s="463">
        <v>47511</v>
      </c>
      <c r="Y733" s="808">
        <f>X733/S733</f>
        <v>5.9388750000000003</v>
      </c>
      <c r="Z733" s="463"/>
      <c r="AA733" s="463">
        <v>540</v>
      </c>
      <c r="AB733" s="463"/>
      <c r="AC733" s="463">
        <v>40</v>
      </c>
      <c r="AD733" s="463"/>
      <c r="AE733" s="463"/>
      <c r="AF733" s="463"/>
      <c r="AG733" s="463"/>
      <c r="AH733" s="463"/>
      <c r="AI733" s="463"/>
      <c r="AJ733" s="447">
        <f t="shared" si="44"/>
        <v>540</v>
      </c>
      <c r="AK733" s="463"/>
      <c r="AL733" s="463"/>
      <c r="AM733" s="463"/>
      <c r="AN733" s="463"/>
      <c r="AO733" s="463"/>
      <c r="AP733" s="463"/>
      <c r="AQ733" s="463"/>
      <c r="AR733" s="463"/>
      <c r="AS733" s="463"/>
      <c r="AT733" s="463"/>
      <c r="AU733" s="346" t="s">
        <v>2186</v>
      </c>
    </row>
    <row r="734" spans="1:118" s="454" customFormat="1" ht="15">
      <c r="A734" s="794">
        <v>732</v>
      </c>
      <c r="B734" s="448"/>
      <c r="C734" s="448" t="s">
        <v>1299</v>
      </c>
      <c r="D734" s="461">
        <v>38047</v>
      </c>
      <c r="E734" s="461">
        <v>38322</v>
      </c>
      <c r="F734" s="809">
        <v>2004</v>
      </c>
      <c r="G734" s="454" t="s">
        <v>2188</v>
      </c>
      <c r="H734" s="454" t="s">
        <v>1452</v>
      </c>
      <c r="I734" s="454" t="s">
        <v>2255</v>
      </c>
      <c r="J734" s="812" t="s">
        <v>2438</v>
      </c>
      <c r="K734" s="463">
        <v>283000</v>
      </c>
      <c r="L734" s="463">
        <v>4968000</v>
      </c>
      <c r="M734" s="463">
        <v>193115</v>
      </c>
      <c r="N734" s="463">
        <v>182307</v>
      </c>
      <c r="O734" s="808">
        <f t="shared" si="45"/>
        <v>0.6441943462897527</v>
      </c>
      <c r="P734" s="463">
        <f>(M734*100)/L734</f>
        <v>3.8871779388083736</v>
      </c>
      <c r="Q734" s="463"/>
      <c r="R734" s="463" t="s">
        <v>134</v>
      </c>
      <c r="S734" s="463" t="s">
        <v>134</v>
      </c>
      <c r="T734" s="455" t="s">
        <v>233</v>
      </c>
      <c r="U734" s="463">
        <v>14330</v>
      </c>
      <c r="V734" s="463"/>
      <c r="W734" s="463">
        <v>390000</v>
      </c>
      <c r="X734" s="463">
        <v>1040</v>
      </c>
      <c r="Y734" s="463"/>
      <c r="Z734" s="463">
        <v>241</v>
      </c>
      <c r="AA734" s="463">
        <f>14330+221300+5800+356+240</f>
        <v>242026</v>
      </c>
      <c r="AB734" s="463">
        <f>20+25+114+11</f>
        <v>170</v>
      </c>
      <c r="AC734" s="463"/>
      <c r="AD734" s="463"/>
      <c r="AE734" s="463"/>
      <c r="AF734" s="463"/>
      <c r="AG734" s="463">
        <f>44500+428</f>
        <v>44928</v>
      </c>
      <c r="AH734" s="463"/>
      <c r="AI734" s="463">
        <v>579</v>
      </c>
      <c r="AJ734" s="447">
        <f t="shared" si="44"/>
        <v>242267</v>
      </c>
      <c r="AK734" s="463">
        <v>385000</v>
      </c>
      <c r="AL734" s="463">
        <f>0.4*AK734</f>
        <v>154000</v>
      </c>
      <c r="AM734" s="463"/>
      <c r="AN734" s="463"/>
      <c r="AO734" s="463"/>
      <c r="AP734" s="463"/>
      <c r="AQ734" s="463"/>
      <c r="AR734" s="463"/>
      <c r="AS734" s="463" t="s">
        <v>1543</v>
      </c>
      <c r="AT734" s="463"/>
      <c r="AU734" s="346" t="s">
        <v>2187</v>
      </c>
    </row>
    <row r="735" spans="1:118" s="454" customFormat="1" ht="15">
      <c r="A735" s="794">
        <v>733</v>
      </c>
      <c r="B735" s="448" t="s">
        <v>18</v>
      </c>
      <c r="C735" s="448" t="s">
        <v>1261</v>
      </c>
      <c r="D735" s="461">
        <v>38047</v>
      </c>
      <c r="E735" s="461">
        <v>38322</v>
      </c>
      <c r="F735" s="809">
        <v>2004</v>
      </c>
      <c r="G735" s="448" t="s">
        <v>2098</v>
      </c>
      <c r="H735" s="454" t="s">
        <v>1452</v>
      </c>
      <c r="I735" s="454" t="s">
        <v>2256</v>
      </c>
      <c r="J735" s="812" t="s">
        <v>2438</v>
      </c>
      <c r="K735" s="463" t="s">
        <v>134</v>
      </c>
      <c r="L735" s="463">
        <v>1388000</v>
      </c>
      <c r="M735" s="463">
        <v>1593978</v>
      </c>
      <c r="N735" s="463">
        <v>1371667</v>
      </c>
      <c r="O735" s="808"/>
      <c r="P735" s="463">
        <f>(M735*100)/L735</f>
        <v>114.83991354466859</v>
      </c>
      <c r="Q735" s="463"/>
      <c r="R735" s="463"/>
      <c r="S735" s="463"/>
      <c r="T735" s="455" t="s">
        <v>233</v>
      </c>
      <c r="U735" s="463"/>
      <c r="V735" s="463"/>
      <c r="W735" s="463">
        <v>107000</v>
      </c>
      <c r="X735" s="463">
        <v>6084</v>
      </c>
      <c r="Y735" s="463"/>
      <c r="Z735" s="463"/>
      <c r="AA735" s="463">
        <v>10000</v>
      </c>
      <c r="AB735" s="463">
        <f>407+150+30</f>
        <v>587</v>
      </c>
      <c r="AC735" s="463"/>
      <c r="AD735" s="463"/>
      <c r="AE735" s="463"/>
      <c r="AF735" s="463"/>
      <c r="AG735" s="463"/>
      <c r="AH735" s="463"/>
      <c r="AI735" s="463"/>
      <c r="AJ735" s="447">
        <f t="shared" si="44"/>
        <v>10000</v>
      </c>
      <c r="AK735" s="463">
        <v>90000</v>
      </c>
      <c r="AL735" s="463">
        <v>26040</v>
      </c>
      <c r="AM735" s="463"/>
      <c r="AN735" s="463"/>
      <c r="AO735" s="463"/>
      <c r="AP735" s="463"/>
      <c r="AQ735" s="463"/>
      <c r="AR735" s="463"/>
      <c r="AS735" s="463"/>
      <c r="AT735" s="463"/>
      <c r="AU735" s="346" t="s">
        <v>2189</v>
      </c>
    </row>
    <row r="736" spans="1:118" s="454" customFormat="1" ht="15">
      <c r="A736" s="794">
        <v>734</v>
      </c>
      <c r="B736" s="448" t="s">
        <v>279</v>
      </c>
      <c r="C736" s="448" t="s">
        <v>1299</v>
      </c>
      <c r="D736" s="461">
        <v>38078</v>
      </c>
      <c r="E736" s="461">
        <v>38139</v>
      </c>
      <c r="F736" s="809">
        <v>2004</v>
      </c>
      <c r="G736" s="448" t="s">
        <v>5</v>
      </c>
      <c r="H736" s="454" t="s">
        <v>1451</v>
      </c>
      <c r="I736" s="454" t="s">
        <v>2257</v>
      </c>
      <c r="J736" s="812" t="s">
        <v>2438</v>
      </c>
      <c r="K736" s="463">
        <v>50000</v>
      </c>
      <c r="L736" s="463">
        <v>846000</v>
      </c>
      <c r="M736" s="463">
        <v>645395</v>
      </c>
      <c r="N736" s="463">
        <v>645378</v>
      </c>
      <c r="O736" s="808">
        <f t="shared" ref="O736:O746" si="46">N736/K736</f>
        <v>12.90756</v>
      </c>
      <c r="P736" s="463">
        <v>76.599999999999994</v>
      </c>
      <c r="Q736" s="463">
        <f>1000+(500*3)</f>
        <v>2500</v>
      </c>
      <c r="R736" s="463">
        <f>(53+19)*20</f>
        <v>1440</v>
      </c>
      <c r="S736" s="463">
        <v>5000</v>
      </c>
      <c r="T736" s="455" t="s">
        <v>233</v>
      </c>
      <c r="U736" s="463">
        <v>29</v>
      </c>
      <c r="V736" s="463">
        <v>20000</v>
      </c>
      <c r="W736" s="463">
        <v>180000</v>
      </c>
      <c r="X736" s="463">
        <v>72630</v>
      </c>
      <c r="Y736" s="808">
        <f>X736/S736</f>
        <v>14.526</v>
      </c>
      <c r="Z736" s="463"/>
      <c r="AA736" s="463">
        <v>20000</v>
      </c>
      <c r="AB736" s="463">
        <f>13+29</f>
        <v>42</v>
      </c>
      <c r="AC736" s="463"/>
      <c r="AD736" s="463"/>
      <c r="AE736" s="463">
        <v>12238</v>
      </c>
      <c r="AF736" s="463"/>
      <c r="AG736" s="463"/>
      <c r="AH736" s="463"/>
      <c r="AI736" s="463"/>
      <c r="AJ736" s="447">
        <f t="shared" si="44"/>
        <v>20000</v>
      </c>
      <c r="AK736" s="463" t="s">
        <v>66</v>
      </c>
      <c r="AL736" s="463" t="s">
        <v>66</v>
      </c>
      <c r="AM736" s="463"/>
      <c r="AN736" s="463"/>
      <c r="AO736" s="463"/>
      <c r="AP736" s="463"/>
      <c r="AQ736" s="463"/>
      <c r="AR736" s="463"/>
      <c r="AS736" s="463" t="s">
        <v>1543</v>
      </c>
      <c r="AT736" s="463"/>
      <c r="AU736" s="346" t="s">
        <v>2190</v>
      </c>
    </row>
    <row r="737" spans="1:47" s="454" customFormat="1" ht="15">
      <c r="A737" s="794">
        <v>735</v>
      </c>
      <c r="B737" s="812" t="s">
        <v>354</v>
      </c>
      <c r="C737" s="448" t="s">
        <v>1260</v>
      </c>
      <c r="D737" s="461">
        <v>38078</v>
      </c>
      <c r="E737" s="461">
        <v>38169</v>
      </c>
      <c r="F737" s="809">
        <v>2004</v>
      </c>
      <c r="G737" s="448" t="s">
        <v>5</v>
      </c>
      <c r="H737" s="454" t="s">
        <v>1451</v>
      </c>
      <c r="I737" s="454" t="s">
        <v>2258</v>
      </c>
      <c r="J737" s="812" t="s">
        <v>2438</v>
      </c>
      <c r="K737" s="463">
        <v>8412</v>
      </c>
      <c r="L737" s="463">
        <v>333000</v>
      </c>
      <c r="M737" s="463">
        <v>205209.85</v>
      </c>
      <c r="N737" s="463">
        <v>193706.39</v>
      </c>
      <c r="O737" s="808">
        <f t="shared" si="46"/>
        <v>23.027388254873991</v>
      </c>
      <c r="P737" s="463">
        <v>61.9</v>
      </c>
      <c r="Q737" s="463"/>
      <c r="R737" s="463"/>
      <c r="S737" s="463"/>
      <c r="T737" s="455" t="s">
        <v>233</v>
      </c>
      <c r="U737" s="463"/>
      <c r="V737" s="463"/>
      <c r="W737" s="463"/>
      <c r="X737" s="463"/>
      <c r="Y737" s="463"/>
      <c r="Z737" s="463"/>
      <c r="AA737" s="463"/>
      <c r="AB737" s="463"/>
      <c r="AC737" s="463"/>
      <c r="AD737" s="463"/>
      <c r="AE737" s="463"/>
      <c r="AF737" s="463"/>
      <c r="AG737" s="463"/>
      <c r="AH737" s="463"/>
      <c r="AI737" s="463"/>
      <c r="AJ737" s="447">
        <f t="shared" si="44"/>
        <v>0</v>
      </c>
      <c r="AK737" s="463"/>
      <c r="AL737" s="463"/>
      <c r="AM737" s="463"/>
      <c r="AN737" s="463"/>
      <c r="AO737" s="463"/>
      <c r="AP737" s="463"/>
      <c r="AQ737" s="463"/>
      <c r="AR737" s="463"/>
      <c r="AS737" s="463"/>
      <c r="AT737" s="463"/>
      <c r="AU737" s="346" t="s">
        <v>2191</v>
      </c>
    </row>
    <row r="738" spans="1:47" s="454" customFormat="1" ht="15">
      <c r="A738" s="794">
        <v>736</v>
      </c>
      <c r="B738" s="448" t="s">
        <v>2192</v>
      </c>
      <c r="C738" s="448" t="s">
        <v>1286</v>
      </c>
      <c r="D738" s="456">
        <v>38108</v>
      </c>
      <c r="E738" s="456">
        <v>38292</v>
      </c>
      <c r="F738" s="809">
        <v>2004</v>
      </c>
      <c r="G738" s="448" t="s">
        <v>5</v>
      </c>
      <c r="H738" s="454" t="s">
        <v>1451</v>
      </c>
      <c r="I738" s="454" t="s">
        <v>2259</v>
      </c>
      <c r="J738" s="812" t="s">
        <v>2438</v>
      </c>
      <c r="K738" s="463">
        <v>25000</v>
      </c>
      <c r="L738" s="463">
        <v>2433000</v>
      </c>
      <c r="M738" s="463">
        <v>2708530</v>
      </c>
      <c r="N738" s="463">
        <v>2763073</v>
      </c>
      <c r="O738" s="808">
        <f t="shared" si="46"/>
        <v>110.52292</v>
      </c>
      <c r="P738" s="463">
        <v>123.3</v>
      </c>
      <c r="Q738" s="463">
        <f>25000+(71*5)</f>
        <v>25355</v>
      </c>
      <c r="R738" s="463">
        <f>100+(71*5)</f>
        <v>455</v>
      </c>
      <c r="S738" s="463">
        <f>25000+(71*5)</f>
        <v>25355</v>
      </c>
      <c r="T738" s="463"/>
      <c r="U738" s="463"/>
      <c r="V738" s="463">
        <v>25000</v>
      </c>
      <c r="W738" s="463">
        <v>114000</v>
      </c>
      <c r="X738" s="463">
        <v>126101</v>
      </c>
      <c r="Y738" s="808">
        <f>X738/S738</f>
        <v>4.973417471899034</v>
      </c>
      <c r="Z738" s="463">
        <v>25000</v>
      </c>
      <c r="AA738" s="463">
        <v>25000</v>
      </c>
      <c r="AB738" s="463"/>
      <c r="AC738" s="463"/>
      <c r="AD738" s="463"/>
      <c r="AE738" s="463">
        <v>10000</v>
      </c>
      <c r="AF738" s="463"/>
      <c r="AG738" s="463">
        <v>10</v>
      </c>
      <c r="AH738" s="463"/>
      <c r="AI738" s="463"/>
      <c r="AJ738" s="447">
        <f t="shared" si="44"/>
        <v>50000</v>
      </c>
      <c r="AK738" s="463">
        <v>26009</v>
      </c>
      <c r="AL738" s="463">
        <v>22898</v>
      </c>
      <c r="AM738" s="463"/>
      <c r="AN738" s="463"/>
      <c r="AO738" s="463"/>
      <c r="AP738" s="463"/>
      <c r="AQ738" s="463"/>
      <c r="AR738" s="463"/>
      <c r="AS738" s="463"/>
      <c r="AT738" s="463"/>
      <c r="AU738" s="346" t="s">
        <v>2193</v>
      </c>
    </row>
    <row r="739" spans="1:47" s="454" customFormat="1" ht="15">
      <c r="A739" s="794">
        <v>737</v>
      </c>
      <c r="B739" s="448" t="s">
        <v>563</v>
      </c>
      <c r="C739" s="448" t="s">
        <v>1261</v>
      </c>
      <c r="D739" s="461">
        <v>38169</v>
      </c>
      <c r="E739" s="461">
        <v>38504</v>
      </c>
      <c r="F739" s="809">
        <v>2004</v>
      </c>
      <c r="G739" s="448" t="s">
        <v>5</v>
      </c>
      <c r="H739" s="454" t="s">
        <v>1451</v>
      </c>
      <c r="I739" s="454" t="s">
        <v>2260</v>
      </c>
      <c r="J739" s="812" t="s">
        <v>2438</v>
      </c>
      <c r="K739" s="463">
        <v>180000</v>
      </c>
      <c r="L739" s="463">
        <v>2026765</v>
      </c>
      <c r="M739" s="463">
        <v>1995177</v>
      </c>
      <c r="N739" s="463">
        <v>1995177</v>
      </c>
      <c r="O739" s="808">
        <f t="shared" si="46"/>
        <v>11.084316666666666</v>
      </c>
      <c r="P739" s="463">
        <v>98.5</v>
      </c>
      <c r="Q739" s="463">
        <f>15000*5</f>
        <v>75000</v>
      </c>
      <c r="R739" s="463"/>
      <c r="S739" s="463">
        <f>15000*5</f>
        <v>75000</v>
      </c>
      <c r="T739" s="463"/>
      <c r="U739" s="463"/>
      <c r="V739" s="463">
        <v>75000</v>
      </c>
      <c r="W739" s="463"/>
      <c r="X739" s="463"/>
      <c r="Y739" s="808">
        <f>X739/S739</f>
        <v>0</v>
      </c>
      <c r="Z739" s="463"/>
      <c r="AA739" s="463">
        <v>75000</v>
      </c>
      <c r="AB739" s="463"/>
      <c r="AC739" s="463" t="s">
        <v>2</v>
      </c>
      <c r="AD739" s="463"/>
      <c r="AE739" s="463"/>
      <c r="AF739" s="463"/>
      <c r="AG739" s="463"/>
      <c r="AH739" s="463"/>
      <c r="AI739" s="463"/>
      <c r="AJ739" s="447">
        <f t="shared" si="44"/>
        <v>75000</v>
      </c>
      <c r="AK739" s="463"/>
      <c r="AL739" s="463"/>
      <c r="AM739" s="463"/>
      <c r="AN739" s="463"/>
      <c r="AO739" s="463"/>
      <c r="AP739" s="463"/>
      <c r="AQ739" s="463"/>
      <c r="AR739" s="463"/>
      <c r="AS739" s="463"/>
      <c r="AT739" s="463"/>
      <c r="AU739" s="346" t="s">
        <v>2194</v>
      </c>
    </row>
    <row r="740" spans="1:47" s="454" customFormat="1" ht="15">
      <c r="A740" s="794">
        <v>738</v>
      </c>
      <c r="B740" s="448" t="s">
        <v>2308</v>
      </c>
      <c r="C740" s="448" t="s">
        <v>1286</v>
      </c>
      <c r="D740" s="461">
        <v>38231</v>
      </c>
      <c r="E740" s="461">
        <v>38412</v>
      </c>
      <c r="F740" s="809">
        <v>2004</v>
      </c>
      <c r="G740" s="448" t="s">
        <v>2196</v>
      </c>
      <c r="H740" s="444" t="s">
        <v>2271</v>
      </c>
      <c r="I740" s="454" t="s">
        <v>2261</v>
      </c>
      <c r="J740" s="812" t="s">
        <v>2438</v>
      </c>
      <c r="K740" s="463">
        <v>109000</v>
      </c>
      <c r="L740" s="463">
        <v>7389000</v>
      </c>
      <c r="M740" s="463">
        <v>6538879</v>
      </c>
      <c r="N740" s="463">
        <v>6469731</v>
      </c>
      <c r="O740" s="808">
        <f t="shared" si="46"/>
        <v>59.355330275229356</v>
      </c>
      <c r="P740" s="463">
        <v>119.5</v>
      </c>
      <c r="Q740" s="463">
        <f>3000</f>
        <v>3000</v>
      </c>
      <c r="R740" s="463">
        <f>4000*5</f>
        <v>20000</v>
      </c>
      <c r="S740" s="463">
        <v>20000</v>
      </c>
      <c r="T740" s="463"/>
      <c r="U740" s="463" t="s">
        <v>134</v>
      </c>
      <c r="V740" s="463" t="s">
        <v>134</v>
      </c>
      <c r="W740" s="463">
        <v>124531</v>
      </c>
      <c r="X740" s="463">
        <v>6383</v>
      </c>
      <c r="Y740" s="808">
        <f>X740/S740</f>
        <v>0.31914999999999999</v>
      </c>
      <c r="Z740" s="463">
        <v>225</v>
      </c>
      <c r="AA740" s="463"/>
      <c r="AB740" s="463">
        <f>19+20</f>
        <v>39</v>
      </c>
      <c r="AC740" s="463"/>
      <c r="AD740" s="463"/>
      <c r="AE740" s="463"/>
      <c r="AF740" s="463"/>
      <c r="AG740" s="463"/>
      <c r="AH740" s="463"/>
      <c r="AI740" s="463"/>
      <c r="AJ740" s="447">
        <f t="shared" si="44"/>
        <v>225</v>
      </c>
      <c r="AK740" s="463">
        <v>56440</v>
      </c>
      <c r="AL740" s="463">
        <v>19593</v>
      </c>
      <c r="AM740" s="463"/>
      <c r="AN740" s="463"/>
      <c r="AO740" s="463"/>
      <c r="AP740" s="463"/>
      <c r="AQ740" s="463"/>
      <c r="AR740" s="463"/>
      <c r="AS740" s="463">
        <v>1</v>
      </c>
      <c r="AT740" s="463"/>
      <c r="AU740" s="346" t="s">
        <v>2197</v>
      </c>
    </row>
    <row r="741" spans="1:47" s="454" customFormat="1" ht="15">
      <c r="A741" s="794">
        <v>739</v>
      </c>
      <c r="B741" s="448" t="s">
        <v>161</v>
      </c>
      <c r="C741" s="448" t="s">
        <v>1286</v>
      </c>
      <c r="D741" s="461">
        <v>38261</v>
      </c>
      <c r="E741" s="461">
        <v>38412</v>
      </c>
      <c r="F741" s="809">
        <v>2004</v>
      </c>
      <c r="G741" s="448" t="s">
        <v>2198</v>
      </c>
      <c r="H741" s="444" t="s">
        <v>2271</v>
      </c>
      <c r="I741" s="454" t="s">
        <v>2251</v>
      </c>
      <c r="J741" s="812" t="s">
        <v>2438</v>
      </c>
      <c r="K741" s="463">
        <v>15000</v>
      </c>
      <c r="L741" s="463">
        <v>958000</v>
      </c>
      <c r="M741" s="463">
        <v>819936</v>
      </c>
      <c r="N741" s="463">
        <v>754524</v>
      </c>
      <c r="O741" s="808">
        <f t="shared" si="46"/>
        <v>50.301600000000001</v>
      </c>
      <c r="P741" s="463">
        <v>94.2</v>
      </c>
      <c r="Q741" s="463">
        <f>2800*5</f>
        <v>14000</v>
      </c>
      <c r="R741" s="463"/>
      <c r="S741" s="463">
        <f>2800*5</f>
        <v>14000</v>
      </c>
      <c r="T741" s="463"/>
      <c r="U741" s="463"/>
      <c r="V741" s="463"/>
      <c r="W741" s="463">
        <v>75000</v>
      </c>
      <c r="X741" s="463">
        <v>12710</v>
      </c>
      <c r="Y741" s="808">
        <f>X741/S741</f>
        <v>0.90785714285714281</v>
      </c>
      <c r="Z741" s="463"/>
      <c r="AA741" s="463"/>
      <c r="AB741" s="463"/>
      <c r="AC741" s="463"/>
      <c r="AD741" s="463"/>
      <c r="AE741" s="463"/>
      <c r="AF741" s="463"/>
      <c r="AG741" s="463"/>
      <c r="AH741" s="463"/>
      <c r="AI741" s="463"/>
      <c r="AJ741" s="447">
        <f t="shared" si="44"/>
        <v>0</v>
      </c>
      <c r="AK741" s="463" t="s">
        <v>66</v>
      </c>
      <c r="AL741" s="463">
        <v>14939</v>
      </c>
      <c r="AM741" s="463"/>
      <c r="AN741" s="463"/>
      <c r="AO741" s="463"/>
      <c r="AP741" s="463"/>
      <c r="AQ741" s="463"/>
      <c r="AR741" s="463"/>
      <c r="AS741" s="463"/>
      <c r="AT741" s="463"/>
      <c r="AU741" s="346" t="s">
        <v>2199</v>
      </c>
    </row>
    <row r="742" spans="1:47" s="454" customFormat="1" ht="15">
      <c r="A742" s="794">
        <v>740</v>
      </c>
      <c r="B742" s="448" t="s">
        <v>992</v>
      </c>
      <c r="C742" s="448" t="s">
        <v>1286</v>
      </c>
      <c r="D742" s="461">
        <v>38292</v>
      </c>
      <c r="E742" s="461">
        <v>38565</v>
      </c>
      <c r="F742" s="809">
        <v>2004</v>
      </c>
      <c r="G742" s="448" t="s">
        <v>5</v>
      </c>
      <c r="H742" s="454" t="s">
        <v>1451</v>
      </c>
      <c r="I742" s="454" t="s">
        <v>2262</v>
      </c>
      <c r="J742" s="812" t="s">
        <v>2438</v>
      </c>
      <c r="K742" s="463">
        <f>9500*5</f>
        <v>47500</v>
      </c>
      <c r="L742" s="463">
        <v>1996000</v>
      </c>
      <c r="M742" s="463">
        <v>429565</v>
      </c>
      <c r="N742" s="463">
        <v>417135</v>
      </c>
      <c r="O742" s="808">
        <f t="shared" si="46"/>
        <v>8.7817894736842099</v>
      </c>
      <c r="P742" s="463">
        <f>(M742*100)/L742</f>
        <v>21.52129258517034</v>
      </c>
      <c r="Q742" s="463"/>
      <c r="R742" s="463"/>
      <c r="S742" s="463"/>
      <c r="T742" s="463"/>
      <c r="U742" s="463"/>
      <c r="V742" s="463">
        <v>8646</v>
      </c>
      <c r="W742" s="463">
        <v>21678</v>
      </c>
      <c r="X742" s="463">
        <f>0.22*W742</f>
        <v>4769.16</v>
      </c>
      <c r="Y742" s="463"/>
      <c r="Z742" s="463">
        <f>3597+1224</f>
        <v>4821</v>
      </c>
      <c r="AA742" s="463">
        <v>8646</v>
      </c>
      <c r="AB742" s="463"/>
      <c r="AC742" s="463"/>
      <c r="AD742" s="463"/>
      <c r="AE742" s="463">
        <f>780+(514+208+750+375+467+354+210+530+1375+123)*3+4*(400+141+900+100)+5*(345+155)</f>
        <v>24162</v>
      </c>
      <c r="AF742" s="463"/>
      <c r="AG742" s="463"/>
      <c r="AH742" s="463">
        <f>3597+1224+10994</f>
        <v>15815</v>
      </c>
      <c r="AI742" s="463">
        <v>1224</v>
      </c>
      <c r="AJ742" s="447">
        <f t="shared" si="44"/>
        <v>29282</v>
      </c>
      <c r="AK742" s="463">
        <v>67289</v>
      </c>
      <c r="AL742" s="463">
        <v>5324</v>
      </c>
      <c r="AM742" s="463"/>
      <c r="AN742" s="463"/>
      <c r="AO742" s="463"/>
      <c r="AP742" s="463"/>
      <c r="AQ742" s="463"/>
      <c r="AR742" s="463"/>
      <c r="AS742" s="463"/>
      <c r="AT742" s="463"/>
      <c r="AU742" s="346" t="s">
        <v>2200</v>
      </c>
    </row>
    <row r="743" spans="1:47" s="454" customFormat="1" ht="15">
      <c r="A743" s="794">
        <v>741</v>
      </c>
      <c r="B743" s="448" t="s">
        <v>85</v>
      </c>
      <c r="C743" s="448" t="s">
        <v>1261</v>
      </c>
      <c r="D743" s="461">
        <v>38292</v>
      </c>
      <c r="E743" s="461">
        <v>38322</v>
      </c>
      <c r="F743" s="809">
        <v>2004</v>
      </c>
      <c r="G743" s="448" t="s">
        <v>24</v>
      </c>
      <c r="H743" s="454" t="s">
        <v>1454</v>
      </c>
      <c r="I743" s="454" t="s">
        <v>2238</v>
      </c>
      <c r="J743" s="812" t="s">
        <v>2438</v>
      </c>
      <c r="K743" s="463">
        <v>468000</v>
      </c>
      <c r="L743" s="463">
        <v>1200187</v>
      </c>
      <c r="M743" s="463">
        <v>406879</v>
      </c>
      <c r="N743" s="463">
        <v>406879</v>
      </c>
      <c r="O743" s="808">
        <f t="shared" si="46"/>
        <v>0.86939957264957268</v>
      </c>
      <c r="P743" s="463">
        <v>33.9</v>
      </c>
      <c r="Q743" s="463"/>
      <c r="R743" s="463"/>
      <c r="S743" s="463"/>
      <c r="T743" s="463"/>
      <c r="U743" s="463"/>
      <c r="V743" s="463"/>
      <c r="W743" s="463"/>
      <c r="X743" s="463"/>
      <c r="Y743" s="463"/>
      <c r="Z743" s="463"/>
      <c r="AA743" s="463"/>
      <c r="AB743" s="463"/>
      <c r="AC743" s="463"/>
      <c r="AD743" s="463"/>
      <c r="AE743" s="463">
        <f>(2*4813)+1000+500</f>
        <v>11126</v>
      </c>
      <c r="AF743" s="463"/>
      <c r="AG743" s="463"/>
      <c r="AH743" s="463"/>
      <c r="AI743" s="463"/>
      <c r="AJ743" s="447">
        <f t="shared" si="44"/>
        <v>0</v>
      </c>
      <c r="AK743" s="463"/>
      <c r="AL743" s="463"/>
      <c r="AM743" s="463"/>
      <c r="AN743" s="463">
        <v>3</v>
      </c>
      <c r="AO743" s="463">
        <v>2</v>
      </c>
      <c r="AP743" s="463"/>
      <c r="AQ743" s="463">
        <v>1</v>
      </c>
      <c r="AR743" s="463">
        <v>2</v>
      </c>
      <c r="AS743" s="463"/>
      <c r="AT743" s="463"/>
      <c r="AU743" s="346" t="s">
        <v>2201</v>
      </c>
    </row>
    <row r="744" spans="1:47" s="454" customFormat="1" ht="15">
      <c r="A744" s="794">
        <v>742</v>
      </c>
      <c r="B744" s="448" t="s">
        <v>2376</v>
      </c>
      <c r="C744" s="448" t="s">
        <v>1299</v>
      </c>
      <c r="D744" s="461">
        <v>38322</v>
      </c>
      <c r="E744" s="461">
        <v>38412</v>
      </c>
      <c r="F744" s="809">
        <v>2004</v>
      </c>
      <c r="G744" s="448" t="s">
        <v>2202</v>
      </c>
      <c r="H744" s="454" t="s">
        <v>1452</v>
      </c>
      <c r="I744" s="454" t="s">
        <v>2263</v>
      </c>
      <c r="J744" s="812" t="s">
        <v>2438</v>
      </c>
      <c r="K744" s="463">
        <v>14000</v>
      </c>
      <c r="L744" s="463">
        <v>411236</v>
      </c>
      <c r="M744" s="463">
        <v>19354</v>
      </c>
      <c r="N744" s="463">
        <v>19354</v>
      </c>
      <c r="O744" s="808">
        <f t="shared" si="46"/>
        <v>1.3824285714285713</v>
      </c>
      <c r="P744" s="463">
        <v>4.7</v>
      </c>
      <c r="Q744" s="463"/>
      <c r="R744" s="463"/>
      <c r="S744" s="463"/>
      <c r="T744" s="463"/>
      <c r="U744" s="463"/>
      <c r="V744" s="463"/>
      <c r="W744" s="463"/>
      <c r="X744" s="463"/>
      <c r="Y744" s="463"/>
      <c r="Z744" s="463"/>
      <c r="AA744" s="463"/>
      <c r="AB744" s="463">
        <f>169+30+42</f>
        <v>241</v>
      </c>
      <c r="AC744" s="463" t="s">
        <v>2</v>
      </c>
      <c r="AD744" s="463"/>
      <c r="AE744" s="463"/>
      <c r="AF744" s="463"/>
      <c r="AG744" s="463"/>
      <c r="AH744" s="463"/>
      <c r="AI744" s="463"/>
      <c r="AJ744" s="447">
        <f t="shared" si="44"/>
        <v>0</v>
      </c>
      <c r="AK744" s="463"/>
      <c r="AL744" s="463"/>
      <c r="AM744" s="463"/>
      <c r="AN744" s="463"/>
      <c r="AO744" s="463"/>
      <c r="AP744" s="463"/>
      <c r="AQ744" s="463"/>
      <c r="AR744" s="463"/>
      <c r="AS744" s="463"/>
      <c r="AT744" s="463"/>
      <c r="AU744" s="346" t="s">
        <v>2203</v>
      </c>
    </row>
    <row r="745" spans="1:47" s="454" customFormat="1" ht="15">
      <c r="A745" s="794">
        <v>743</v>
      </c>
      <c r="B745" s="448" t="s">
        <v>6</v>
      </c>
      <c r="C745" s="448" t="s">
        <v>1261</v>
      </c>
      <c r="D745" s="461">
        <v>38078</v>
      </c>
      <c r="E745" s="461">
        <v>38322</v>
      </c>
      <c r="F745" s="809">
        <v>2004</v>
      </c>
      <c r="G745" s="448" t="s">
        <v>2204</v>
      </c>
      <c r="H745" s="454" t="s">
        <v>1450</v>
      </c>
      <c r="I745" s="454" t="s">
        <v>2270</v>
      </c>
      <c r="J745" s="790" t="s">
        <v>2440</v>
      </c>
      <c r="K745" s="463">
        <v>10000</v>
      </c>
      <c r="L745" s="463">
        <v>42000</v>
      </c>
      <c r="M745" s="463">
        <v>39743.440000000002</v>
      </c>
      <c r="N745" s="463">
        <v>39743.440000000002</v>
      </c>
      <c r="O745" s="808">
        <f t="shared" si="46"/>
        <v>3.9743440000000003</v>
      </c>
      <c r="P745" s="463">
        <f>(M745*100)/L745</f>
        <v>94.627238095238098</v>
      </c>
      <c r="Q745" s="463"/>
      <c r="R745" s="463"/>
      <c r="S745" s="463"/>
      <c r="T745" s="463"/>
      <c r="U745" s="463"/>
      <c r="V745" s="463"/>
      <c r="W745" s="463"/>
      <c r="X745" s="463"/>
      <c r="Y745" s="463"/>
      <c r="Z745" s="463"/>
      <c r="AA745" s="463"/>
      <c r="AB745" s="463"/>
      <c r="AC745" s="463"/>
      <c r="AD745" s="463"/>
      <c r="AE745" s="463"/>
      <c r="AF745" s="463"/>
      <c r="AG745" s="463"/>
      <c r="AH745" s="463"/>
      <c r="AI745" s="463"/>
      <c r="AJ745" s="447">
        <f t="shared" si="44"/>
        <v>0</v>
      </c>
      <c r="AK745" s="463"/>
      <c r="AL745" s="463"/>
      <c r="AM745" s="463"/>
      <c r="AN745" s="463"/>
      <c r="AO745" s="463"/>
      <c r="AP745" s="463"/>
      <c r="AQ745" s="463"/>
      <c r="AR745" s="463"/>
      <c r="AS745" s="463"/>
      <c r="AT745" s="463"/>
      <c r="AU745" s="346" t="s">
        <v>2205</v>
      </c>
    </row>
    <row r="746" spans="1:47" s="454" customFormat="1" ht="15">
      <c r="A746" s="794">
        <v>744</v>
      </c>
      <c r="B746" s="448" t="s">
        <v>2206</v>
      </c>
      <c r="C746" s="448" t="s">
        <v>1261</v>
      </c>
      <c r="D746" s="461">
        <v>38322</v>
      </c>
      <c r="E746" s="461">
        <v>41244</v>
      </c>
      <c r="F746" s="809">
        <v>2004</v>
      </c>
      <c r="G746" s="448" t="s">
        <v>2207</v>
      </c>
      <c r="H746" s="454" t="s">
        <v>1454</v>
      </c>
      <c r="I746" s="454" t="s">
        <v>2291</v>
      </c>
      <c r="J746" s="812" t="s">
        <v>2438</v>
      </c>
      <c r="K746" s="463">
        <v>4814000</v>
      </c>
      <c r="L746" s="463"/>
      <c r="M746" s="463">
        <v>665262821.01999903</v>
      </c>
      <c r="N746" s="463">
        <v>665262821.01999903</v>
      </c>
      <c r="O746" s="808">
        <f t="shared" si="46"/>
        <v>138.19335708766079</v>
      </c>
      <c r="P746" s="463"/>
      <c r="Q746" s="463">
        <v>707600</v>
      </c>
      <c r="R746" s="463">
        <v>342900</v>
      </c>
      <c r="S746" s="463">
        <v>707600</v>
      </c>
      <c r="T746" s="463" t="s">
        <v>2</v>
      </c>
      <c r="U746" s="463" t="s">
        <v>134</v>
      </c>
      <c r="V746" s="463">
        <v>32000</v>
      </c>
      <c r="W746" s="463"/>
      <c r="X746" s="463">
        <v>76422331</v>
      </c>
      <c r="Y746" s="808">
        <f>X746/S746</f>
        <v>108.00216365178066</v>
      </c>
      <c r="Z746" s="463">
        <v>232900</v>
      </c>
      <c r="AA746" s="463">
        <v>1110200</v>
      </c>
      <c r="AB746" s="463">
        <f>200+30</f>
        <v>230</v>
      </c>
      <c r="AC746" s="463">
        <v>277600</v>
      </c>
      <c r="AD746" s="463"/>
      <c r="AE746" s="463">
        <v>70000</v>
      </c>
      <c r="AF746" s="463"/>
      <c r="AG746" s="463"/>
      <c r="AH746" s="463"/>
      <c r="AI746" s="463">
        <v>356</v>
      </c>
      <c r="AJ746" s="447">
        <f t="shared" si="44"/>
        <v>1343100</v>
      </c>
      <c r="AK746" s="463"/>
      <c r="AL746" s="463">
        <v>96068504</v>
      </c>
      <c r="AM746" s="463"/>
      <c r="AN746" s="463"/>
      <c r="AO746" s="463"/>
      <c r="AP746" s="463"/>
      <c r="AQ746" s="463"/>
      <c r="AR746" s="463"/>
      <c r="AS746" s="463"/>
      <c r="AT746" s="463"/>
      <c r="AU746" s="454" t="s">
        <v>2292</v>
      </c>
    </row>
    <row r="747" spans="1:47" s="454" customFormat="1" ht="15">
      <c r="A747" s="794">
        <v>745</v>
      </c>
      <c r="B747" s="448" t="s">
        <v>502</v>
      </c>
      <c r="C747" s="448" t="s">
        <v>1299</v>
      </c>
      <c r="D747" s="461">
        <v>38108</v>
      </c>
      <c r="E747" s="461">
        <v>38322</v>
      </c>
      <c r="F747" s="809">
        <v>2004</v>
      </c>
      <c r="G747" s="448" t="s">
        <v>2208</v>
      </c>
      <c r="H747" s="454" t="s">
        <v>1449</v>
      </c>
      <c r="I747" s="454" t="s">
        <v>2245</v>
      </c>
      <c r="J747" s="790" t="s">
        <v>2440</v>
      </c>
      <c r="K747" s="463" t="s">
        <v>134</v>
      </c>
      <c r="L747" s="463">
        <v>47000</v>
      </c>
      <c r="M747" s="463">
        <v>41029.47</v>
      </c>
      <c r="N747" s="463">
        <v>41029.47</v>
      </c>
      <c r="O747" s="808"/>
      <c r="P747" s="463">
        <f>(M747*100)/L747</f>
        <v>87.296744680851063</v>
      </c>
      <c r="Q747" s="463"/>
      <c r="R747" s="463"/>
      <c r="S747" s="463"/>
      <c r="T747" s="463"/>
      <c r="U747" s="463"/>
      <c r="V747" s="463"/>
      <c r="W747" s="463"/>
      <c r="X747" s="463"/>
      <c r="Y747" s="463"/>
      <c r="Z747" s="463"/>
      <c r="AA747" s="463">
        <v>418748</v>
      </c>
      <c r="AB747" s="463">
        <v>493</v>
      </c>
      <c r="AC747" s="463"/>
      <c r="AD747" s="463"/>
      <c r="AE747" s="463"/>
      <c r="AF747" s="463"/>
      <c r="AG747" s="463"/>
      <c r="AH747" s="463"/>
      <c r="AI747" s="463"/>
      <c r="AJ747" s="447">
        <f t="shared" si="44"/>
        <v>418748</v>
      </c>
      <c r="AK747" s="463"/>
      <c r="AL747" s="463"/>
      <c r="AM747" s="463"/>
      <c r="AN747" s="463"/>
      <c r="AO747" s="463"/>
      <c r="AP747" s="463"/>
      <c r="AQ747" s="463"/>
      <c r="AR747" s="463"/>
      <c r="AS747" s="463"/>
      <c r="AT747" s="463"/>
      <c r="AU747" s="346" t="s">
        <v>2248</v>
      </c>
    </row>
    <row r="748" spans="1:47" s="454" customFormat="1" ht="15">
      <c r="A748" s="794">
        <v>746</v>
      </c>
      <c r="B748" s="448" t="s">
        <v>2209</v>
      </c>
      <c r="C748" s="448" t="s">
        <v>1260</v>
      </c>
      <c r="D748" s="461">
        <v>37987</v>
      </c>
      <c r="E748" s="461">
        <v>38322</v>
      </c>
      <c r="F748" s="809">
        <v>2004</v>
      </c>
      <c r="G748" s="448" t="s">
        <v>2212</v>
      </c>
      <c r="H748" s="454" t="s">
        <v>1464</v>
      </c>
      <c r="I748" s="454" t="s">
        <v>2270</v>
      </c>
      <c r="J748" s="790" t="s">
        <v>2440</v>
      </c>
      <c r="K748" s="463">
        <v>1200</v>
      </c>
      <c r="L748" s="463"/>
      <c r="M748" s="463">
        <v>1126.6300000000001</v>
      </c>
      <c r="N748" s="463">
        <v>1126.6300000000001</v>
      </c>
      <c r="O748" s="808">
        <f>N748/K748</f>
        <v>0.93885833333333346</v>
      </c>
      <c r="P748" s="463" t="s">
        <v>66</v>
      </c>
      <c r="Q748" s="463"/>
      <c r="R748" s="463"/>
      <c r="S748" s="463"/>
      <c r="T748" s="463"/>
      <c r="U748" s="463"/>
      <c r="V748" s="463"/>
      <c r="W748" s="463"/>
      <c r="X748" s="463"/>
      <c r="Y748" s="463"/>
      <c r="Z748" s="463"/>
      <c r="AA748" s="463"/>
      <c r="AB748" s="463">
        <v>208</v>
      </c>
      <c r="AC748" s="463"/>
      <c r="AD748" s="463"/>
      <c r="AE748" s="463"/>
      <c r="AF748" s="463"/>
      <c r="AG748" s="463"/>
      <c r="AH748" s="463"/>
      <c r="AI748" s="463"/>
      <c r="AJ748" s="447">
        <f t="shared" si="44"/>
        <v>0</v>
      </c>
      <c r="AK748" s="463"/>
      <c r="AL748" s="463"/>
      <c r="AM748" s="463"/>
      <c r="AN748" s="463"/>
      <c r="AO748" s="463"/>
      <c r="AP748" s="463"/>
      <c r="AQ748" s="463"/>
      <c r="AR748" s="463"/>
      <c r="AS748" s="463"/>
      <c r="AT748" s="463"/>
      <c r="AU748" s="346" t="s">
        <v>2247</v>
      </c>
    </row>
    <row r="749" spans="1:47" s="454" customFormat="1" ht="15">
      <c r="A749" s="794">
        <v>747</v>
      </c>
      <c r="B749" s="448" t="s">
        <v>171</v>
      </c>
      <c r="C749" s="448" t="s">
        <v>1299</v>
      </c>
      <c r="D749" s="461">
        <v>37987</v>
      </c>
      <c r="E749" s="461">
        <v>38322</v>
      </c>
      <c r="F749" s="809">
        <v>2004</v>
      </c>
      <c r="G749" s="448" t="s">
        <v>2210</v>
      </c>
      <c r="H749" s="454" t="s">
        <v>1452</v>
      </c>
      <c r="I749" s="454" t="s">
        <v>2272</v>
      </c>
      <c r="J749" s="790" t="s">
        <v>2440</v>
      </c>
      <c r="K749" s="463">
        <v>89000</v>
      </c>
      <c r="L749" s="463"/>
      <c r="M749" s="463">
        <v>17635.73</v>
      </c>
      <c r="N749" s="463">
        <v>17635.73</v>
      </c>
      <c r="O749" s="808">
        <f>N749/K749</f>
        <v>0.19815426966292135</v>
      </c>
      <c r="P749" s="463" t="s">
        <v>66</v>
      </c>
      <c r="Q749" s="463"/>
      <c r="R749" s="463"/>
      <c r="S749" s="463"/>
      <c r="T749" s="463"/>
      <c r="U749" s="463"/>
      <c r="V749" s="463"/>
      <c r="W749" s="463"/>
      <c r="X749" s="463"/>
      <c r="Y749" s="463"/>
      <c r="Z749" s="463"/>
      <c r="AA749" s="463"/>
      <c r="AB749" s="463"/>
      <c r="AC749" s="463"/>
      <c r="AD749" s="463"/>
      <c r="AE749" s="463"/>
      <c r="AF749" s="463"/>
      <c r="AG749" s="463"/>
      <c r="AH749" s="463"/>
      <c r="AI749" s="463"/>
      <c r="AJ749" s="447">
        <f t="shared" si="44"/>
        <v>0</v>
      </c>
      <c r="AK749" s="463"/>
      <c r="AL749" s="463"/>
      <c r="AM749" s="463"/>
      <c r="AN749" s="463"/>
      <c r="AO749" s="463"/>
      <c r="AP749" s="463"/>
      <c r="AQ749" s="463"/>
      <c r="AR749" s="463"/>
      <c r="AS749" s="463"/>
      <c r="AT749" s="463"/>
      <c r="AU749" s="346" t="s">
        <v>2249</v>
      </c>
    </row>
    <row r="750" spans="1:47" s="454" customFormat="1" ht="15">
      <c r="A750" s="794">
        <v>748</v>
      </c>
      <c r="B750" s="448" t="s">
        <v>1813</v>
      </c>
      <c r="C750" s="448" t="s">
        <v>1260</v>
      </c>
      <c r="D750" s="461">
        <v>37987</v>
      </c>
      <c r="E750" s="461">
        <v>38322</v>
      </c>
      <c r="F750" s="809">
        <v>2004</v>
      </c>
      <c r="G750" s="448" t="s">
        <v>2211</v>
      </c>
      <c r="H750" s="454" t="s">
        <v>1452</v>
      </c>
      <c r="I750" s="454" t="s">
        <v>2244</v>
      </c>
      <c r="J750" s="790" t="s">
        <v>2440</v>
      </c>
      <c r="K750" s="463" t="s">
        <v>134</v>
      </c>
      <c r="L750" s="463"/>
      <c r="M750" s="463">
        <v>17878.18</v>
      </c>
      <c r="N750" s="463">
        <v>17878.18</v>
      </c>
      <c r="O750" s="808"/>
      <c r="P750" s="463" t="s">
        <v>66</v>
      </c>
      <c r="Q750" s="463"/>
      <c r="R750" s="463"/>
      <c r="S750" s="463"/>
      <c r="T750" s="463"/>
      <c r="U750" s="463"/>
      <c r="V750" s="463"/>
      <c r="W750" s="463"/>
      <c r="X750" s="463"/>
      <c r="Y750" s="463"/>
      <c r="Z750" s="463"/>
      <c r="AA750" s="463"/>
      <c r="AB750" s="463"/>
      <c r="AC750" s="463"/>
      <c r="AD750" s="463"/>
      <c r="AE750" s="463"/>
      <c r="AF750" s="463"/>
      <c r="AG750" s="463"/>
      <c r="AH750" s="463"/>
      <c r="AI750" s="463"/>
      <c r="AJ750" s="447">
        <f t="shared" si="44"/>
        <v>0</v>
      </c>
      <c r="AK750" s="463"/>
      <c r="AL750" s="463"/>
      <c r="AM750" s="463"/>
      <c r="AN750" s="463"/>
      <c r="AO750" s="463"/>
      <c r="AP750" s="463"/>
      <c r="AQ750" s="463"/>
      <c r="AR750" s="463"/>
      <c r="AS750" s="463"/>
      <c r="AT750" s="463"/>
      <c r="AU750" s="346" t="s">
        <v>2250</v>
      </c>
    </row>
    <row r="751" spans="1:47" s="454" customFormat="1" ht="15">
      <c r="A751" s="794">
        <v>749</v>
      </c>
      <c r="B751" s="448" t="s">
        <v>597</v>
      </c>
      <c r="C751" s="448" t="s">
        <v>1299</v>
      </c>
      <c r="D751" s="461">
        <v>37988</v>
      </c>
      <c r="E751" s="461">
        <v>38323</v>
      </c>
      <c r="F751" s="809">
        <v>2004</v>
      </c>
      <c r="G751" s="448" t="s">
        <v>5</v>
      </c>
      <c r="H751" s="454" t="s">
        <v>1451</v>
      </c>
      <c r="I751" s="454" t="s">
        <v>2245</v>
      </c>
      <c r="J751" s="790" t="s">
        <v>2440</v>
      </c>
      <c r="K751" s="463">
        <v>3000</v>
      </c>
      <c r="L751" s="463"/>
      <c r="M751" s="463">
        <v>10518.77</v>
      </c>
      <c r="N751" s="463">
        <v>10518.77</v>
      </c>
      <c r="O751" s="808">
        <f t="shared" ref="O751:O759" si="47">N751/K751</f>
        <v>3.5062566666666668</v>
      </c>
      <c r="P751" s="463" t="s">
        <v>66</v>
      </c>
      <c r="Q751" s="463"/>
      <c r="R751" s="463"/>
      <c r="S751" s="463"/>
      <c r="T751" s="463"/>
      <c r="U751" s="463"/>
      <c r="V751" s="463"/>
      <c r="W751" s="463"/>
      <c r="X751" s="463"/>
      <c r="Y751" s="463"/>
      <c r="Z751" s="463"/>
      <c r="AA751" s="463"/>
      <c r="AB751" s="463"/>
      <c r="AC751" s="463"/>
      <c r="AD751" s="463"/>
      <c r="AE751" s="463"/>
      <c r="AF751" s="463"/>
      <c r="AG751" s="463"/>
      <c r="AH751" s="463"/>
      <c r="AI751" s="463"/>
      <c r="AJ751" s="447">
        <f t="shared" si="44"/>
        <v>0</v>
      </c>
      <c r="AK751" s="463"/>
      <c r="AL751" s="463"/>
      <c r="AM751" s="463"/>
      <c r="AN751" s="463"/>
      <c r="AO751" s="463"/>
      <c r="AP751" s="463"/>
      <c r="AQ751" s="463"/>
      <c r="AR751" s="463"/>
      <c r="AS751" s="463"/>
      <c r="AT751" s="463"/>
      <c r="AU751" s="346" t="s">
        <v>2246</v>
      </c>
    </row>
    <row r="752" spans="1:47" s="454" customFormat="1" ht="15">
      <c r="A752" s="794">
        <v>750</v>
      </c>
      <c r="B752" s="448" t="s">
        <v>2362</v>
      </c>
      <c r="C752" s="448" t="s">
        <v>1299</v>
      </c>
      <c r="D752" s="461">
        <v>38078</v>
      </c>
      <c r="E752" s="461">
        <v>38261</v>
      </c>
      <c r="F752" s="809">
        <v>2004</v>
      </c>
      <c r="G752" s="448" t="s">
        <v>2283</v>
      </c>
      <c r="H752" s="454" t="s">
        <v>1449</v>
      </c>
      <c r="I752" s="454" t="s">
        <v>2284</v>
      </c>
      <c r="J752" s="812" t="s">
        <v>2438</v>
      </c>
      <c r="K752" s="463">
        <v>900000</v>
      </c>
      <c r="L752" s="463"/>
      <c r="M752" s="463"/>
      <c r="N752" s="463">
        <v>4314010.1100000003</v>
      </c>
      <c r="O752" s="808">
        <f t="shared" si="47"/>
        <v>4.7933445666666668</v>
      </c>
      <c r="P752" s="463"/>
      <c r="Q752" s="463"/>
      <c r="R752" s="463"/>
      <c r="S752" s="463"/>
      <c r="T752" s="463"/>
      <c r="U752" s="463"/>
      <c r="V752" s="463"/>
      <c r="W752" s="463"/>
      <c r="X752" s="463"/>
      <c r="Y752" s="463"/>
      <c r="Z752" s="463"/>
      <c r="AA752" s="463">
        <v>900000</v>
      </c>
      <c r="AB752" s="463"/>
      <c r="AC752" s="463"/>
      <c r="AD752" s="463"/>
      <c r="AE752" s="463">
        <v>900000</v>
      </c>
      <c r="AF752" s="463"/>
      <c r="AG752" s="463"/>
      <c r="AH752" s="463"/>
      <c r="AI752" s="463"/>
      <c r="AJ752" s="447">
        <f t="shared" si="44"/>
        <v>900000</v>
      </c>
      <c r="AK752" s="463"/>
      <c r="AL752" s="463"/>
      <c r="AM752" s="463"/>
      <c r="AN752" s="463"/>
      <c r="AO752" s="463"/>
      <c r="AP752" s="463"/>
      <c r="AQ752" s="463"/>
      <c r="AR752" s="463"/>
      <c r="AS752" s="463"/>
      <c r="AT752" s="463"/>
      <c r="AU752" s="346" t="s">
        <v>2285</v>
      </c>
    </row>
    <row r="753" spans="1:197" s="454" customFormat="1" ht="21.75" customHeight="1">
      <c r="A753" s="794">
        <v>751</v>
      </c>
      <c r="B753" s="454" t="s">
        <v>764</v>
      </c>
      <c r="C753" s="454" t="s">
        <v>1299</v>
      </c>
      <c r="D753" s="461">
        <v>38078</v>
      </c>
      <c r="E753" s="461">
        <v>38322</v>
      </c>
      <c r="F753" s="809">
        <v>2004</v>
      </c>
      <c r="G753" s="454" t="s">
        <v>5</v>
      </c>
      <c r="H753" s="454" t="s">
        <v>1451</v>
      </c>
      <c r="I753" s="454" t="s">
        <v>2273</v>
      </c>
      <c r="J753" s="454" t="s">
        <v>2440</v>
      </c>
      <c r="K753" s="463">
        <v>20000</v>
      </c>
      <c r="L753" s="463">
        <v>20000</v>
      </c>
      <c r="M753" s="463">
        <v>20000</v>
      </c>
      <c r="N753" s="463">
        <v>20000</v>
      </c>
      <c r="O753" s="808">
        <f t="shared" si="47"/>
        <v>1</v>
      </c>
      <c r="P753" s="463">
        <v>100</v>
      </c>
      <c r="Q753" s="463"/>
      <c r="R753" s="463"/>
      <c r="S753" s="463"/>
      <c r="T753" s="463"/>
      <c r="U753" s="463"/>
      <c r="V753" s="463"/>
      <c r="W753" s="463"/>
      <c r="X753" s="463"/>
      <c r="Y753" s="463"/>
      <c r="Z753" s="463"/>
      <c r="AA753" s="463"/>
      <c r="AB753" s="463"/>
      <c r="AC753" s="463"/>
      <c r="AD753" s="463"/>
      <c r="AE753" s="463"/>
      <c r="AF753" s="463"/>
      <c r="AG753" s="463"/>
      <c r="AH753" s="463"/>
      <c r="AI753" s="463"/>
      <c r="AJ753" s="447">
        <f t="shared" si="44"/>
        <v>0</v>
      </c>
      <c r="AK753" s="463"/>
      <c r="AL753" s="463"/>
      <c r="AM753" s="463"/>
      <c r="AN753" s="463"/>
      <c r="AO753" s="463"/>
      <c r="AP753" s="463"/>
      <c r="AQ753" s="463"/>
      <c r="AR753" s="463"/>
      <c r="AS753" s="463"/>
      <c r="AT753" s="463"/>
      <c r="AU753" s="22" t="s">
        <v>2218</v>
      </c>
    </row>
    <row r="754" spans="1:197" s="454" customFormat="1" ht="21.75" customHeight="1">
      <c r="A754" s="794">
        <v>752</v>
      </c>
      <c r="B754" s="454" t="s">
        <v>992</v>
      </c>
      <c r="C754" s="454" t="s">
        <v>1286</v>
      </c>
      <c r="D754" s="461">
        <v>38169</v>
      </c>
      <c r="E754" s="461">
        <v>38322</v>
      </c>
      <c r="F754" s="809">
        <v>2004</v>
      </c>
      <c r="G754" s="454" t="s">
        <v>5</v>
      </c>
      <c r="H754" s="454" t="s">
        <v>1451</v>
      </c>
      <c r="I754" s="454" t="s">
        <v>2219</v>
      </c>
      <c r="J754" s="790" t="s">
        <v>2440</v>
      </c>
      <c r="K754" s="463">
        <v>34622</v>
      </c>
      <c r="L754" s="463">
        <v>50000</v>
      </c>
      <c r="M754" s="463">
        <v>50000</v>
      </c>
      <c r="N754" s="463">
        <v>50000</v>
      </c>
      <c r="O754" s="808">
        <f t="shared" si="47"/>
        <v>1.4441684478077523</v>
      </c>
      <c r="P754" s="463">
        <v>100</v>
      </c>
      <c r="Q754" s="463"/>
      <c r="R754" s="463"/>
      <c r="S754" s="463"/>
      <c r="T754" s="463"/>
      <c r="U754" s="463"/>
      <c r="V754" s="463"/>
      <c r="W754" s="463"/>
      <c r="X754" s="463"/>
      <c r="Y754" s="463"/>
      <c r="Z754" s="463"/>
      <c r="AA754" s="463">
        <v>2645</v>
      </c>
      <c r="AB754" s="463"/>
      <c r="AC754" s="463"/>
      <c r="AD754" s="463"/>
      <c r="AE754" s="463"/>
      <c r="AF754" s="463"/>
      <c r="AG754" s="463"/>
      <c r="AH754" s="463"/>
      <c r="AI754" s="463"/>
      <c r="AJ754" s="447">
        <f t="shared" si="44"/>
        <v>2645</v>
      </c>
      <c r="AK754" s="463"/>
      <c r="AL754" s="463"/>
      <c r="AM754" s="463"/>
      <c r="AN754" s="463"/>
      <c r="AO754" s="463"/>
      <c r="AP754" s="463"/>
      <c r="AQ754" s="463"/>
      <c r="AR754" s="463"/>
      <c r="AS754" s="463"/>
      <c r="AT754" s="463"/>
      <c r="AU754" s="346" t="s">
        <v>2220</v>
      </c>
    </row>
    <row r="755" spans="1:197" s="454" customFormat="1" ht="21.75" customHeight="1">
      <c r="A755" s="794">
        <v>753</v>
      </c>
      <c r="B755" s="454" t="s">
        <v>12</v>
      </c>
      <c r="C755" s="454" t="s">
        <v>1299</v>
      </c>
      <c r="D755" s="461">
        <v>38108</v>
      </c>
      <c r="E755" s="461">
        <v>38322</v>
      </c>
      <c r="F755" s="809">
        <v>2004</v>
      </c>
      <c r="G755" s="454" t="s">
        <v>5</v>
      </c>
      <c r="H755" s="454" t="s">
        <v>1451</v>
      </c>
      <c r="I755" s="454" t="s">
        <v>2221</v>
      </c>
      <c r="J755" s="790" t="s">
        <v>2440</v>
      </c>
      <c r="K755" s="463">
        <v>7886</v>
      </c>
      <c r="L755" s="463"/>
      <c r="M755" s="463"/>
      <c r="N755" s="463">
        <v>50000</v>
      </c>
      <c r="O755" s="808">
        <f t="shared" si="47"/>
        <v>6.3403499873192999</v>
      </c>
      <c r="P755" s="463" t="s">
        <v>66</v>
      </c>
      <c r="Q755" s="463"/>
      <c r="R755" s="463"/>
      <c r="S755" s="463"/>
      <c r="T755" s="463"/>
      <c r="U755" s="463"/>
      <c r="V755" s="463"/>
      <c r="W755" s="463"/>
      <c r="X755" s="463"/>
      <c r="Y755" s="463"/>
      <c r="Z755" s="463"/>
      <c r="AA755" s="463"/>
      <c r="AB755" s="463">
        <v>180</v>
      </c>
      <c r="AC755" s="463"/>
      <c r="AD755" s="463"/>
      <c r="AE755" s="463">
        <v>650</v>
      </c>
      <c r="AF755" s="463"/>
      <c r="AG755" s="463"/>
      <c r="AH755" s="463"/>
      <c r="AI755" s="463"/>
      <c r="AJ755" s="447">
        <f t="shared" si="44"/>
        <v>0</v>
      </c>
      <c r="AK755" s="463"/>
      <c r="AL755" s="463"/>
      <c r="AM755" s="463"/>
      <c r="AN755" s="463"/>
      <c r="AO755" s="463"/>
      <c r="AP755" s="463"/>
      <c r="AQ755" s="463"/>
      <c r="AR755" s="463"/>
      <c r="AS755" s="463"/>
      <c r="AT755" s="463"/>
      <c r="AU755" s="465" t="s">
        <v>2222</v>
      </c>
    </row>
    <row r="756" spans="1:197" s="454" customFormat="1" ht="21.75" customHeight="1">
      <c r="A756" s="794">
        <v>754</v>
      </c>
      <c r="B756" s="454" t="s">
        <v>933</v>
      </c>
      <c r="C756" s="454" t="s">
        <v>1286</v>
      </c>
      <c r="D756" s="461">
        <v>38169</v>
      </c>
      <c r="E756" s="461">
        <v>38322</v>
      </c>
      <c r="F756" s="809">
        <v>2004</v>
      </c>
      <c r="G756" s="454" t="s">
        <v>942</v>
      </c>
      <c r="H756" s="454" t="s">
        <v>1451</v>
      </c>
      <c r="I756" s="454" t="s">
        <v>2223</v>
      </c>
      <c r="J756" s="790" t="s">
        <v>2440</v>
      </c>
      <c r="K756" s="463">
        <v>5751</v>
      </c>
      <c r="L756" s="463"/>
      <c r="M756" s="463"/>
      <c r="N756" s="463">
        <v>425011</v>
      </c>
      <c r="O756" s="808">
        <f t="shared" si="47"/>
        <v>73.902103981916184</v>
      </c>
      <c r="P756" s="463" t="s">
        <v>66</v>
      </c>
      <c r="Q756" s="463">
        <f>900*5</f>
        <v>4500</v>
      </c>
      <c r="R756" s="463"/>
      <c r="S756" s="463">
        <v>4500</v>
      </c>
      <c r="T756" s="463"/>
      <c r="U756" s="463"/>
      <c r="V756" s="463"/>
      <c r="W756" s="463"/>
      <c r="X756" s="463"/>
      <c r="Y756" s="808">
        <f>X756/S756</f>
        <v>0</v>
      </c>
      <c r="Z756" s="463"/>
      <c r="AA756" s="463"/>
      <c r="AB756" s="463">
        <v>70</v>
      </c>
      <c r="AC756" s="463"/>
      <c r="AD756" s="463"/>
      <c r="AE756" s="463"/>
      <c r="AF756" s="463"/>
      <c r="AG756" s="463"/>
      <c r="AH756" s="463"/>
      <c r="AI756" s="463"/>
      <c r="AJ756" s="447">
        <f t="shared" si="44"/>
        <v>0</v>
      </c>
      <c r="AK756" s="463"/>
      <c r="AL756" s="463"/>
      <c r="AM756" s="463"/>
      <c r="AN756" s="463"/>
      <c r="AO756" s="463"/>
      <c r="AP756" s="463"/>
      <c r="AQ756" s="463"/>
      <c r="AR756" s="463"/>
      <c r="AS756" s="463"/>
      <c r="AT756" s="463"/>
      <c r="AU756" s="258" t="s">
        <v>2224</v>
      </c>
    </row>
    <row r="757" spans="1:197" s="454" customFormat="1" ht="21.75" customHeight="1">
      <c r="A757" s="794">
        <v>755</v>
      </c>
      <c r="B757" s="454" t="s">
        <v>121</v>
      </c>
      <c r="C757" s="454" t="s">
        <v>1261</v>
      </c>
      <c r="D757" s="461">
        <v>38200</v>
      </c>
      <c r="E757" s="461">
        <v>38261</v>
      </c>
      <c r="F757" s="809">
        <v>2004</v>
      </c>
      <c r="G757" s="454" t="s">
        <v>2229</v>
      </c>
      <c r="H757" s="454" t="s">
        <v>1451</v>
      </c>
      <c r="I757" s="454" t="s">
        <v>2225</v>
      </c>
      <c r="J757" s="790" t="s">
        <v>2440</v>
      </c>
      <c r="K757" s="463">
        <v>10000</v>
      </c>
      <c r="L757" s="463">
        <v>200000</v>
      </c>
      <c r="M757" s="463">
        <v>200000</v>
      </c>
      <c r="N757" s="463">
        <v>200000</v>
      </c>
      <c r="O757" s="808">
        <f t="shared" si="47"/>
        <v>20</v>
      </c>
      <c r="P757" s="463">
        <v>100</v>
      </c>
      <c r="Q757" s="463"/>
      <c r="R757" s="463"/>
      <c r="S757" s="463"/>
      <c r="T757" s="463"/>
      <c r="U757" s="463"/>
      <c r="V757" s="463"/>
      <c r="W757" s="463"/>
      <c r="X757" s="463"/>
      <c r="Y757" s="463"/>
      <c r="Z757" s="463"/>
      <c r="AA757" s="463"/>
      <c r="AB757" s="463"/>
      <c r="AC757" s="463"/>
      <c r="AD757" s="463"/>
      <c r="AE757" s="463"/>
      <c r="AF757" s="463"/>
      <c r="AG757" s="463"/>
      <c r="AH757" s="463">
        <v>2513</v>
      </c>
      <c r="AI757" s="463"/>
      <c r="AJ757" s="447">
        <f t="shared" si="44"/>
        <v>2513</v>
      </c>
      <c r="AK757" s="463"/>
      <c r="AL757" s="463"/>
      <c r="AM757" s="463"/>
      <c r="AN757" s="463"/>
      <c r="AO757" s="463"/>
      <c r="AP757" s="463"/>
      <c r="AQ757" s="463"/>
      <c r="AR757" s="463"/>
      <c r="AS757" s="463"/>
      <c r="AT757" s="463"/>
      <c r="AU757" s="454" t="s">
        <v>2226</v>
      </c>
    </row>
    <row r="758" spans="1:197" s="454" customFormat="1" ht="15">
      <c r="A758" s="794">
        <v>756</v>
      </c>
      <c r="B758" s="454" t="s">
        <v>251</v>
      </c>
      <c r="C758" s="454" t="s">
        <v>1260</v>
      </c>
      <c r="D758" s="461">
        <v>38108</v>
      </c>
      <c r="E758" s="461">
        <v>38322</v>
      </c>
      <c r="F758" s="809">
        <v>2004</v>
      </c>
      <c r="G758" s="454" t="s">
        <v>2239</v>
      </c>
      <c r="H758" s="454" t="s">
        <v>1471</v>
      </c>
      <c r="I758" s="454" t="s">
        <v>2281</v>
      </c>
      <c r="J758" s="790" t="s">
        <v>2440</v>
      </c>
      <c r="K758" s="463">
        <v>600</v>
      </c>
      <c r="L758" s="463">
        <v>10000</v>
      </c>
      <c r="M758" s="463">
        <v>10000</v>
      </c>
      <c r="N758" s="463">
        <v>10000</v>
      </c>
      <c r="O758" s="808">
        <f t="shared" si="47"/>
        <v>16.666666666666668</v>
      </c>
      <c r="P758" s="463">
        <v>100</v>
      </c>
      <c r="Q758" s="463"/>
      <c r="R758" s="463"/>
      <c r="S758" s="463"/>
      <c r="T758" s="463"/>
      <c r="U758" s="463"/>
      <c r="V758" s="463"/>
      <c r="W758" s="463"/>
      <c r="X758" s="463"/>
      <c r="Y758" s="463"/>
      <c r="Z758" s="463"/>
      <c r="AA758" s="463"/>
      <c r="AB758" s="463"/>
      <c r="AC758" s="463"/>
      <c r="AD758" s="463"/>
      <c r="AE758" s="463"/>
      <c r="AF758" s="463"/>
      <c r="AG758" s="463"/>
      <c r="AH758" s="463"/>
      <c r="AI758" s="463"/>
      <c r="AJ758" s="447">
        <f t="shared" si="44"/>
        <v>0</v>
      </c>
      <c r="AK758" s="463"/>
      <c r="AL758" s="463"/>
      <c r="AM758" s="463"/>
      <c r="AN758" s="463"/>
      <c r="AO758" s="463"/>
      <c r="AP758" s="463"/>
      <c r="AQ758" s="463"/>
      <c r="AR758" s="463"/>
      <c r="AS758" s="463"/>
      <c r="AT758" s="463"/>
      <c r="AU758" s="346" t="s">
        <v>2264</v>
      </c>
    </row>
    <row r="759" spans="1:197" s="454" customFormat="1" ht="15">
      <c r="A759" s="794">
        <v>757</v>
      </c>
      <c r="B759" s="454" t="s">
        <v>326</v>
      </c>
      <c r="C759" s="454" t="s">
        <v>1299</v>
      </c>
      <c r="D759" s="461">
        <v>38047</v>
      </c>
      <c r="E759" s="461">
        <v>38322</v>
      </c>
      <c r="F759" s="809">
        <v>2004</v>
      </c>
      <c r="G759" s="454" t="s">
        <v>875</v>
      </c>
      <c r="H759" s="454" t="s">
        <v>1449</v>
      </c>
      <c r="I759" s="454" t="s">
        <v>2245</v>
      </c>
      <c r="J759" s="790" t="s">
        <v>2440</v>
      </c>
      <c r="K759" s="463">
        <v>8000</v>
      </c>
      <c r="L759" s="463">
        <v>20000</v>
      </c>
      <c r="M759" s="463">
        <v>20000</v>
      </c>
      <c r="N759" s="463">
        <v>20000</v>
      </c>
      <c r="O759" s="808">
        <f t="shared" si="47"/>
        <v>2.5</v>
      </c>
      <c r="P759" s="463">
        <v>100</v>
      </c>
      <c r="Q759" s="463"/>
      <c r="R759" s="463"/>
      <c r="S759" s="463"/>
      <c r="T759" s="463"/>
      <c r="U759" s="463"/>
      <c r="V759" s="463"/>
      <c r="W759" s="463"/>
      <c r="X759" s="463"/>
      <c r="Y759" s="463"/>
      <c r="Z759" s="463"/>
      <c r="AA759" s="463">
        <v>8000</v>
      </c>
      <c r="AB759" s="463">
        <v>150</v>
      </c>
      <c r="AC759" s="463"/>
      <c r="AD759" s="463"/>
      <c r="AE759" s="463"/>
      <c r="AF759" s="463"/>
      <c r="AG759" s="463"/>
      <c r="AH759" s="463">
        <v>50</v>
      </c>
      <c r="AI759" s="463"/>
      <c r="AJ759" s="447">
        <f t="shared" si="44"/>
        <v>8050</v>
      </c>
      <c r="AK759" s="463"/>
      <c r="AL759" s="463"/>
      <c r="AM759" s="463"/>
      <c r="AN759" s="463"/>
      <c r="AO759" s="463"/>
      <c r="AP759" s="463"/>
      <c r="AQ759" s="463"/>
      <c r="AR759" s="463"/>
      <c r="AS759" s="463"/>
      <c r="AT759" s="463"/>
      <c r="AU759" s="346" t="s">
        <v>2282</v>
      </c>
    </row>
    <row r="760" spans="1:197" s="466" customFormat="1" ht="15">
      <c r="A760" s="794">
        <v>758</v>
      </c>
      <c r="B760" s="466" t="s">
        <v>26</v>
      </c>
      <c r="C760" s="466" t="s">
        <v>1299</v>
      </c>
      <c r="D760" s="467">
        <v>38139</v>
      </c>
      <c r="E760" s="467">
        <v>38322</v>
      </c>
      <c r="F760" s="809">
        <v>2004</v>
      </c>
      <c r="G760" s="466" t="s">
        <v>2241</v>
      </c>
      <c r="H760" s="811" t="s">
        <v>2469</v>
      </c>
      <c r="J760" s="810" t="s">
        <v>2441</v>
      </c>
      <c r="K760" s="469"/>
      <c r="L760" s="469"/>
      <c r="M760" s="469"/>
      <c r="N760" s="469">
        <v>68920.59</v>
      </c>
      <c r="O760" s="808"/>
      <c r="P760" s="469" t="s">
        <v>66</v>
      </c>
      <c r="Q760" s="469"/>
      <c r="R760" s="469"/>
      <c r="S760" s="469"/>
      <c r="T760" s="469"/>
      <c r="U760" s="469"/>
      <c r="V760" s="469"/>
      <c r="W760" s="469"/>
      <c r="X760" s="469"/>
      <c r="Y760" s="463"/>
      <c r="Z760" s="469"/>
      <c r="AA760" s="469"/>
      <c r="AB760" s="469"/>
      <c r="AC760" s="469"/>
      <c r="AD760" s="469"/>
      <c r="AE760" s="469"/>
      <c r="AF760" s="469"/>
      <c r="AG760" s="469"/>
      <c r="AH760" s="463"/>
      <c r="AI760" s="469"/>
      <c r="AJ760" s="447">
        <f t="shared" si="44"/>
        <v>0</v>
      </c>
      <c r="AK760" s="469"/>
      <c r="AL760" s="469"/>
      <c r="AM760" s="469"/>
      <c r="AN760" s="469"/>
      <c r="AO760" s="469"/>
      <c r="AP760" s="469"/>
      <c r="AQ760" s="469"/>
      <c r="AR760" s="469">
        <v>3</v>
      </c>
      <c r="AS760" s="469"/>
      <c r="AT760" s="469"/>
      <c r="AU760" s="470"/>
      <c r="AV760" s="454"/>
      <c r="AW760" s="454"/>
      <c r="AX760" s="454"/>
      <c r="AY760" s="454"/>
      <c r="AZ760" s="454"/>
      <c r="BA760" s="454"/>
      <c r="BB760" s="454"/>
      <c r="BC760" s="454"/>
      <c r="BD760" s="454"/>
      <c r="BE760" s="454"/>
      <c r="BF760" s="454"/>
      <c r="BG760" s="454"/>
      <c r="BH760" s="454"/>
      <c r="BI760" s="454"/>
      <c r="BJ760" s="454"/>
      <c r="BK760" s="454"/>
      <c r="BL760" s="454"/>
      <c r="BM760" s="454"/>
      <c r="BN760" s="454"/>
      <c r="BO760" s="454"/>
      <c r="BP760" s="454"/>
      <c r="BQ760" s="454"/>
      <c r="BR760" s="454"/>
      <c r="BS760" s="454"/>
      <c r="BT760" s="454"/>
      <c r="BU760" s="454"/>
      <c r="BV760" s="454"/>
      <c r="BW760" s="454"/>
      <c r="BX760" s="454"/>
      <c r="BY760" s="454"/>
      <c r="BZ760" s="454"/>
      <c r="CA760" s="454"/>
      <c r="CB760" s="454"/>
      <c r="CC760" s="454"/>
      <c r="CD760" s="454"/>
      <c r="CE760" s="454"/>
      <c r="CF760" s="454"/>
      <c r="CG760" s="454"/>
      <c r="CH760" s="454"/>
      <c r="CI760" s="454"/>
      <c r="CJ760" s="454"/>
      <c r="CK760" s="454"/>
      <c r="CL760" s="454"/>
      <c r="CM760" s="454"/>
      <c r="CN760" s="454"/>
      <c r="CO760" s="454"/>
      <c r="CP760" s="454"/>
      <c r="CQ760" s="454"/>
      <c r="CR760" s="454"/>
      <c r="CS760" s="454"/>
      <c r="CT760" s="454"/>
      <c r="CU760" s="454"/>
      <c r="CV760" s="454"/>
      <c r="CW760" s="454"/>
      <c r="CX760" s="454"/>
      <c r="CY760" s="454"/>
      <c r="CZ760" s="454"/>
      <c r="DA760" s="454"/>
      <c r="DB760" s="454"/>
      <c r="DC760" s="454"/>
      <c r="DD760" s="454"/>
      <c r="DE760" s="454"/>
      <c r="DF760" s="454"/>
      <c r="DG760" s="454"/>
      <c r="DH760" s="454"/>
      <c r="DI760" s="454"/>
      <c r="DJ760" s="454"/>
      <c r="DK760" s="454"/>
      <c r="DL760" s="454"/>
      <c r="DM760" s="454"/>
      <c r="DN760" s="454"/>
      <c r="DO760" s="454"/>
      <c r="DP760" s="454"/>
      <c r="DQ760" s="454"/>
      <c r="DR760" s="454"/>
      <c r="DS760" s="454"/>
      <c r="DT760" s="454"/>
      <c r="DU760" s="454"/>
      <c r="DV760" s="454"/>
      <c r="DW760" s="454"/>
      <c r="DX760" s="454"/>
      <c r="DY760" s="454"/>
      <c r="DZ760" s="454"/>
      <c r="EA760" s="454"/>
      <c r="EB760" s="454"/>
      <c r="EC760" s="454"/>
      <c r="ED760" s="454"/>
      <c r="EE760" s="454"/>
      <c r="EF760" s="454"/>
      <c r="EG760" s="454"/>
      <c r="EH760" s="454"/>
      <c r="EI760" s="454"/>
      <c r="EJ760" s="454"/>
      <c r="EK760" s="454"/>
      <c r="EL760" s="454"/>
      <c r="EM760" s="454"/>
      <c r="EN760" s="454"/>
      <c r="EO760" s="454"/>
      <c r="EP760" s="454"/>
      <c r="EQ760" s="454"/>
      <c r="ER760" s="454"/>
      <c r="ES760" s="454"/>
      <c r="ET760" s="454"/>
      <c r="EU760" s="454"/>
      <c r="EV760" s="454"/>
      <c r="EW760" s="454"/>
      <c r="EX760" s="454"/>
      <c r="EY760" s="454"/>
      <c r="EZ760" s="454"/>
      <c r="FA760" s="454"/>
      <c r="FB760" s="454"/>
      <c r="FC760" s="454"/>
      <c r="FD760" s="454"/>
      <c r="FE760" s="454"/>
      <c r="FF760" s="454"/>
      <c r="FG760" s="454"/>
      <c r="FH760" s="454"/>
      <c r="FI760" s="454"/>
      <c r="FJ760" s="454"/>
      <c r="FK760" s="454"/>
      <c r="FL760" s="454"/>
      <c r="FM760" s="454"/>
      <c r="FN760" s="454"/>
      <c r="FO760" s="454"/>
      <c r="FP760" s="454"/>
      <c r="FQ760" s="454"/>
      <c r="FR760" s="454"/>
      <c r="FS760" s="454"/>
      <c r="FT760" s="454"/>
      <c r="FU760" s="454"/>
      <c r="FV760" s="454"/>
      <c r="FW760" s="454"/>
      <c r="FX760" s="454"/>
      <c r="FY760" s="454"/>
      <c r="FZ760" s="454"/>
      <c r="GA760" s="454"/>
      <c r="GB760" s="454"/>
      <c r="GC760" s="454"/>
      <c r="GD760" s="454"/>
      <c r="GE760" s="454"/>
      <c r="GF760" s="454"/>
      <c r="GG760" s="454"/>
      <c r="GH760" s="454"/>
      <c r="GI760" s="454"/>
      <c r="GJ760" s="454"/>
      <c r="GK760" s="454"/>
      <c r="GL760" s="454"/>
      <c r="GM760" s="454"/>
      <c r="GN760" s="454"/>
      <c r="GO760" s="454"/>
    </row>
    <row r="761" spans="1:197" s="454" customFormat="1" ht="15">
      <c r="A761" s="794">
        <v>759</v>
      </c>
      <c r="B761" s="454" t="s">
        <v>452</v>
      </c>
      <c r="C761" s="449" t="s">
        <v>1278</v>
      </c>
      <c r="D761" s="461">
        <v>38200</v>
      </c>
      <c r="E761" s="461">
        <v>38322</v>
      </c>
      <c r="F761" s="809">
        <v>2004</v>
      </c>
      <c r="G761" s="454" t="s">
        <v>2240</v>
      </c>
      <c r="H761" s="454" t="s">
        <v>1452</v>
      </c>
      <c r="I761" s="454" t="s">
        <v>2273</v>
      </c>
      <c r="J761" s="790" t="s">
        <v>2440</v>
      </c>
      <c r="K761" s="463">
        <v>2500</v>
      </c>
      <c r="L761" s="463">
        <v>75000</v>
      </c>
      <c r="M761" s="463">
        <v>75000</v>
      </c>
      <c r="N761" s="463">
        <v>75000</v>
      </c>
      <c r="O761" s="808">
        <f>N761/K761</f>
        <v>30</v>
      </c>
      <c r="P761" s="463">
        <v>100</v>
      </c>
      <c r="Q761" s="463"/>
      <c r="R761" s="463">
        <f>12*20</f>
        <v>240</v>
      </c>
      <c r="S761" s="463">
        <v>240</v>
      </c>
      <c r="T761" s="463"/>
      <c r="U761" s="463"/>
      <c r="V761" s="463"/>
      <c r="W761" s="463"/>
      <c r="X761" s="463"/>
      <c r="Y761" s="808">
        <f>X761/S761</f>
        <v>0</v>
      </c>
      <c r="Z761" s="463"/>
      <c r="AA761" s="463">
        <v>1600</v>
      </c>
      <c r="AB761" s="463"/>
      <c r="AC761" s="463"/>
      <c r="AD761" s="463"/>
      <c r="AE761" s="463"/>
      <c r="AF761" s="463"/>
      <c r="AG761" s="463"/>
      <c r="AH761" s="463"/>
      <c r="AI761" s="463"/>
      <c r="AJ761" s="447">
        <f t="shared" si="44"/>
        <v>1600</v>
      </c>
      <c r="AK761" s="463"/>
      <c r="AL761" s="463"/>
      <c r="AM761" s="463"/>
      <c r="AN761" s="463"/>
      <c r="AO761" s="463"/>
      <c r="AP761" s="463"/>
      <c r="AQ761" s="463"/>
      <c r="AR761" s="463"/>
      <c r="AS761" s="463"/>
      <c r="AT761" s="463"/>
      <c r="AU761" s="346" t="s">
        <v>2265</v>
      </c>
    </row>
    <row r="762" spans="1:197" s="466" customFormat="1" ht="15">
      <c r="A762" s="794">
        <v>760</v>
      </c>
      <c r="B762" s="466" t="s">
        <v>148</v>
      </c>
      <c r="C762" s="466" t="s">
        <v>1299</v>
      </c>
      <c r="D762" s="467">
        <v>38200</v>
      </c>
      <c r="E762" s="467">
        <v>38322</v>
      </c>
      <c r="F762" s="809">
        <v>2004</v>
      </c>
      <c r="G762" s="466" t="s">
        <v>2242</v>
      </c>
      <c r="H762" s="811" t="s">
        <v>2469</v>
      </c>
      <c r="J762" s="810" t="s">
        <v>2441</v>
      </c>
      <c r="K762" s="469"/>
      <c r="L762" s="469"/>
      <c r="M762" s="469"/>
      <c r="N762" s="469">
        <v>24025.5</v>
      </c>
      <c r="O762" s="808"/>
      <c r="P762" s="469" t="s">
        <v>66</v>
      </c>
      <c r="Q762" s="469"/>
      <c r="R762" s="469"/>
      <c r="S762" s="469"/>
      <c r="T762" s="469"/>
      <c r="U762" s="469"/>
      <c r="V762" s="469"/>
      <c r="W762" s="469"/>
      <c r="X762" s="469"/>
      <c r="Y762" s="463"/>
      <c r="Z762" s="469"/>
      <c r="AA762" s="469"/>
      <c r="AB762" s="469"/>
      <c r="AC762" s="469"/>
      <c r="AD762" s="469"/>
      <c r="AE762" s="469"/>
      <c r="AF762" s="469"/>
      <c r="AG762" s="469"/>
      <c r="AH762" s="463"/>
      <c r="AI762" s="469"/>
      <c r="AJ762" s="447">
        <f t="shared" si="44"/>
        <v>0</v>
      </c>
      <c r="AK762" s="469"/>
      <c r="AL762" s="469"/>
      <c r="AM762" s="469"/>
      <c r="AN762" s="469"/>
      <c r="AO762" s="469"/>
      <c r="AP762" s="469"/>
      <c r="AQ762" s="469"/>
      <c r="AR762" s="469"/>
      <c r="AS762" s="469"/>
      <c r="AT762" s="469"/>
      <c r="AU762" s="470"/>
      <c r="AV762" s="454"/>
      <c r="AW762" s="454"/>
      <c r="AX762" s="454"/>
      <c r="AY762" s="454"/>
      <c r="AZ762" s="454"/>
      <c r="BA762" s="454"/>
      <c r="BB762" s="454"/>
      <c r="BC762" s="454"/>
      <c r="BD762" s="454"/>
      <c r="BE762" s="454"/>
      <c r="BF762" s="454"/>
      <c r="BG762" s="454"/>
      <c r="BH762" s="454"/>
      <c r="BI762" s="454"/>
      <c r="BJ762" s="454"/>
      <c r="BK762" s="454"/>
      <c r="BL762" s="454"/>
      <c r="BM762" s="454"/>
      <c r="BN762" s="454"/>
      <c r="BO762" s="454"/>
      <c r="BP762" s="454"/>
      <c r="BQ762" s="454"/>
      <c r="BR762" s="454"/>
      <c r="BS762" s="454"/>
      <c r="BT762" s="454"/>
      <c r="BU762" s="454"/>
      <c r="BV762" s="454"/>
      <c r="BW762" s="454"/>
      <c r="BX762" s="454"/>
      <c r="BY762" s="454"/>
      <c r="BZ762" s="454"/>
      <c r="CA762" s="454"/>
      <c r="CB762" s="454"/>
      <c r="CC762" s="454"/>
      <c r="CD762" s="454"/>
      <c r="CE762" s="454"/>
      <c r="CF762" s="454"/>
      <c r="CG762" s="454"/>
      <c r="CH762" s="454"/>
      <c r="CI762" s="454"/>
      <c r="CJ762" s="454"/>
      <c r="CK762" s="454"/>
      <c r="CL762" s="454"/>
      <c r="CM762" s="454"/>
      <c r="CN762" s="454"/>
      <c r="CO762" s="454"/>
      <c r="CP762" s="454"/>
      <c r="CQ762" s="454"/>
      <c r="CR762" s="454"/>
      <c r="CS762" s="454"/>
      <c r="CT762" s="454"/>
      <c r="CU762" s="454"/>
      <c r="CV762" s="454"/>
      <c r="CW762" s="454"/>
      <c r="CX762" s="454"/>
      <c r="CY762" s="454"/>
      <c r="CZ762" s="454"/>
      <c r="DA762" s="454"/>
      <c r="DB762" s="454"/>
      <c r="DC762" s="454"/>
      <c r="DD762" s="454"/>
      <c r="DE762" s="454"/>
      <c r="DF762" s="454"/>
      <c r="DG762" s="454"/>
      <c r="DH762" s="454"/>
      <c r="DI762" s="454"/>
      <c r="DJ762" s="454"/>
      <c r="DK762" s="454"/>
      <c r="DL762" s="454"/>
      <c r="DM762" s="454"/>
      <c r="DN762" s="454"/>
      <c r="DO762" s="454"/>
      <c r="DP762" s="454"/>
      <c r="DQ762" s="454"/>
      <c r="DR762" s="454"/>
      <c r="DS762" s="454"/>
      <c r="DT762" s="454"/>
      <c r="DU762" s="454"/>
      <c r="DV762" s="454"/>
      <c r="DW762" s="454"/>
      <c r="DX762" s="454"/>
      <c r="DY762" s="454"/>
      <c r="DZ762" s="454"/>
      <c r="EA762" s="454"/>
      <c r="EB762" s="454"/>
      <c r="EC762" s="454"/>
      <c r="ED762" s="454"/>
      <c r="EE762" s="454"/>
      <c r="EF762" s="454"/>
      <c r="EG762" s="454"/>
      <c r="EH762" s="454"/>
      <c r="EI762" s="454"/>
      <c r="EJ762" s="454"/>
      <c r="EK762" s="454"/>
      <c r="EL762" s="454"/>
      <c r="EM762" s="454"/>
      <c r="EN762" s="454"/>
      <c r="EO762" s="454"/>
      <c r="EP762" s="454"/>
      <c r="EQ762" s="454"/>
      <c r="ER762" s="454"/>
      <c r="ES762" s="454"/>
      <c r="ET762" s="454"/>
      <c r="EU762" s="454"/>
      <c r="EV762" s="454"/>
      <c r="EW762" s="454"/>
      <c r="EX762" s="454"/>
      <c r="EY762" s="454"/>
      <c r="EZ762" s="454"/>
      <c r="FA762" s="454"/>
      <c r="FB762" s="454"/>
      <c r="FC762" s="454"/>
      <c r="FD762" s="454"/>
      <c r="FE762" s="454"/>
      <c r="FF762" s="454"/>
      <c r="FG762" s="454"/>
      <c r="FH762" s="454"/>
      <c r="FI762" s="454"/>
      <c r="FJ762" s="454"/>
      <c r="FK762" s="454"/>
      <c r="FL762" s="454"/>
      <c r="FM762" s="454"/>
      <c r="FN762" s="454"/>
      <c r="FO762" s="454"/>
      <c r="FP762" s="454"/>
      <c r="FQ762" s="454"/>
      <c r="FR762" s="454"/>
      <c r="FS762" s="454"/>
      <c r="FT762" s="454"/>
      <c r="FU762" s="454"/>
      <c r="FV762" s="454"/>
      <c r="FW762" s="454"/>
      <c r="FX762" s="454"/>
      <c r="FY762" s="454"/>
      <c r="FZ762" s="454"/>
      <c r="GA762" s="454"/>
      <c r="GB762" s="454"/>
      <c r="GC762" s="454"/>
      <c r="GD762" s="454"/>
      <c r="GE762" s="454"/>
      <c r="GF762" s="454"/>
      <c r="GG762" s="454"/>
      <c r="GH762" s="454"/>
      <c r="GI762" s="454"/>
      <c r="GJ762" s="454"/>
      <c r="GK762" s="454"/>
      <c r="GL762" s="454"/>
      <c r="GM762" s="454"/>
      <c r="GN762" s="454"/>
      <c r="GO762" s="454"/>
    </row>
    <row r="763" spans="1:197" s="454" customFormat="1" ht="15">
      <c r="A763" s="794">
        <v>761</v>
      </c>
      <c r="B763" s="454" t="s">
        <v>22</v>
      </c>
      <c r="C763" s="454" t="s">
        <v>1286</v>
      </c>
      <c r="D763" s="461">
        <v>38231</v>
      </c>
      <c r="E763" s="461">
        <v>38322</v>
      </c>
      <c r="F763" s="809">
        <v>2004</v>
      </c>
      <c r="G763" s="454" t="s">
        <v>2243</v>
      </c>
      <c r="H763" s="454" t="s">
        <v>2271</v>
      </c>
      <c r="I763" s="454" t="s">
        <v>2223</v>
      </c>
      <c r="J763" s="790" t="s">
        <v>2440</v>
      </c>
      <c r="K763" s="463">
        <v>20000</v>
      </c>
      <c r="L763" s="463">
        <v>70000</v>
      </c>
      <c r="M763" s="463">
        <v>70000</v>
      </c>
      <c r="N763" s="463">
        <v>70000</v>
      </c>
      <c r="O763" s="808">
        <f>N763/K763</f>
        <v>3.5</v>
      </c>
      <c r="P763" s="463">
        <v>100</v>
      </c>
      <c r="Q763" s="463"/>
      <c r="R763" s="463"/>
      <c r="S763" s="463"/>
      <c r="T763" s="463"/>
      <c r="U763" s="463"/>
      <c r="V763" s="463"/>
      <c r="W763" s="463"/>
      <c r="X763" s="463"/>
      <c r="Y763" s="463"/>
      <c r="Z763" s="463"/>
      <c r="AA763" s="463"/>
      <c r="AB763" s="463"/>
      <c r="AC763" s="463"/>
      <c r="AD763" s="463"/>
      <c r="AE763" s="463"/>
      <c r="AF763" s="463"/>
      <c r="AG763" s="463"/>
      <c r="AH763" s="463"/>
      <c r="AI763" s="463"/>
      <c r="AJ763" s="447">
        <f t="shared" si="44"/>
        <v>0</v>
      </c>
      <c r="AK763" s="463"/>
      <c r="AL763" s="463"/>
      <c r="AM763" s="463"/>
      <c r="AN763" s="463"/>
      <c r="AO763" s="463"/>
      <c r="AP763" s="463"/>
      <c r="AQ763" s="463"/>
      <c r="AR763" s="463"/>
      <c r="AS763" s="463"/>
      <c r="AT763" s="463"/>
      <c r="AU763" s="346" t="s">
        <v>2266</v>
      </c>
    </row>
    <row r="764" spans="1:197" s="454" customFormat="1" ht="21.75" customHeight="1">
      <c r="A764" s="794">
        <v>762</v>
      </c>
      <c r="B764" s="454" t="s">
        <v>15</v>
      </c>
      <c r="C764" s="454" t="s">
        <v>1286</v>
      </c>
      <c r="D764" s="461">
        <v>38231</v>
      </c>
      <c r="E764" s="461">
        <v>38322</v>
      </c>
      <c r="F764" s="809">
        <v>2004</v>
      </c>
      <c r="G764" s="454" t="s">
        <v>5</v>
      </c>
      <c r="H764" s="454" t="s">
        <v>1451</v>
      </c>
      <c r="I764" s="454" t="s">
        <v>2230</v>
      </c>
      <c r="J764" s="790" t="s">
        <v>2440</v>
      </c>
      <c r="K764" s="463">
        <v>2500</v>
      </c>
      <c r="L764" s="463">
        <v>50000</v>
      </c>
      <c r="M764" s="463">
        <v>50000</v>
      </c>
      <c r="N764" s="463">
        <v>50000</v>
      </c>
      <c r="O764" s="808">
        <f>N764/K764</f>
        <v>20</v>
      </c>
      <c r="P764" s="463">
        <v>100</v>
      </c>
      <c r="Q764" s="463"/>
      <c r="R764" s="463"/>
      <c r="S764" s="463"/>
      <c r="T764" s="463"/>
      <c r="U764" s="463"/>
      <c r="V764" s="463"/>
      <c r="W764" s="463"/>
      <c r="X764" s="463"/>
      <c r="Y764" s="463"/>
      <c r="Z764" s="463"/>
      <c r="AA764" s="463"/>
      <c r="AB764" s="463"/>
      <c r="AC764" s="463"/>
      <c r="AD764" s="463"/>
      <c r="AE764" s="463"/>
      <c r="AF764" s="463"/>
      <c r="AG764" s="463"/>
      <c r="AH764" s="463"/>
      <c r="AI764" s="463"/>
      <c r="AJ764" s="447">
        <f t="shared" si="44"/>
        <v>0</v>
      </c>
      <c r="AK764" s="463"/>
      <c r="AL764" s="463"/>
      <c r="AM764" s="463"/>
      <c r="AN764" s="463"/>
      <c r="AO764" s="463"/>
      <c r="AP764" s="463"/>
      <c r="AQ764" s="463"/>
      <c r="AR764" s="463"/>
      <c r="AS764" s="463"/>
      <c r="AT764" s="463"/>
      <c r="AU764" s="346" t="s">
        <v>2231</v>
      </c>
    </row>
    <row r="765" spans="1:197" s="454" customFormat="1" ht="21.75" customHeight="1">
      <c r="A765" s="794">
        <v>763</v>
      </c>
      <c r="B765" s="454" t="s">
        <v>22</v>
      </c>
      <c r="C765" s="454" t="s">
        <v>1286</v>
      </c>
      <c r="D765" s="461">
        <v>38232</v>
      </c>
      <c r="E765" s="461">
        <v>38323</v>
      </c>
      <c r="F765" s="809">
        <v>2004</v>
      </c>
      <c r="G765" s="454" t="s">
        <v>2267</v>
      </c>
      <c r="H765" s="444" t="s">
        <v>2271</v>
      </c>
      <c r="I765" s="454" t="s">
        <v>2244</v>
      </c>
      <c r="J765" s="790" t="s">
        <v>2440</v>
      </c>
      <c r="K765" s="463">
        <v>13216</v>
      </c>
      <c r="L765" s="463">
        <v>100000</v>
      </c>
      <c r="M765" s="463">
        <v>100000</v>
      </c>
      <c r="N765" s="463">
        <v>100000</v>
      </c>
      <c r="O765" s="808">
        <f>N765/K765</f>
        <v>7.566585956416465</v>
      </c>
      <c r="P765" s="463">
        <v>100</v>
      </c>
      <c r="Q765" s="463"/>
      <c r="R765" s="463"/>
      <c r="S765" s="463"/>
      <c r="T765" s="463"/>
      <c r="U765" s="463"/>
      <c r="V765" s="463"/>
      <c r="W765" s="463"/>
      <c r="X765" s="463"/>
      <c r="Y765" s="463"/>
      <c r="Z765" s="463"/>
      <c r="AA765" s="463"/>
      <c r="AB765" s="463"/>
      <c r="AC765" s="463"/>
      <c r="AD765" s="463"/>
      <c r="AE765" s="463"/>
      <c r="AF765" s="463"/>
      <c r="AG765" s="463"/>
      <c r="AH765" s="463"/>
      <c r="AI765" s="463"/>
      <c r="AJ765" s="447">
        <f t="shared" si="44"/>
        <v>0</v>
      </c>
      <c r="AK765" s="463"/>
      <c r="AL765" s="463"/>
      <c r="AM765" s="463"/>
      <c r="AN765" s="463"/>
      <c r="AO765" s="463"/>
      <c r="AP765" s="463"/>
      <c r="AQ765" s="463"/>
      <c r="AR765" s="463"/>
      <c r="AS765" s="463"/>
      <c r="AT765" s="463" t="s">
        <v>94</v>
      </c>
      <c r="AU765" s="346" t="s">
        <v>2232</v>
      </c>
    </row>
    <row r="766" spans="1:197" s="454" customFormat="1" ht="21.75" customHeight="1">
      <c r="A766" s="794">
        <v>764</v>
      </c>
      <c r="B766" s="454" t="s">
        <v>153</v>
      </c>
      <c r="C766" s="454" t="s">
        <v>1299</v>
      </c>
      <c r="D766" s="461">
        <v>38261</v>
      </c>
      <c r="E766" s="461">
        <v>38443</v>
      </c>
      <c r="F766" s="809">
        <v>2004</v>
      </c>
      <c r="G766" s="454" t="s">
        <v>2233</v>
      </c>
      <c r="H766" s="454" t="s">
        <v>1452</v>
      </c>
      <c r="I766" s="454" t="s">
        <v>2230</v>
      </c>
      <c r="J766" s="790" t="s">
        <v>2440</v>
      </c>
      <c r="K766" s="463">
        <v>3250</v>
      </c>
      <c r="L766" s="463">
        <v>50000</v>
      </c>
      <c r="M766" s="463">
        <v>50000</v>
      </c>
      <c r="N766" s="463">
        <v>50000</v>
      </c>
      <c r="O766" s="808">
        <f>N766/K766</f>
        <v>15.384615384615385</v>
      </c>
      <c r="P766" s="463">
        <v>100</v>
      </c>
      <c r="Q766" s="463"/>
      <c r="R766" s="463"/>
      <c r="S766" s="463"/>
      <c r="T766" s="463"/>
      <c r="U766" s="463"/>
      <c r="V766" s="463"/>
      <c r="W766" s="463"/>
      <c r="X766" s="463"/>
      <c r="Y766" s="463"/>
      <c r="Z766" s="463"/>
      <c r="AA766" s="463"/>
      <c r="AB766" s="463"/>
      <c r="AC766" s="463"/>
      <c r="AD766" s="463"/>
      <c r="AE766" s="463"/>
      <c r="AF766" s="463"/>
      <c r="AG766" s="463"/>
      <c r="AH766" s="463"/>
      <c r="AI766" s="463"/>
      <c r="AJ766" s="447">
        <f t="shared" si="44"/>
        <v>0</v>
      </c>
      <c r="AK766" s="463"/>
      <c r="AL766" s="463"/>
      <c r="AM766" s="463"/>
      <c r="AN766" s="463"/>
      <c r="AO766" s="463"/>
      <c r="AP766" s="463"/>
      <c r="AQ766" s="463"/>
      <c r="AR766" s="463"/>
      <c r="AS766" s="463"/>
      <c r="AT766" s="463"/>
      <c r="AU766" s="346" t="s">
        <v>2234</v>
      </c>
    </row>
    <row r="767" spans="1:197" s="454" customFormat="1" ht="15">
      <c r="A767" s="794">
        <v>765</v>
      </c>
      <c r="B767" s="454" t="s">
        <v>2235</v>
      </c>
      <c r="C767" s="454" t="s">
        <v>1299</v>
      </c>
      <c r="D767" s="456">
        <v>38231</v>
      </c>
      <c r="E767" s="456">
        <v>38322</v>
      </c>
      <c r="F767" s="809">
        <v>2004</v>
      </c>
      <c r="G767" s="454" t="s">
        <v>243</v>
      </c>
      <c r="H767" s="454" t="s">
        <v>1449</v>
      </c>
      <c r="I767" s="454" t="s">
        <v>2245</v>
      </c>
      <c r="J767" s="790" t="s">
        <v>2440</v>
      </c>
      <c r="K767" s="463">
        <v>4000</v>
      </c>
      <c r="L767" s="463">
        <v>122000</v>
      </c>
      <c r="M767" s="463">
        <v>122000</v>
      </c>
      <c r="N767" s="463">
        <v>122000</v>
      </c>
      <c r="O767" s="808">
        <f>N767/K767</f>
        <v>30.5</v>
      </c>
      <c r="P767" s="463">
        <v>100</v>
      </c>
      <c r="Q767" s="463"/>
      <c r="R767" s="463"/>
      <c r="S767" s="463"/>
      <c r="T767" s="463"/>
      <c r="U767" s="463"/>
      <c r="V767" s="463"/>
      <c r="W767" s="463"/>
      <c r="X767" s="463"/>
      <c r="Y767" s="463"/>
      <c r="Z767" s="463"/>
      <c r="AA767" s="463">
        <v>4000</v>
      </c>
      <c r="AB767" s="463"/>
      <c r="AC767" s="463"/>
      <c r="AD767" s="463"/>
      <c r="AE767" s="463"/>
      <c r="AF767" s="463"/>
      <c r="AG767" s="463"/>
      <c r="AH767" s="463"/>
      <c r="AI767" s="463"/>
      <c r="AJ767" s="447">
        <f t="shared" si="44"/>
        <v>4000</v>
      </c>
      <c r="AK767" s="463"/>
      <c r="AL767" s="463"/>
      <c r="AM767" s="463"/>
      <c r="AN767" s="463"/>
      <c r="AO767" s="463"/>
      <c r="AP767" s="463"/>
      <c r="AQ767" s="463"/>
      <c r="AR767" s="463"/>
      <c r="AS767" s="463"/>
      <c r="AT767" s="463"/>
      <c r="AU767" s="346" t="s">
        <v>2268</v>
      </c>
    </row>
    <row r="768" spans="1:197" s="466" customFormat="1" ht="15">
      <c r="A768" s="794">
        <v>766</v>
      </c>
      <c r="B768" s="466" t="s">
        <v>196</v>
      </c>
      <c r="C768" s="466" t="s">
        <v>1260</v>
      </c>
      <c r="D768" s="467">
        <v>38169</v>
      </c>
      <c r="E768" s="467">
        <v>38292</v>
      </c>
      <c r="F768" s="809">
        <v>2004</v>
      </c>
      <c r="G768" s="466" t="s">
        <v>2236</v>
      </c>
      <c r="H768" s="811" t="s">
        <v>2469</v>
      </c>
      <c r="J768" s="810" t="s">
        <v>2441</v>
      </c>
      <c r="K768" s="469"/>
      <c r="L768" s="469"/>
      <c r="M768" s="469"/>
      <c r="N768" s="469">
        <v>108928.09</v>
      </c>
      <c r="O768" s="808"/>
      <c r="P768" s="469" t="s">
        <v>66</v>
      </c>
      <c r="Q768" s="469"/>
      <c r="R768" s="469"/>
      <c r="S768" s="469"/>
      <c r="T768" s="469"/>
      <c r="U768" s="469"/>
      <c r="V768" s="469"/>
      <c r="W768" s="469"/>
      <c r="X768" s="469"/>
      <c r="Y768" s="463"/>
      <c r="Z768" s="469"/>
      <c r="AA768" s="469"/>
      <c r="AB768" s="469"/>
      <c r="AC768" s="469"/>
      <c r="AD768" s="469"/>
      <c r="AE768" s="469"/>
      <c r="AF768" s="469"/>
      <c r="AG768" s="469"/>
      <c r="AH768" s="463"/>
      <c r="AI768" s="469"/>
      <c r="AJ768" s="447">
        <f t="shared" si="44"/>
        <v>0</v>
      </c>
      <c r="AK768" s="469"/>
      <c r="AL768" s="469"/>
      <c r="AM768" s="469"/>
      <c r="AN768" s="469"/>
      <c r="AO768" s="469"/>
      <c r="AP768" s="469"/>
      <c r="AQ768" s="469"/>
      <c r="AR768" s="469"/>
      <c r="AS768" s="469"/>
      <c r="AT768" s="469"/>
      <c r="AV768" s="454"/>
      <c r="AW768" s="454"/>
      <c r="AX768" s="454"/>
      <c r="AY768" s="454"/>
      <c r="AZ768" s="454"/>
      <c r="BA768" s="454"/>
      <c r="BB768" s="454"/>
      <c r="BC768" s="454"/>
      <c r="BD768" s="454"/>
      <c r="BE768" s="454"/>
      <c r="BF768" s="454"/>
      <c r="BG768" s="454"/>
      <c r="BH768" s="454"/>
      <c r="BI768" s="454"/>
      <c r="BJ768" s="454"/>
      <c r="BK768" s="454"/>
      <c r="BL768" s="454"/>
      <c r="BM768" s="454"/>
      <c r="BN768" s="454"/>
      <c r="BO768" s="454"/>
      <c r="BP768" s="454"/>
      <c r="BQ768" s="454"/>
      <c r="BR768" s="454"/>
      <c r="BS768" s="454"/>
      <c r="BT768" s="454"/>
      <c r="BU768" s="454"/>
      <c r="BV768" s="454"/>
      <c r="BW768" s="454"/>
      <c r="BX768" s="454"/>
      <c r="BY768" s="454"/>
      <c r="BZ768" s="454"/>
      <c r="CA768" s="454"/>
      <c r="CB768" s="454"/>
      <c r="CC768" s="454"/>
      <c r="CD768" s="454"/>
      <c r="CE768" s="454"/>
      <c r="CF768" s="454"/>
      <c r="CG768" s="454"/>
      <c r="CH768" s="454"/>
      <c r="CI768" s="454"/>
      <c r="CJ768" s="454"/>
      <c r="CK768" s="454"/>
      <c r="CL768" s="454"/>
      <c r="CM768" s="454"/>
      <c r="CN768" s="454"/>
      <c r="CO768" s="454"/>
      <c r="CP768" s="454"/>
      <c r="CQ768" s="454"/>
      <c r="CR768" s="454"/>
      <c r="CS768" s="454"/>
      <c r="CT768" s="454"/>
      <c r="CU768" s="454"/>
      <c r="CV768" s="454"/>
      <c r="CW768" s="454"/>
      <c r="CX768" s="454"/>
      <c r="CY768" s="454"/>
      <c r="CZ768" s="454"/>
      <c r="DA768" s="454"/>
      <c r="DB768" s="454"/>
      <c r="DC768" s="454"/>
      <c r="DD768" s="454"/>
      <c r="DE768" s="454"/>
      <c r="DF768" s="454"/>
      <c r="DG768" s="454"/>
      <c r="DH768" s="454"/>
      <c r="DI768" s="454"/>
      <c r="DJ768" s="454"/>
      <c r="DK768" s="454"/>
      <c r="DL768" s="454"/>
      <c r="DM768" s="454"/>
      <c r="DN768" s="454"/>
      <c r="DO768" s="454"/>
      <c r="DP768" s="454"/>
      <c r="DQ768" s="454"/>
      <c r="DR768" s="454"/>
      <c r="DS768" s="454"/>
      <c r="DT768" s="454"/>
      <c r="DU768" s="454"/>
      <c r="DV768" s="454"/>
      <c r="DW768" s="454"/>
      <c r="DX768" s="454"/>
      <c r="DY768" s="454"/>
      <c r="DZ768" s="454"/>
      <c r="EA768" s="454"/>
      <c r="EB768" s="454"/>
      <c r="EC768" s="454"/>
      <c r="ED768" s="454"/>
      <c r="EE768" s="454"/>
      <c r="EF768" s="454"/>
      <c r="EG768" s="454"/>
      <c r="EH768" s="454"/>
      <c r="EI768" s="454"/>
      <c r="EJ768" s="454"/>
      <c r="EK768" s="454"/>
      <c r="EL768" s="454"/>
      <c r="EM768" s="454"/>
      <c r="EN768" s="454"/>
      <c r="EO768" s="454"/>
      <c r="EP768" s="454"/>
      <c r="EQ768" s="454"/>
      <c r="ER768" s="454"/>
      <c r="ES768" s="454"/>
      <c r="ET768" s="454"/>
      <c r="EU768" s="454"/>
      <c r="EV768" s="454"/>
      <c r="EW768" s="454"/>
      <c r="EX768" s="454"/>
      <c r="EY768" s="454"/>
      <c r="EZ768" s="454"/>
      <c r="FA768" s="454"/>
      <c r="FB768" s="454"/>
      <c r="FC768" s="454"/>
      <c r="FD768" s="454"/>
      <c r="FE768" s="454"/>
      <c r="FF768" s="454"/>
      <c r="FG768" s="454"/>
      <c r="FH768" s="454"/>
      <c r="FI768" s="454"/>
      <c r="FJ768" s="454"/>
      <c r="FK768" s="454"/>
      <c r="FL768" s="454"/>
      <c r="FM768" s="454"/>
      <c r="FN768" s="454"/>
      <c r="FO768" s="454"/>
      <c r="FP768" s="454"/>
      <c r="FQ768" s="454"/>
      <c r="FR768" s="454"/>
      <c r="FS768" s="454"/>
      <c r="FT768" s="454"/>
      <c r="FU768" s="454"/>
      <c r="FV768" s="454"/>
      <c r="FW768" s="454"/>
      <c r="FX768" s="454"/>
      <c r="FY768" s="454"/>
      <c r="FZ768" s="454"/>
      <c r="GA768" s="454"/>
      <c r="GB768" s="454"/>
      <c r="GC768" s="454"/>
      <c r="GD768" s="454"/>
      <c r="GE768" s="454"/>
      <c r="GF768" s="454"/>
      <c r="GG768" s="454"/>
      <c r="GH768" s="454"/>
      <c r="GI768" s="454"/>
      <c r="GJ768" s="454"/>
      <c r="GK768" s="454"/>
      <c r="GL768" s="454"/>
      <c r="GM768" s="454"/>
      <c r="GN768" s="454"/>
      <c r="GO768" s="454"/>
    </row>
    <row r="769" spans="1:326" s="454" customFormat="1" ht="15">
      <c r="A769" s="794">
        <v>767</v>
      </c>
      <c r="B769" s="454" t="s">
        <v>1475</v>
      </c>
      <c r="C769" s="454" t="s">
        <v>1286</v>
      </c>
      <c r="D769" s="461">
        <v>38200</v>
      </c>
      <c r="E769" s="461">
        <v>38412</v>
      </c>
      <c r="F769" s="809">
        <v>2004</v>
      </c>
      <c r="G769" s="454" t="s">
        <v>2237</v>
      </c>
      <c r="H769" s="454" t="s">
        <v>1452</v>
      </c>
      <c r="I769" s="454" t="s">
        <v>2244</v>
      </c>
      <c r="J769" s="790" t="s">
        <v>2440</v>
      </c>
      <c r="K769" s="463">
        <v>3000</v>
      </c>
      <c r="L769" s="463">
        <v>9300</v>
      </c>
      <c r="M769" s="463">
        <v>9300</v>
      </c>
      <c r="N769" s="463">
        <v>9300</v>
      </c>
      <c r="O769" s="808">
        <f t="shared" ref="O769:O782" si="48">N769/K769</f>
        <v>3.1</v>
      </c>
      <c r="P769" s="463">
        <v>100</v>
      </c>
      <c r="Q769" s="463"/>
      <c r="R769" s="463"/>
      <c r="S769" s="463"/>
      <c r="T769" s="463"/>
      <c r="U769" s="463"/>
      <c r="V769" s="463"/>
      <c r="W769" s="463"/>
      <c r="X769" s="463"/>
      <c r="Y769" s="463"/>
      <c r="Z769" s="463"/>
      <c r="AA769" s="463">
        <v>3000</v>
      </c>
      <c r="AB769" s="463">
        <v>50</v>
      </c>
      <c r="AC769" s="463"/>
      <c r="AD769" s="463"/>
      <c r="AE769" s="463"/>
      <c r="AF769" s="463"/>
      <c r="AG769" s="463"/>
      <c r="AH769" s="463">
        <v>500</v>
      </c>
      <c r="AI769" s="463"/>
      <c r="AJ769" s="447">
        <f t="shared" si="44"/>
        <v>3500</v>
      </c>
      <c r="AK769" s="463"/>
      <c r="AL769" s="463"/>
      <c r="AM769" s="463"/>
      <c r="AN769" s="463"/>
      <c r="AO769" s="463"/>
      <c r="AP769" s="463"/>
      <c r="AQ769" s="463"/>
      <c r="AR769" s="463"/>
      <c r="AS769" s="463"/>
      <c r="AT769" s="463"/>
      <c r="AU769" s="346" t="s">
        <v>2269</v>
      </c>
    </row>
    <row r="770" spans="1:326" s="454" customFormat="1" ht="21.75" customHeight="1">
      <c r="A770" s="794">
        <v>768</v>
      </c>
      <c r="B770" s="454" t="s">
        <v>248</v>
      </c>
      <c r="C770" s="454" t="s">
        <v>1299</v>
      </c>
      <c r="D770" s="461">
        <v>38261</v>
      </c>
      <c r="E770" s="461">
        <v>38322</v>
      </c>
      <c r="F770" s="809">
        <v>2004</v>
      </c>
      <c r="G770" s="454" t="s">
        <v>168</v>
      </c>
      <c r="H770" s="454" t="s">
        <v>1449</v>
      </c>
      <c r="I770" s="454" t="s">
        <v>2273</v>
      </c>
      <c r="J770" s="790" t="s">
        <v>2440</v>
      </c>
      <c r="K770" s="463">
        <v>475</v>
      </c>
      <c r="L770" s="463">
        <v>27000</v>
      </c>
      <c r="M770" s="463">
        <v>27000</v>
      </c>
      <c r="N770" s="463">
        <v>27000</v>
      </c>
      <c r="O770" s="808">
        <f t="shared" si="48"/>
        <v>56.842105263157897</v>
      </c>
      <c r="P770" s="463">
        <v>100</v>
      </c>
      <c r="Q770" s="463"/>
      <c r="R770" s="463"/>
      <c r="S770" s="463"/>
      <c r="T770" s="463"/>
      <c r="U770" s="463"/>
      <c r="V770" s="463"/>
      <c r="W770" s="463"/>
      <c r="X770" s="463"/>
      <c r="Y770" s="463"/>
      <c r="Z770" s="463"/>
      <c r="AA770" s="463"/>
      <c r="AB770" s="463"/>
      <c r="AC770" s="463"/>
      <c r="AD770" s="463"/>
      <c r="AE770" s="463"/>
      <c r="AF770" s="463"/>
      <c r="AG770" s="463"/>
      <c r="AH770" s="463">
        <v>72</v>
      </c>
      <c r="AI770" s="463"/>
      <c r="AJ770" s="447">
        <f t="shared" si="44"/>
        <v>72</v>
      </c>
      <c r="AK770" s="463"/>
      <c r="AL770" s="463"/>
      <c r="AM770" s="463"/>
      <c r="AN770" s="463"/>
      <c r="AO770" s="463"/>
      <c r="AP770" s="463"/>
      <c r="AQ770" s="463"/>
      <c r="AR770" s="463"/>
      <c r="AS770" s="463"/>
      <c r="AT770" s="463"/>
      <c r="AU770" s="346" t="s">
        <v>2274</v>
      </c>
    </row>
    <row r="771" spans="1:326" s="454" customFormat="1" ht="21.75" customHeight="1">
      <c r="A771" s="794">
        <v>769</v>
      </c>
      <c r="B771" s="454" t="s">
        <v>353</v>
      </c>
      <c r="C771" s="454" t="s">
        <v>1299</v>
      </c>
      <c r="D771" s="461">
        <v>38292</v>
      </c>
      <c r="E771" s="461">
        <v>38384</v>
      </c>
      <c r="F771" s="809">
        <v>2004</v>
      </c>
      <c r="G771" s="454" t="s">
        <v>5</v>
      </c>
      <c r="H771" s="454" t="s">
        <v>1451</v>
      </c>
      <c r="I771" s="454" t="s">
        <v>2275</v>
      </c>
      <c r="J771" s="790" t="s">
        <v>2440</v>
      </c>
      <c r="K771" s="463">
        <v>500</v>
      </c>
      <c r="L771" s="463">
        <v>20000</v>
      </c>
      <c r="M771" s="463">
        <v>20000</v>
      </c>
      <c r="N771" s="463">
        <v>20000</v>
      </c>
      <c r="O771" s="808">
        <f t="shared" si="48"/>
        <v>40</v>
      </c>
      <c r="P771" s="463">
        <v>100</v>
      </c>
      <c r="Q771" s="463"/>
      <c r="R771" s="463"/>
      <c r="S771" s="463"/>
      <c r="T771" s="463"/>
      <c r="U771" s="463"/>
      <c r="V771" s="463"/>
      <c r="W771" s="463"/>
      <c r="X771" s="463"/>
      <c r="Y771" s="463"/>
      <c r="Z771" s="463"/>
      <c r="AA771" s="463"/>
      <c r="AB771" s="463"/>
      <c r="AC771" s="463"/>
      <c r="AD771" s="463"/>
      <c r="AE771" s="463"/>
      <c r="AF771" s="463"/>
      <c r="AG771" s="463"/>
      <c r="AH771" s="463"/>
      <c r="AI771" s="463"/>
      <c r="AJ771" s="447">
        <f t="shared" si="44"/>
        <v>0</v>
      </c>
      <c r="AK771" s="463"/>
      <c r="AL771" s="463"/>
      <c r="AM771" s="463"/>
      <c r="AN771" s="463"/>
      <c r="AO771" s="463"/>
      <c r="AP771" s="463"/>
      <c r="AQ771" s="463"/>
      <c r="AR771" s="463"/>
      <c r="AS771" s="463"/>
      <c r="AT771" s="463"/>
      <c r="AU771" s="346" t="s">
        <v>2276</v>
      </c>
    </row>
    <row r="772" spans="1:326" s="454" customFormat="1" ht="21.75" customHeight="1">
      <c r="A772" s="794">
        <v>770</v>
      </c>
      <c r="B772" s="454" t="s">
        <v>536</v>
      </c>
      <c r="C772" s="454" t="s">
        <v>1286</v>
      </c>
      <c r="D772" s="461">
        <v>38292</v>
      </c>
      <c r="E772" s="461">
        <v>38657</v>
      </c>
      <c r="F772" s="809">
        <v>2004</v>
      </c>
      <c r="G772" s="454" t="s">
        <v>5</v>
      </c>
      <c r="H772" s="454" t="s">
        <v>1451</v>
      </c>
      <c r="I772" s="454" t="s">
        <v>2230</v>
      </c>
      <c r="J772" s="790" t="s">
        <v>2440</v>
      </c>
      <c r="K772" s="463">
        <v>5000</v>
      </c>
      <c r="L772" s="463">
        <v>40000</v>
      </c>
      <c r="M772" s="463">
        <v>40000</v>
      </c>
      <c r="N772" s="463">
        <v>40000</v>
      </c>
      <c r="O772" s="808">
        <f t="shared" si="48"/>
        <v>8</v>
      </c>
      <c r="P772" s="463">
        <v>100</v>
      </c>
      <c r="Q772" s="463"/>
      <c r="R772" s="463"/>
      <c r="S772" s="463"/>
      <c r="T772" s="463"/>
      <c r="U772" s="463"/>
      <c r="V772" s="463"/>
      <c r="W772" s="463"/>
      <c r="X772" s="463"/>
      <c r="Y772" s="463"/>
      <c r="Z772" s="463"/>
      <c r="AA772" s="463"/>
      <c r="AB772" s="463"/>
      <c r="AC772" s="463"/>
      <c r="AD772" s="463"/>
      <c r="AE772" s="463"/>
      <c r="AF772" s="463"/>
      <c r="AG772" s="463"/>
      <c r="AH772" s="463"/>
      <c r="AI772" s="463"/>
      <c r="AJ772" s="447">
        <f t="shared" si="44"/>
        <v>0</v>
      </c>
      <c r="AK772" s="463"/>
      <c r="AL772" s="463"/>
      <c r="AM772" s="463"/>
      <c r="AN772" s="463"/>
      <c r="AO772" s="463"/>
      <c r="AP772" s="463"/>
      <c r="AQ772" s="463"/>
      <c r="AR772" s="463"/>
      <c r="AS772" s="463"/>
      <c r="AT772" s="463"/>
      <c r="AU772" s="346" t="s">
        <v>2277</v>
      </c>
    </row>
    <row r="773" spans="1:326" s="454" customFormat="1" ht="21.75" customHeight="1">
      <c r="A773" s="794">
        <v>771</v>
      </c>
      <c r="B773" s="454" t="s">
        <v>15</v>
      </c>
      <c r="C773" s="454" t="s">
        <v>1286</v>
      </c>
      <c r="D773" s="461">
        <v>38200</v>
      </c>
      <c r="E773" s="461">
        <v>38353</v>
      </c>
      <c r="F773" s="809">
        <v>2004</v>
      </c>
      <c r="G773" s="454" t="s">
        <v>5</v>
      </c>
      <c r="H773" s="454" t="s">
        <v>1451</v>
      </c>
      <c r="I773" s="454" t="s">
        <v>2230</v>
      </c>
      <c r="J773" s="790" t="s">
        <v>2440</v>
      </c>
      <c r="K773" s="463">
        <v>2500</v>
      </c>
      <c r="L773" s="463">
        <v>50000</v>
      </c>
      <c r="M773" s="463">
        <v>50000</v>
      </c>
      <c r="N773" s="463">
        <v>50000</v>
      </c>
      <c r="O773" s="808">
        <f t="shared" si="48"/>
        <v>20</v>
      </c>
      <c r="P773" s="463">
        <v>100</v>
      </c>
      <c r="Q773" s="463"/>
      <c r="R773" s="463"/>
      <c r="S773" s="463"/>
      <c r="T773" s="463"/>
      <c r="U773" s="463"/>
      <c r="V773" s="463"/>
      <c r="W773" s="463"/>
      <c r="X773" s="463"/>
      <c r="Y773" s="463"/>
      <c r="Z773" s="463"/>
      <c r="AA773" s="463"/>
      <c r="AB773" s="463"/>
      <c r="AC773" s="463"/>
      <c r="AD773" s="463"/>
      <c r="AE773" s="463"/>
      <c r="AF773" s="463"/>
      <c r="AG773" s="463"/>
      <c r="AH773" s="463"/>
      <c r="AI773" s="463"/>
      <c r="AJ773" s="447">
        <f t="shared" si="44"/>
        <v>0</v>
      </c>
      <c r="AK773" s="463"/>
      <c r="AL773" s="463"/>
      <c r="AM773" s="463"/>
      <c r="AN773" s="463"/>
      <c r="AO773" s="463"/>
      <c r="AP773" s="463"/>
      <c r="AQ773" s="463"/>
      <c r="AR773" s="463"/>
      <c r="AS773" s="463"/>
      <c r="AT773" s="463"/>
      <c r="AU773" s="346" t="s">
        <v>2278</v>
      </c>
    </row>
    <row r="774" spans="1:326" s="454" customFormat="1" ht="21.75" customHeight="1">
      <c r="A774" s="794">
        <v>772</v>
      </c>
      <c r="B774" s="454" t="s">
        <v>1207</v>
      </c>
      <c r="C774" s="454" t="s">
        <v>1260</v>
      </c>
      <c r="D774" s="461">
        <v>38292</v>
      </c>
      <c r="E774" s="461">
        <v>38353</v>
      </c>
      <c r="F774" s="809">
        <v>2004</v>
      </c>
      <c r="G774" s="454" t="s">
        <v>5</v>
      </c>
      <c r="H774" s="454" t="s">
        <v>1451</v>
      </c>
      <c r="I774" s="454" t="s">
        <v>2279</v>
      </c>
      <c r="J774" s="790" t="s">
        <v>2440</v>
      </c>
      <c r="K774" s="463">
        <v>2500</v>
      </c>
      <c r="L774" s="463">
        <v>80427</v>
      </c>
      <c r="M774" s="463">
        <v>80427</v>
      </c>
      <c r="N774" s="463">
        <v>80427</v>
      </c>
      <c r="O774" s="808">
        <f t="shared" si="48"/>
        <v>32.1708</v>
      </c>
      <c r="P774" s="463">
        <v>100</v>
      </c>
      <c r="Q774" s="463"/>
      <c r="R774" s="463"/>
      <c r="S774" s="463"/>
      <c r="T774" s="463"/>
      <c r="U774" s="463"/>
      <c r="V774" s="463"/>
      <c r="W774" s="463"/>
      <c r="X774" s="463"/>
      <c r="Y774" s="463"/>
      <c r="Z774" s="463"/>
      <c r="AA774" s="463"/>
      <c r="AB774" s="463"/>
      <c r="AC774" s="463"/>
      <c r="AD774" s="463"/>
      <c r="AE774" s="463"/>
      <c r="AF774" s="463"/>
      <c r="AG774" s="463"/>
      <c r="AH774" s="463"/>
      <c r="AI774" s="463"/>
      <c r="AJ774" s="447">
        <f t="shared" si="44"/>
        <v>0</v>
      </c>
      <c r="AK774" s="463"/>
      <c r="AL774" s="463"/>
      <c r="AM774" s="463"/>
      <c r="AN774" s="463"/>
      <c r="AO774" s="463"/>
      <c r="AP774" s="463"/>
      <c r="AQ774" s="463"/>
      <c r="AR774" s="463"/>
      <c r="AS774" s="463"/>
      <c r="AT774" s="463"/>
      <c r="AU774" s="346" t="s">
        <v>2280</v>
      </c>
    </row>
    <row r="775" spans="1:326" s="454" customFormat="1" ht="15">
      <c r="A775" s="794">
        <v>773</v>
      </c>
      <c r="B775" s="454" t="s">
        <v>992</v>
      </c>
      <c r="C775" s="454" t="s">
        <v>1286</v>
      </c>
      <c r="D775" s="461">
        <v>37987</v>
      </c>
      <c r="E775" s="461">
        <v>38322</v>
      </c>
      <c r="F775" s="809">
        <v>2004</v>
      </c>
      <c r="G775" s="454" t="s">
        <v>2286</v>
      </c>
      <c r="H775" s="454" t="s">
        <v>1454</v>
      </c>
      <c r="I775" s="454" t="s">
        <v>2289</v>
      </c>
      <c r="J775" s="790" t="s">
        <v>2440</v>
      </c>
      <c r="K775" s="463">
        <v>8016</v>
      </c>
      <c r="L775" s="463">
        <v>50000</v>
      </c>
      <c r="M775" s="463">
        <v>50000</v>
      </c>
      <c r="N775" s="463">
        <v>49992.959999999999</v>
      </c>
      <c r="O775" s="808">
        <f t="shared" si="48"/>
        <v>6.2366467065868259</v>
      </c>
      <c r="P775" s="463">
        <v>100</v>
      </c>
      <c r="Q775" s="463"/>
      <c r="R775" s="463"/>
      <c r="S775" s="463"/>
      <c r="T775" s="463"/>
      <c r="U775" s="463"/>
      <c r="V775" s="463"/>
      <c r="W775" s="463"/>
      <c r="X775" s="463"/>
      <c r="Y775" s="463"/>
      <c r="Z775" s="463"/>
      <c r="AA775" s="463"/>
      <c r="AB775" s="463"/>
      <c r="AC775" s="463"/>
      <c r="AD775" s="463"/>
      <c r="AE775" s="463"/>
      <c r="AF775" s="463"/>
      <c r="AG775" s="463"/>
      <c r="AH775" s="463"/>
      <c r="AI775" s="463"/>
      <c r="AJ775" s="447">
        <f t="shared" si="44"/>
        <v>0</v>
      </c>
      <c r="AK775" s="463"/>
      <c r="AL775" s="463"/>
      <c r="AM775" s="463"/>
      <c r="AN775" s="463"/>
      <c r="AO775" s="463"/>
      <c r="AP775" s="463"/>
      <c r="AQ775" s="463"/>
      <c r="AR775" s="463"/>
      <c r="AS775" s="463"/>
      <c r="AT775" s="463"/>
      <c r="AU775" s="346" t="s">
        <v>2290</v>
      </c>
    </row>
    <row r="776" spans="1:326" s="454" customFormat="1" ht="15">
      <c r="A776" s="794">
        <v>774</v>
      </c>
      <c r="B776" s="454" t="s">
        <v>764</v>
      </c>
      <c r="C776" s="454" t="s">
        <v>1299</v>
      </c>
      <c r="D776" s="461">
        <v>38322</v>
      </c>
      <c r="E776" s="461">
        <v>38018</v>
      </c>
      <c r="F776" s="809">
        <v>2004</v>
      </c>
      <c r="G776" s="454" t="s">
        <v>243</v>
      </c>
      <c r="H776" s="454" t="s">
        <v>1449</v>
      </c>
      <c r="I776" s="454" t="s">
        <v>2287</v>
      </c>
      <c r="J776" s="790" t="s">
        <v>2440</v>
      </c>
      <c r="K776" s="463">
        <v>5865</v>
      </c>
      <c r="L776" s="463">
        <v>50000</v>
      </c>
      <c r="M776" s="463">
        <v>50000</v>
      </c>
      <c r="N776" s="463">
        <v>46909.22</v>
      </c>
      <c r="O776" s="808">
        <f t="shared" si="48"/>
        <v>7.998161977834612</v>
      </c>
      <c r="P776" s="463">
        <v>100</v>
      </c>
      <c r="Q776" s="463"/>
      <c r="R776" s="463"/>
      <c r="S776" s="463"/>
      <c r="T776" s="463"/>
      <c r="U776" s="463"/>
      <c r="V776" s="463"/>
      <c r="W776" s="463"/>
      <c r="X776" s="463"/>
      <c r="Y776" s="463"/>
      <c r="Z776" s="463"/>
      <c r="AA776" s="463">
        <v>5865</v>
      </c>
      <c r="AB776" s="463">
        <v>100</v>
      </c>
      <c r="AC776" s="463"/>
      <c r="AD776" s="463"/>
      <c r="AE776" s="463"/>
      <c r="AF776" s="463"/>
      <c r="AG776" s="463"/>
      <c r="AH776" s="463"/>
      <c r="AI776" s="463"/>
      <c r="AJ776" s="447">
        <f t="shared" si="44"/>
        <v>5865</v>
      </c>
      <c r="AK776" s="463"/>
      <c r="AL776" s="463"/>
      <c r="AM776" s="463"/>
      <c r="AN776" s="463"/>
      <c r="AO776" s="463"/>
      <c r="AP776" s="463"/>
      <c r="AQ776" s="463"/>
      <c r="AR776" s="463"/>
      <c r="AS776" s="463"/>
      <c r="AT776" s="463"/>
      <c r="AU776" s="346" t="s">
        <v>2288</v>
      </c>
    </row>
    <row r="777" spans="1:326" s="806" customFormat="1" ht="14.25" customHeight="1">
      <c r="A777" s="794">
        <v>775</v>
      </c>
      <c r="B777" s="789" t="s">
        <v>774</v>
      </c>
      <c r="C777" s="836" t="s">
        <v>1278</v>
      </c>
      <c r="D777" s="840">
        <v>37956</v>
      </c>
      <c r="E777" s="840">
        <v>39569</v>
      </c>
      <c r="F777" s="857">
        <v>2003</v>
      </c>
      <c r="G777" s="789" t="s">
        <v>773</v>
      </c>
      <c r="H777" s="800" t="s">
        <v>1454</v>
      </c>
      <c r="I777" s="789" t="s">
        <v>772</v>
      </c>
      <c r="J777" s="789" t="s">
        <v>2438</v>
      </c>
      <c r="K777" s="788">
        <v>210000</v>
      </c>
      <c r="L777" s="788">
        <v>31446579</v>
      </c>
      <c r="M777" s="788">
        <v>30944707</v>
      </c>
      <c r="N777" s="788">
        <v>31784190</v>
      </c>
      <c r="O777" s="786">
        <f t="shared" si="48"/>
        <v>151.3532857142857</v>
      </c>
      <c r="P777" s="788">
        <v>98</v>
      </c>
      <c r="Q777" s="788" t="s">
        <v>75</v>
      </c>
      <c r="R777" s="788" t="s">
        <v>75</v>
      </c>
      <c r="S777" s="788" t="s">
        <v>75</v>
      </c>
      <c r="T777" s="788" t="s">
        <v>849</v>
      </c>
      <c r="U777" s="788" t="s">
        <v>75</v>
      </c>
      <c r="V777" s="788" t="s">
        <v>75</v>
      </c>
      <c r="W777" s="970">
        <v>-3952</v>
      </c>
      <c r="X777" s="788">
        <v>137152</v>
      </c>
      <c r="Y777" s="788"/>
      <c r="Z777" s="788" t="s">
        <v>75</v>
      </c>
      <c r="AA777" s="788" t="s">
        <v>75</v>
      </c>
      <c r="AB777" s="788" t="s">
        <v>75</v>
      </c>
      <c r="AC777" s="788" t="s">
        <v>75</v>
      </c>
      <c r="AD777" s="788" t="s">
        <v>75</v>
      </c>
      <c r="AE777" s="788" t="s">
        <v>75</v>
      </c>
      <c r="AF777" s="788" t="s">
        <v>75</v>
      </c>
      <c r="AG777" s="788" t="s">
        <v>75</v>
      </c>
      <c r="AH777" s="788" t="s">
        <v>75</v>
      </c>
      <c r="AI777" s="788" t="s">
        <v>75</v>
      </c>
      <c r="AJ777" s="808">
        <v>0</v>
      </c>
      <c r="AK777" s="788">
        <v>174799</v>
      </c>
      <c r="AL777" s="788">
        <v>280580</v>
      </c>
      <c r="AM777" s="788"/>
      <c r="AN777" s="817">
        <v>3</v>
      </c>
      <c r="AO777" s="817" t="s">
        <v>75</v>
      </c>
      <c r="AP777" s="817" t="s">
        <v>75</v>
      </c>
      <c r="AQ777" s="817">
        <v>1</v>
      </c>
      <c r="AR777" s="817">
        <v>3</v>
      </c>
      <c r="AS777" s="817" t="s">
        <v>75</v>
      </c>
      <c r="AT777" s="817" t="s">
        <v>75</v>
      </c>
      <c r="AU777" s="363" t="s">
        <v>771</v>
      </c>
      <c r="AV777" s="789"/>
      <c r="AW777" s="789"/>
      <c r="AX777" s="807"/>
      <c r="AY777" s="807"/>
      <c r="AZ777" s="807"/>
      <c r="BA777" s="807"/>
      <c r="BB777" s="807"/>
      <c r="BC777" s="807"/>
      <c r="BD777" s="807"/>
      <c r="BE777" s="807"/>
      <c r="BF777" s="807"/>
      <c r="BG777" s="807"/>
      <c r="BH777" s="807"/>
      <c r="BI777" s="807"/>
      <c r="BJ777" s="807"/>
      <c r="BK777" s="807"/>
      <c r="BL777" s="807"/>
      <c r="BM777" s="807"/>
      <c r="BN777" s="784"/>
      <c r="BO777" s="784"/>
      <c r="BP777" s="784"/>
      <c r="BQ777" s="784"/>
      <c r="BR777" s="784"/>
      <c r="BS777" s="784"/>
      <c r="BT777" s="784"/>
      <c r="BU777" s="784"/>
      <c r="BV777" s="784"/>
      <c r="BW777" s="784"/>
      <c r="BX777" s="784"/>
      <c r="BY777" s="784"/>
      <c r="BZ777" s="784"/>
      <c r="CA777" s="784"/>
      <c r="CB777" s="784"/>
      <c r="CC777" s="784"/>
      <c r="CD777" s="784"/>
      <c r="CE777" s="784"/>
      <c r="CF777" s="784"/>
      <c r="CG777" s="784"/>
      <c r="CH777" s="784"/>
      <c r="CI777" s="784"/>
      <c r="CJ777" s="784"/>
      <c r="CK777" s="784"/>
      <c r="CL777" s="784"/>
      <c r="CM777" s="784"/>
      <c r="CN777" s="784"/>
      <c r="CO777" s="784"/>
      <c r="CP777" s="784"/>
      <c r="CQ777" s="784"/>
      <c r="CR777" s="784"/>
      <c r="CS777" s="784"/>
      <c r="CT777" s="784"/>
      <c r="CU777" s="784"/>
      <c r="CV777" s="784"/>
      <c r="CW777" s="784"/>
      <c r="CX777" s="784"/>
      <c r="CY777" s="784"/>
      <c r="CZ777" s="784"/>
      <c r="DA777" s="784"/>
      <c r="DB777" s="784"/>
      <c r="DC777" s="784"/>
      <c r="DD777" s="784"/>
      <c r="DE777" s="784"/>
      <c r="DF777" s="784"/>
      <c r="DG777" s="784"/>
      <c r="DH777" s="784"/>
      <c r="DI777" s="784"/>
      <c r="DJ777" s="784"/>
      <c r="DK777" s="784"/>
      <c r="DL777" s="784"/>
      <c r="DM777" s="784"/>
      <c r="DN777" s="784"/>
      <c r="DO777" s="784"/>
      <c r="DP777" s="784"/>
      <c r="DQ777" s="784"/>
      <c r="DR777" s="784"/>
      <c r="DS777" s="784"/>
      <c r="DT777" s="784"/>
      <c r="DU777" s="784"/>
      <c r="DV777" s="784"/>
      <c r="DW777" s="784"/>
      <c r="DX777" s="784"/>
      <c r="DY777" s="784"/>
      <c r="DZ777" s="784"/>
      <c r="EA777" s="784"/>
      <c r="EB777" s="784"/>
      <c r="EC777" s="784"/>
      <c r="ED777" s="784"/>
      <c r="EE777" s="784"/>
      <c r="EF777" s="784"/>
      <c r="EG777" s="784"/>
      <c r="EH777" s="784"/>
      <c r="EI777" s="784"/>
      <c r="EJ777" s="784"/>
      <c r="EK777" s="784"/>
      <c r="EL777" s="784"/>
      <c r="EM777" s="784"/>
      <c r="EN777" s="784"/>
      <c r="EO777" s="784"/>
      <c r="EP777" s="784"/>
      <c r="EQ777" s="784"/>
      <c r="ER777" s="784"/>
      <c r="ES777" s="784"/>
      <c r="ET777" s="784"/>
      <c r="EU777" s="784"/>
      <c r="EV777" s="784"/>
      <c r="EW777" s="784"/>
      <c r="EX777" s="784"/>
      <c r="EY777" s="784"/>
      <c r="EZ777" s="784"/>
      <c r="FA777" s="784"/>
      <c r="FB777" s="784"/>
      <c r="FC777" s="784"/>
      <c r="FD777" s="784"/>
      <c r="FE777" s="784"/>
      <c r="FF777" s="784"/>
      <c r="FG777" s="784"/>
      <c r="FH777" s="784"/>
      <c r="FI777" s="784"/>
      <c r="FJ777" s="784"/>
      <c r="FK777" s="784"/>
      <c r="FL777" s="784"/>
      <c r="FM777" s="784"/>
      <c r="FN777" s="784"/>
      <c r="FO777" s="784"/>
      <c r="FP777" s="784"/>
      <c r="FQ777" s="784"/>
      <c r="FR777" s="784"/>
      <c r="FS777" s="784"/>
      <c r="FT777" s="784"/>
      <c r="FU777" s="784"/>
      <c r="FV777" s="784"/>
      <c r="FW777" s="784"/>
      <c r="FX777" s="784"/>
      <c r="FY777" s="784"/>
      <c r="FZ777" s="784"/>
      <c r="GA777" s="784"/>
      <c r="GB777" s="784"/>
      <c r="GC777" s="784"/>
      <c r="GD777" s="784"/>
      <c r="GE777" s="784"/>
      <c r="GF777" s="784"/>
      <c r="GG777" s="784"/>
      <c r="GH777" s="784"/>
      <c r="GI777" s="784"/>
      <c r="GJ777" s="784"/>
      <c r="GK777" s="784"/>
      <c r="GL777" s="784"/>
      <c r="GM777" s="784"/>
      <c r="GN777" s="784"/>
      <c r="GO777" s="784"/>
      <c r="GP777" s="784"/>
      <c r="GQ777" s="784"/>
      <c r="GR777" s="784"/>
      <c r="GS777" s="784"/>
      <c r="GT777" s="784"/>
      <c r="GU777" s="784"/>
      <c r="GV777" s="784"/>
      <c r="GW777" s="784"/>
      <c r="GX777" s="784"/>
      <c r="GY777" s="784"/>
      <c r="GZ777" s="784"/>
      <c r="HA777" s="784"/>
      <c r="HB777" s="784"/>
      <c r="HC777" s="784"/>
      <c r="HD777" s="784"/>
      <c r="HE777" s="784"/>
      <c r="HF777" s="784"/>
      <c r="HG777" s="784"/>
      <c r="HH777" s="784"/>
      <c r="HI777" s="784"/>
      <c r="HJ777" s="784"/>
      <c r="HK777" s="784"/>
      <c r="HL777" s="784"/>
      <c r="HM777" s="784"/>
      <c r="HN777" s="784"/>
      <c r="HO777" s="784"/>
      <c r="HP777" s="784"/>
      <c r="HQ777" s="784"/>
      <c r="HR777" s="784"/>
      <c r="HS777" s="784"/>
      <c r="HT777" s="784"/>
      <c r="HU777" s="784"/>
      <c r="HV777" s="784"/>
      <c r="HW777" s="784"/>
      <c r="HX777" s="784"/>
      <c r="HY777" s="784"/>
      <c r="HZ777" s="784"/>
      <c r="IA777" s="784"/>
      <c r="IB777" s="784"/>
      <c r="IC777" s="784"/>
      <c r="ID777" s="784"/>
      <c r="IE777" s="784"/>
      <c r="IF777" s="784"/>
      <c r="IG777" s="784"/>
      <c r="IH777" s="784"/>
      <c r="II777" s="784"/>
      <c r="IJ777" s="784"/>
      <c r="IK777" s="784"/>
      <c r="IL777" s="784"/>
      <c r="IM777" s="784"/>
      <c r="IN777" s="784"/>
      <c r="IO777" s="784"/>
      <c r="IP777" s="784"/>
      <c r="IQ777" s="784"/>
      <c r="IR777" s="784"/>
      <c r="IS777" s="784"/>
      <c r="IT777" s="784"/>
      <c r="IU777" s="784"/>
      <c r="IV777" s="784"/>
      <c r="IW777" s="784"/>
      <c r="IX777" s="784"/>
      <c r="IY777" s="784"/>
      <c r="IZ777" s="784"/>
      <c r="JA777" s="784"/>
      <c r="JB777" s="784"/>
      <c r="JC777" s="784"/>
      <c r="JD777" s="784"/>
      <c r="JE777" s="784"/>
      <c r="JF777" s="784"/>
      <c r="JG777" s="784"/>
      <c r="JH777" s="784"/>
      <c r="JI777" s="784"/>
      <c r="JJ777" s="784"/>
      <c r="JK777" s="784"/>
      <c r="JL777" s="784"/>
      <c r="JM777" s="784"/>
      <c r="JN777" s="784"/>
      <c r="JO777" s="784"/>
      <c r="JP777" s="784"/>
      <c r="JQ777" s="784"/>
      <c r="JR777" s="784"/>
      <c r="JS777" s="784"/>
      <c r="JT777" s="784"/>
      <c r="JU777" s="784"/>
      <c r="JV777" s="784"/>
      <c r="JW777" s="784"/>
      <c r="JX777" s="784"/>
      <c r="JY777" s="784"/>
      <c r="JZ777" s="784"/>
      <c r="KA777" s="784"/>
      <c r="KB777" s="784"/>
      <c r="KC777" s="784"/>
      <c r="KD777" s="784"/>
      <c r="KE777" s="784"/>
      <c r="KF777" s="784"/>
      <c r="KG777" s="784"/>
      <c r="KH777" s="784"/>
      <c r="KI777" s="784"/>
      <c r="KJ777" s="784"/>
      <c r="KK777" s="784"/>
      <c r="KL777" s="784"/>
      <c r="KM777" s="784"/>
      <c r="KN777" s="784"/>
      <c r="KO777" s="784"/>
      <c r="KP777" s="784"/>
      <c r="KQ777" s="784"/>
      <c r="KR777" s="784"/>
      <c r="KS777" s="784"/>
      <c r="KT777" s="784"/>
      <c r="KU777" s="784"/>
      <c r="KV777" s="784"/>
      <c r="KW777" s="784"/>
      <c r="KX777" s="784"/>
      <c r="KY777" s="784"/>
      <c r="KZ777" s="784"/>
      <c r="LA777" s="784"/>
      <c r="LB777" s="784"/>
      <c r="LC777" s="784"/>
      <c r="LD777" s="784"/>
      <c r="LE777" s="784"/>
      <c r="LF777" s="784"/>
      <c r="LG777" s="784"/>
      <c r="LH777" s="784"/>
      <c r="LI777" s="784"/>
      <c r="LJ777" s="784"/>
      <c r="LK777" s="784"/>
      <c r="LL777" s="784"/>
      <c r="LM777" s="784"/>
      <c r="LN777" s="784"/>
    </row>
    <row r="778" spans="1:326" s="801" customFormat="1" ht="18.75" customHeight="1">
      <c r="A778" s="794">
        <v>776</v>
      </c>
      <c r="B778" s="802" t="s">
        <v>208</v>
      </c>
      <c r="C778" s="804" t="s">
        <v>1299</v>
      </c>
      <c r="D778" s="805">
        <v>37956</v>
      </c>
      <c r="E778" s="805">
        <v>38687</v>
      </c>
      <c r="F778" s="798">
        <v>2003</v>
      </c>
      <c r="G778" s="804" t="s">
        <v>207</v>
      </c>
      <c r="H778" s="790" t="s">
        <v>1452</v>
      </c>
      <c r="I778" s="804" t="s">
        <v>210</v>
      </c>
      <c r="J778" s="789" t="s">
        <v>2438</v>
      </c>
      <c r="K778" s="788">
        <v>74000</v>
      </c>
      <c r="L778" s="803">
        <v>15048390</v>
      </c>
      <c r="M778" s="803">
        <v>15048390</v>
      </c>
      <c r="N778" s="788">
        <v>15048417</v>
      </c>
      <c r="O778" s="786">
        <f t="shared" si="48"/>
        <v>203.35698648648648</v>
      </c>
      <c r="P778" s="788">
        <v>100</v>
      </c>
      <c r="Q778" s="803">
        <v>40000</v>
      </c>
      <c r="R778" s="803" t="s">
        <v>134</v>
      </c>
      <c r="S778" s="788">
        <v>40000</v>
      </c>
      <c r="T778" s="788" t="s">
        <v>233</v>
      </c>
      <c r="U778" s="803">
        <v>200</v>
      </c>
      <c r="V778" s="788" t="s">
        <v>134</v>
      </c>
      <c r="W778" s="788">
        <v>0</v>
      </c>
      <c r="X778" s="788">
        <v>223145</v>
      </c>
      <c r="Y778" s="788">
        <f>X778/S778</f>
        <v>5.5786249999999997</v>
      </c>
      <c r="Z778" s="788" t="s">
        <v>75</v>
      </c>
      <c r="AA778" s="788">
        <v>65000</v>
      </c>
      <c r="AB778" s="803"/>
      <c r="AC778" s="788">
        <v>200</v>
      </c>
      <c r="AD778" s="788"/>
      <c r="AE778" s="803" t="s">
        <v>75</v>
      </c>
      <c r="AF778" s="803" t="s">
        <v>75</v>
      </c>
      <c r="AG778" s="803" t="s">
        <v>75</v>
      </c>
      <c r="AH778" s="788" t="s">
        <v>75</v>
      </c>
      <c r="AI778" s="803" t="s">
        <v>2</v>
      </c>
      <c r="AJ778" s="787">
        <v>65000</v>
      </c>
      <c r="AK778" s="788">
        <v>0</v>
      </c>
      <c r="AL778" s="788">
        <v>228465</v>
      </c>
      <c r="AM778" s="803"/>
      <c r="AN778" s="789" t="s">
        <v>75</v>
      </c>
      <c r="AO778" s="789" t="s">
        <v>75</v>
      </c>
      <c r="AP778" s="789" t="s">
        <v>75</v>
      </c>
      <c r="AQ778" s="789" t="s">
        <v>75</v>
      </c>
      <c r="AR778" s="789" t="s">
        <v>75</v>
      </c>
      <c r="AS778" s="789" t="s">
        <v>75</v>
      </c>
      <c r="AT778" s="789" t="s">
        <v>75</v>
      </c>
      <c r="AU778" s="404" t="s">
        <v>214</v>
      </c>
      <c r="AV778" s="802"/>
      <c r="AW778" s="802"/>
    </row>
    <row r="779" spans="1:326" s="784" customFormat="1" ht="15">
      <c r="A779" s="794">
        <v>777</v>
      </c>
      <c r="B779" s="785" t="s">
        <v>129</v>
      </c>
      <c r="C779" s="785" t="s">
        <v>1278</v>
      </c>
      <c r="D779" s="792">
        <v>37865</v>
      </c>
      <c r="E779" s="792">
        <v>38777</v>
      </c>
      <c r="F779" s="798">
        <v>2003</v>
      </c>
      <c r="G779" s="785" t="s">
        <v>330</v>
      </c>
      <c r="H779" s="800" t="s">
        <v>1452</v>
      </c>
      <c r="I779" s="785" t="s">
        <v>366</v>
      </c>
      <c r="J779" s="789" t="s">
        <v>2438</v>
      </c>
      <c r="K779" s="786">
        <v>305000</v>
      </c>
      <c r="L779" s="786">
        <v>30937383</v>
      </c>
      <c r="M779" s="786">
        <v>32335355</v>
      </c>
      <c r="N779" s="786">
        <v>32335544</v>
      </c>
      <c r="O779" s="786">
        <f t="shared" si="48"/>
        <v>106.01817704918032</v>
      </c>
      <c r="P779" s="786">
        <v>104</v>
      </c>
      <c r="Q779" s="786" t="s">
        <v>75</v>
      </c>
      <c r="R779" s="786" t="s">
        <v>75</v>
      </c>
      <c r="S779" s="786" t="s">
        <v>75</v>
      </c>
      <c r="T779" s="786" t="s">
        <v>233</v>
      </c>
      <c r="U779" s="786" t="s">
        <v>75</v>
      </c>
      <c r="V779" s="786" t="s">
        <v>75</v>
      </c>
      <c r="W779" s="786">
        <v>228898</v>
      </c>
      <c r="X779" s="786">
        <v>444968</v>
      </c>
      <c r="Y779" s="788"/>
      <c r="Z779" s="786" t="s">
        <v>75</v>
      </c>
      <c r="AA779" s="786" t="s">
        <v>75</v>
      </c>
      <c r="AB779" s="786" t="s">
        <v>267</v>
      </c>
      <c r="AC779" s="786" t="s">
        <v>75</v>
      </c>
      <c r="AD779" s="786" t="s">
        <v>75</v>
      </c>
      <c r="AE779" s="786" t="s">
        <v>75</v>
      </c>
      <c r="AF779" s="786" t="s">
        <v>75</v>
      </c>
      <c r="AG779" s="786" t="s">
        <v>75</v>
      </c>
      <c r="AH779" s="786" t="s">
        <v>75</v>
      </c>
      <c r="AI779" s="786" t="s">
        <v>75</v>
      </c>
      <c r="AJ779" s="787">
        <v>0</v>
      </c>
      <c r="AK779" s="786">
        <v>1754850</v>
      </c>
      <c r="AL779" s="786">
        <v>943856</v>
      </c>
      <c r="AM779" s="786"/>
      <c r="AN779" s="785" t="s">
        <v>75</v>
      </c>
      <c r="AO779" s="785" t="s">
        <v>75</v>
      </c>
      <c r="AP779" s="785" t="s">
        <v>75</v>
      </c>
      <c r="AQ779" s="785" t="s">
        <v>75</v>
      </c>
      <c r="AR779" s="785" t="s">
        <v>75</v>
      </c>
      <c r="AS779" s="785" t="s">
        <v>75</v>
      </c>
      <c r="AT779" s="785" t="s">
        <v>75</v>
      </c>
      <c r="AU779" s="785" t="s">
        <v>329</v>
      </c>
      <c r="AV779" s="785"/>
      <c r="AW779" s="785"/>
    </row>
    <row r="780" spans="1:326" s="795" customFormat="1" ht="15">
      <c r="A780" s="794">
        <v>778</v>
      </c>
      <c r="B780" s="796" t="s">
        <v>362</v>
      </c>
      <c r="C780" s="785" t="s">
        <v>1278</v>
      </c>
      <c r="D780" s="799">
        <v>37742</v>
      </c>
      <c r="E780" s="799">
        <v>38687</v>
      </c>
      <c r="F780" s="798">
        <v>2003</v>
      </c>
      <c r="G780" s="796" t="s">
        <v>24</v>
      </c>
      <c r="H780" s="790" t="s">
        <v>1454</v>
      </c>
      <c r="I780" s="796" t="s">
        <v>404</v>
      </c>
      <c r="J780" s="789" t="s">
        <v>2438</v>
      </c>
      <c r="K780" s="786">
        <v>40000</v>
      </c>
      <c r="L780" s="797">
        <v>4797861</v>
      </c>
      <c r="M780" s="797">
        <v>5000490</v>
      </c>
      <c r="N780" s="797">
        <v>4492621</v>
      </c>
      <c r="O780" s="786">
        <f t="shared" si="48"/>
        <v>112.31552499999999</v>
      </c>
      <c r="P780" s="797">
        <v>104.2</v>
      </c>
      <c r="Q780" s="797">
        <v>25000</v>
      </c>
      <c r="R780" s="797" t="s">
        <v>134</v>
      </c>
      <c r="S780" s="797">
        <v>25000</v>
      </c>
      <c r="T780" s="797" t="s">
        <v>233</v>
      </c>
      <c r="U780" s="797" t="s">
        <v>75</v>
      </c>
      <c r="V780" s="797" t="s">
        <v>134</v>
      </c>
      <c r="W780" s="786">
        <v>10000</v>
      </c>
      <c r="X780" s="797">
        <v>1040</v>
      </c>
      <c r="Y780" s="788">
        <f>X780/S780</f>
        <v>4.1599999999999998E-2</v>
      </c>
      <c r="Z780" s="797">
        <v>40000</v>
      </c>
      <c r="AA780" s="797" t="s">
        <v>134</v>
      </c>
      <c r="AB780" s="797">
        <v>20</v>
      </c>
      <c r="AC780" s="797"/>
      <c r="AD780" s="797" t="s">
        <v>75</v>
      </c>
      <c r="AE780" s="797" t="s">
        <v>75</v>
      </c>
      <c r="AF780" s="797" t="s">
        <v>75</v>
      </c>
      <c r="AG780" s="797" t="s">
        <v>75</v>
      </c>
      <c r="AH780" s="786">
        <v>40000</v>
      </c>
      <c r="AI780" s="797" t="s">
        <v>75</v>
      </c>
      <c r="AJ780" s="787">
        <v>40000</v>
      </c>
      <c r="AK780" s="786">
        <v>80000</v>
      </c>
      <c r="AL780" s="797">
        <v>81556</v>
      </c>
      <c r="AM780" s="797"/>
      <c r="AN780" s="796" t="s">
        <v>75</v>
      </c>
      <c r="AO780" s="796" t="s">
        <v>75</v>
      </c>
      <c r="AP780" s="796">
        <v>1</v>
      </c>
      <c r="AQ780" s="796" t="s">
        <v>75</v>
      </c>
      <c r="AR780" s="796">
        <v>1</v>
      </c>
      <c r="AS780" s="796" t="s">
        <v>75</v>
      </c>
      <c r="AT780" s="796" t="s">
        <v>75</v>
      </c>
      <c r="AU780" s="403" t="s">
        <v>391</v>
      </c>
      <c r="AV780" s="796"/>
      <c r="AW780" s="796"/>
    </row>
    <row r="781" spans="1:326" s="795" customFormat="1" ht="15">
      <c r="A781" s="794">
        <v>779</v>
      </c>
      <c r="B781" s="796" t="s">
        <v>121</v>
      </c>
      <c r="C781" s="796" t="s">
        <v>1261</v>
      </c>
      <c r="D781" s="799">
        <v>37803</v>
      </c>
      <c r="E781" s="799">
        <v>38108</v>
      </c>
      <c r="F781" s="798">
        <v>2003</v>
      </c>
      <c r="G781" s="796" t="s">
        <v>5</v>
      </c>
      <c r="H781" s="790" t="s">
        <v>1451</v>
      </c>
      <c r="I781" s="796" t="s">
        <v>403</v>
      </c>
      <c r="J781" s="789" t="s">
        <v>2438</v>
      </c>
      <c r="K781" s="786">
        <v>440000</v>
      </c>
      <c r="L781" s="797">
        <v>7932000</v>
      </c>
      <c r="M781" s="797">
        <v>5655072</v>
      </c>
      <c r="N781" s="797">
        <v>5655072</v>
      </c>
      <c r="O781" s="786">
        <f t="shared" si="48"/>
        <v>12.852436363636363</v>
      </c>
      <c r="P781" s="797">
        <v>71</v>
      </c>
      <c r="Q781" s="797">
        <v>48214</v>
      </c>
      <c r="R781" s="797" t="s">
        <v>75</v>
      </c>
      <c r="S781" s="797">
        <v>48214</v>
      </c>
      <c r="T781" s="797" t="s">
        <v>233</v>
      </c>
      <c r="U781" s="797" t="s">
        <v>75</v>
      </c>
      <c r="V781" s="797" t="s">
        <v>75</v>
      </c>
      <c r="W781" s="786">
        <v>99900</v>
      </c>
      <c r="X781" s="797">
        <v>70929</v>
      </c>
      <c r="Y781" s="788">
        <f>X781/S781</f>
        <v>1.4711287177998091</v>
      </c>
      <c r="Z781" s="797" t="s">
        <v>75</v>
      </c>
      <c r="AA781" s="797" t="s">
        <v>75</v>
      </c>
      <c r="AB781" s="797" t="s">
        <v>75</v>
      </c>
      <c r="AC781" s="797" t="s">
        <v>75</v>
      </c>
      <c r="AD781" s="797" t="s">
        <v>75</v>
      </c>
      <c r="AE781" s="797">
        <v>136300</v>
      </c>
      <c r="AF781" s="797" t="s">
        <v>75</v>
      </c>
      <c r="AG781" s="797" t="s">
        <v>75</v>
      </c>
      <c r="AH781" s="786" t="s">
        <v>75</v>
      </c>
      <c r="AI781" s="797" t="s">
        <v>75</v>
      </c>
      <c r="AJ781" s="787">
        <v>0</v>
      </c>
      <c r="AK781" s="786" t="s">
        <v>66</v>
      </c>
      <c r="AL781" s="797" t="s">
        <v>66</v>
      </c>
      <c r="AM781" s="797"/>
      <c r="AN781" s="796" t="s">
        <v>75</v>
      </c>
      <c r="AO781" s="796" t="s">
        <v>75</v>
      </c>
      <c r="AP781" s="796" t="s">
        <v>75</v>
      </c>
      <c r="AQ781" s="796" t="s">
        <v>75</v>
      </c>
      <c r="AR781" s="796" t="s">
        <v>75</v>
      </c>
      <c r="AS781" s="796" t="s">
        <v>75</v>
      </c>
      <c r="AT781" s="796" t="s">
        <v>75</v>
      </c>
      <c r="AU781" s="403" t="s">
        <v>397</v>
      </c>
      <c r="AV781" s="796"/>
      <c r="AW781" s="796"/>
    </row>
    <row r="782" spans="1:326" s="784" customFormat="1" ht="15">
      <c r="A782" s="794">
        <v>780</v>
      </c>
      <c r="B782" s="785" t="s">
        <v>400</v>
      </c>
      <c r="C782" s="785" t="s">
        <v>1261</v>
      </c>
      <c r="D782" s="792">
        <v>36404</v>
      </c>
      <c r="E782" s="792">
        <v>38687</v>
      </c>
      <c r="F782" s="791">
        <v>1999</v>
      </c>
      <c r="G782" s="785" t="s">
        <v>24</v>
      </c>
      <c r="H782" s="790" t="s">
        <v>1454</v>
      </c>
      <c r="I782" s="785" t="s">
        <v>402</v>
      </c>
      <c r="J782" s="789" t="s">
        <v>2438</v>
      </c>
      <c r="K782" s="786">
        <v>100000</v>
      </c>
      <c r="L782" s="786">
        <v>55400000</v>
      </c>
      <c r="M782" s="786">
        <v>55647151</v>
      </c>
      <c r="N782" s="786">
        <v>55647151</v>
      </c>
      <c r="O782" s="786">
        <f t="shared" si="48"/>
        <v>556.47150999999997</v>
      </c>
      <c r="P782" s="786">
        <v>104.4</v>
      </c>
      <c r="Q782" s="786" t="s">
        <v>75</v>
      </c>
      <c r="R782" s="786" t="s">
        <v>75</v>
      </c>
      <c r="S782" s="786" t="s">
        <v>75</v>
      </c>
      <c r="T782" s="786" t="s">
        <v>233</v>
      </c>
      <c r="U782" s="786" t="s">
        <v>75</v>
      </c>
      <c r="V782" s="786" t="s">
        <v>75</v>
      </c>
      <c r="W782" s="786" t="s">
        <v>66</v>
      </c>
      <c r="X782" s="786" t="s">
        <v>66</v>
      </c>
      <c r="Y782" s="788"/>
      <c r="Z782" s="786">
        <v>16477</v>
      </c>
      <c r="AA782" s="786">
        <v>849</v>
      </c>
      <c r="AB782" s="786">
        <v>2139</v>
      </c>
      <c r="AC782" s="786" t="s">
        <v>75</v>
      </c>
      <c r="AD782" s="786" t="s">
        <v>75</v>
      </c>
      <c r="AE782" s="786" t="s">
        <v>75</v>
      </c>
      <c r="AF782" s="786" t="s">
        <v>75</v>
      </c>
      <c r="AG782" s="786" t="s">
        <v>75</v>
      </c>
      <c r="AH782" s="786">
        <v>15000</v>
      </c>
      <c r="AI782" s="786" t="s">
        <v>75</v>
      </c>
      <c r="AJ782" s="787">
        <v>17326</v>
      </c>
      <c r="AK782" s="786">
        <v>100000</v>
      </c>
      <c r="AL782" s="786">
        <v>12732</v>
      </c>
      <c r="AM782" s="786"/>
      <c r="AN782" s="785" t="s">
        <v>75</v>
      </c>
      <c r="AO782" s="785" t="s">
        <v>75</v>
      </c>
      <c r="AP782" s="785" t="s">
        <v>75</v>
      </c>
      <c r="AQ782" s="785" t="s">
        <v>75</v>
      </c>
      <c r="AR782" s="785" t="s">
        <v>75</v>
      </c>
      <c r="AS782" s="785" t="s">
        <v>75</v>
      </c>
      <c r="AT782" s="785" t="s">
        <v>75</v>
      </c>
      <c r="AU782" s="276" t="s">
        <v>401</v>
      </c>
      <c r="AV782" s="785"/>
      <c r="AW782" s="785"/>
    </row>
    <row r="783" spans="1:326" s="784" customFormat="1" ht="15">
      <c r="A783" s="793"/>
      <c r="B783" s="785"/>
      <c r="C783" s="785"/>
      <c r="D783" s="792"/>
      <c r="E783" s="792"/>
      <c r="F783" s="791"/>
      <c r="G783" s="785"/>
      <c r="H783" s="790"/>
      <c r="I783" s="785"/>
      <c r="J783" s="789"/>
      <c r="K783" s="786"/>
      <c r="L783" s="786"/>
      <c r="M783" s="786"/>
      <c r="N783" s="786"/>
      <c r="O783" s="786"/>
      <c r="P783" s="786"/>
      <c r="Q783" s="786"/>
      <c r="R783" s="786"/>
      <c r="S783" s="786"/>
      <c r="T783" s="786"/>
      <c r="U783" s="786"/>
      <c r="V783" s="786"/>
      <c r="W783" s="786"/>
      <c r="X783" s="786"/>
      <c r="Y783" s="788"/>
      <c r="Z783" s="786"/>
      <c r="AA783" s="786"/>
      <c r="AB783" s="786"/>
      <c r="AC783" s="786"/>
      <c r="AD783" s="786"/>
      <c r="AE783" s="786"/>
      <c r="AF783" s="786"/>
      <c r="AG783" s="786"/>
      <c r="AH783" s="786"/>
      <c r="AI783" s="786"/>
      <c r="AJ783" s="787"/>
      <c r="AK783" s="786"/>
      <c r="AL783" s="786"/>
      <c r="AM783" s="786"/>
      <c r="AN783" s="785"/>
      <c r="AO783" s="785"/>
      <c r="AP783" s="785"/>
      <c r="AQ783" s="785"/>
      <c r="AR783" s="785"/>
      <c r="AS783" s="785"/>
      <c r="AT783" s="785"/>
      <c r="AU783" s="276"/>
      <c r="AV783" s="785"/>
      <c r="AW783" s="785"/>
    </row>
    <row r="784" spans="1:326" s="784" customFormat="1" ht="15">
      <c r="A784" s="793"/>
      <c r="B784" s="785"/>
      <c r="C784" s="785"/>
      <c r="D784" s="792"/>
      <c r="E784" s="792"/>
      <c r="F784" s="791"/>
      <c r="G784" s="785"/>
      <c r="H784" s="790"/>
      <c r="I784" s="785"/>
      <c r="J784" s="789"/>
      <c r="K784" s="786"/>
      <c r="L784" s="786"/>
      <c r="M784" s="786"/>
      <c r="N784" s="786"/>
      <c r="O784" s="786"/>
      <c r="P784" s="786"/>
      <c r="Q784" s="786"/>
      <c r="R784" s="786"/>
      <c r="S784" s="786"/>
      <c r="T784" s="786"/>
      <c r="U784" s="786"/>
      <c r="V784" s="786"/>
      <c r="W784" s="786"/>
      <c r="X784" s="786"/>
      <c r="Y784" s="788"/>
      <c r="Z784" s="786"/>
      <c r="AA784" s="786"/>
      <c r="AB784" s="786"/>
      <c r="AC784" s="786"/>
      <c r="AD784" s="786"/>
      <c r="AE784" s="786"/>
      <c r="AF784" s="786"/>
      <c r="AG784" s="786"/>
      <c r="AH784" s="786"/>
      <c r="AI784" s="786"/>
      <c r="AJ784" s="787"/>
      <c r="AK784" s="786"/>
      <c r="AL784" s="786"/>
      <c r="AM784" s="786"/>
      <c r="AN784" s="785"/>
      <c r="AO784" s="785"/>
      <c r="AP784" s="785"/>
      <c r="AQ784" s="785"/>
      <c r="AR784" s="785"/>
      <c r="AS784" s="785"/>
      <c r="AT784" s="785"/>
      <c r="AU784" s="276"/>
      <c r="AV784" s="785"/>
      <c r="AW784" s="785"/>
    </row>
    <row r="785" spans="1:47" s="772" customFormat="1" ht="14.25">
      <c r="A785" s="783" t="s">
        <v>2433</v>
      </c>
      <c r="B785" s="779"/>
      <c r="C785" s="779"/>
      <c r="D785" s="782"/>
      <c r="E785" s="782"/>
      <c r="F785" s="781"/>
      <c r="G785" s="780"/>
      <c r="H785" s="780"/>
      <c r="I785" s="780"/>
      <c r="J785" s="780"/>
      <c r="K785" s="779">
        <f t="shared" ref="K785:S785" si="49">SUBTOTAL(1,K3:K776)</f>
        <v>210492.64972527474</v>
      </c>
      <c r="L785" s="779">
        <f t="shared" si="49"/>
        <v>2665904.8214285714</v>
      </c>
      <c r="M785" s="779">
        <f t="shared" si="49"/>
        <v>2840569.0389859146</v>
      </c>
      <c r="N785" s="779">
        <f t="shared" si="49"/>
        <v>2457461.5594450911</v>
      </c>
      <c r="O785" s="779">
        <f t="shared" si="49"/>
        <v>35.192672713053696</v>
      </c>
      <c r="P785" s="779">
        <f t="shared" si="49"/>
        <v>86.752399758467917</v>
      </c>
      <c r="Q785" s="779">
        <f t="shared" si="49"/>
        <v>45199.76666666667</v>
      </c>
      <c r="R785" s="779">
        <f t="shared" si="49"/>
        <v>22806.18817204301</v>
      </c>
      <c r="S785" s="779">
        <f t="shared" si="49"/>
        <v>42871.23684210526</v>
      </c>
      <c r="T785" s="779"/>
      <c r="U785" s="779">
        <f t="shared" ref="U785:AB785" si="50">SUBTOTAL(1,U3:U776)</f>
        <v>307.43661971830988</v>
      </c>
      <c r="V785" s="779">
        <f t="shared" si="50"/>
        <v>79071.833836858001</v>
      </c>
      <c r="W785" s="779">
        <f t="shared" si="50"/>
        <v>321399.30056179775</v>
      </c>
      <c r="X785" s="779">
        <f t="shared" si="50"/>
        <v>378297.1884139785</v>
      </c>
      <c r="Y785" s="779">
        <f t="shared" si="50"/>
        <v>8.4535583984844784</v>
      </c>
      <c r="Z785" s="779">
        <f t="shared" si="50"/>
        <v>15764.847619047619</v>
      </c>
      <c r="AA785" s="779">
        <f t="shared" si="50"/>
        <v>219190.10622710624</v>
      </c>
      <c r="AB785" s="779">
        <f t="shared" si="50"/>
        <v>1157.8327759197325</v>
      </c>
      <c r="AC785" s="779"/>
      <c r="AD785" s="779"/>
      <c r="AE785" s="779">
        <f>SUBTOTAL(1,AE3:AE776)</f>
        <v>19945.613333333335</v>
      </c>
      <c r="AF785" s="779"/>
      <c r="AG785" s="779">
        <f t="shared" ref="AG785:AL785" si="51">SUBTOTAL(1,AG3:AG776)</f>
        <v>12081</v>
      </c>
      <c r="AH785" s="779">
        <f t="shared" si="51"/>
        <v>22696.066666666666</v>
      </c>
      <c r="AI785" s="779">
        <f t="shared" si="51"/>
        <v>711.09090909090912</v>
      </c>
      <c r="AJ785" s="779">
        <f t="shared" si="51"/>
        <v>83362.279683377303</v>
      </c>
      <c r="AK785" s="779">
        <f t="shared" si="51"/>
        <v>121605.66312056738</v>
      </c>
      <c r="AL785" s="779">
        <f t="shared" si="51"/>
        <v>392259.28060810809</v>
      </c>
      <c r="AM785" s="779"/>
      <c r="AN785" s="779"/>
      <c r="AO785" s="779"/>
      <c r="AP785" s="779"/>
      <c r="AQ785" s="779"/>
      <c r="AR785" s="779"/>
      <c r="AS785" s="779"/>
      <c r="AT785" s="779"/>
      <c r="AU785" s="778"/>
    </row>
    <row r="786" spans="1:47" s="773" customFormat="1" ht="15">
      <c r="A786" s="775" t="s">
        <v>1521</v>
      </c>
      <c r="B786" s="774"/>
      <c r="C786" s="774"/>
      <c r="D786" s="777"/>
      <c r="E786" s="777"/>
      <c r="F786" s="776"/>
      <c r="G786" s="775"/>
      <c r="H786" s="775"/>
      <c r="I786" s="775"/>
      <c r="J786" s="775"/>
      <c r="K786" s="774">
        <f>SUBTOTAL(9,K3:K776)</f>
        <v>153238649</v>
      </c>
      <c r="L786" s="774">
        <f>SUBTOTAL(9,L3:L776)</f>
        <v>1866133375</v>
      </c>
      <c r="M786" s="774">
        <f>SUBTOTAL(9,M3:M776)</f>
        <v>2016804017.6799994</v>
      </c>
      <c r="N786" s="774">
        <f>SUBTOTAL(9,N3:N776)</f>
        <v>1852926015.8215988</v>
      </c>
      <c r="O786" s="774">
        <f>SUBTOTAL(1,O3:O776)</f>
        <v>35.192672713053696</v>
      </c>
      <c r="P786" s="774">
        <f>SUBTOTAL(1,P3:P776)</f>
        <v>86.752399758467917</v>
      </c>
      <c r="Q786" s="774">
        <f>SUBTOTAL(9,Q3:Q776)</f>
        <v>13559930</v>
      </c>
      <c r="R786" s="774">
        <f>SUBTOTAL(9,R3:R776)</f>
        <v>4241951</v>
      </c>
      <c r="S786" s="774">
        <f>SUBTOTAL(9,S3:S776)</f>
        <v>14661963</v>
      </c>
      <c r="T786" s="774">
        <f>COUNTIF(T3:T776,T19)</f>
        <v>92</v>
      </c>
      <c r="U786" s="774">
        <f>SUBTOTAL(9,U3:U776)</f>
        <v>65484</v>
      </c>
      <c r="V786" s="774">
        <f>SUBTOTAL(9,V3:V776)</f>
        <v>26172777</v>
      </c>
      <c r="W786" s="774">
        <f>SUBTOTAL(9,W3:W776)</f>
        <v>114418151</v>
      </c>
      <c r="X786" s="774">
        <f>SUBTOTAL(9,X3:X776)</f>
        <v>140726554.09</v>
      </c>
      <c r="Y786" s="774">
        <f>SUBTOTAL(1,Y3:Y776)</f>
        <v>8.4535583984844784</v>
      </c>
      <c r="Z786" s="774">
        <f>SUBTOTAL(9,Z3:Z776)</f>
        <v>1655309</v>
      </c>
      <c r="AA786" s="774">
        <f>SUBTOTAL(9,AA3:AA776)</f>
        <v>59838899</v>
      </c>
      <c r="AB786" s="774">
        <f>SUBTOTAL(9,AB3:AB776)</f>
        <v>346192</v>
      </c>
      <c r="AC786" s="774">
        <f>COUNTIF(AC3:AC776,AC88)+ COUNT(AC3:AC776)</f>
        <v>81</v>
      </c>
      <c r="AD786" s="774">
        <f>COUNTIF(AD3:AD776,AD88)+ COUNT(AD3:AD776)</f>
        <v>30</v>
      </c>
      <c r="AE786" s="774">
        <f t="shared" ref="AE786:AL786" si="52">SUBTOTAL(9,AE3:AE776)</f>
        <v>3889394.6</v>
      </c>
      <c r="AF786" s="774">
        <f t="shared" si="52"/>
        <v>0</v>
      </c>
      <c r="AG786" s="774">
        <f t="shared" si="52"/>
        <v>120810</v>
      </c>
      <c r="AH786" s="774">
        <f t="shared" si="52"/>
        <v>1702205</v>
      </c>
      <c r="AI786" s="774">
        <f t="shared" si="52"/>
        <v>7822</v>
      </c>
      <c r="AJ786" s="774">
        <f t="shared" si="52"/>
        <v>63188608</v>
      </c>
      <c r="AK786" s="774">
        <f t="shared" si="52"/>
        <v>34292797</v>
      </c>
      <c r="AL786" s="774">
        <f t="shared" si="52"/>
        <v>116108747.06</v>
      </c>
      <c r="AM786" s="774"/>
      <c r="AN786" s="774"/>
      <c r="AO786" s="774"/>
      <c r="AP786" s="774"/>
      <c r="AQ786" s="774"/>
      <c r="AR786" s="774"/>
      <c r="AS786" s="774"/>
      <c r="AT786" s="774"/>
      <c r="AU786" s="774"/>
    </row>
    <row r="787" spans="1:47" s="772" customFormat="1">
      <c r="B787" s="771"/>
      <c r="C787" s="771"/>
      <c r="D787" s="770"/>
      <c r="E787" s="770"/>
      <c r="F787" s="769"/>
      <c r="AH787" s="969"/>
      <c r="AM787" s="771"/>
      <c r="AN787" s="771"/>
      <c r="AO787" s="771"/>
      <c r="AP787" s="771"/>
      <c r="AQ787" s="771"/>
      <c r="AR787" s="771"/>
      <c r="AS787" s="771"/>
      <c r="AT787" s="771"/>
      <c r="AU787" s="771"/>
    </row>
    <row r="788" spans="1:47" s="771" customFormat="1">
      <c r="D788" s="770"/>
      <c r="E788" s="770"/>
      <c r="F788" s="769"/>
      <c r="AH788" s="968"/>
    </row>
  </sheetData>
  <autoFilter ref="A2:AU782"/>
  <mergeCells count="10">
    <mergeCell ref="D1:F1"/>
    <mergeCell ref="Z1:AJ1"/>
    <mergeCell ref="AU1:AU2"/>
    <mergeCell ref="K1:P1"/>
    <mergeCell ref="W1:Y1"/>
    <mergeCell ref="Q1:S1"/>
    <mergeCell ref="T1:V1"/>
    <mergeCell ref="AN1:AR1"/>
    <mergeCell ref="AS1:AT1"/>
    <mergeCell ref="AK1:AL1"/>
  </mergeCells>
  <hyperlinks>
    <hyperlink ref="AU24" r:id="rId1"/>
    <hyperlink ref="AU33" r:id="rId2"/>
    <hyperlink ref="AU85" r:id="rId3"/>
    <hyperlink ref="AU87" r:id="rId4"/>
    <hyperlink ref="AU105" r:id="rId5"/>
    <hyperlink ref="AU51" r:id="rId6"/>
    <hyperlink ref="AU16" r:id="rId7"/>
    <hyperlink ref="AU60" r:id="rId8" display=" http://reliefweb.int/sites/reliefweb.int/files/resources/33F4463834FE9B8F8525784D006EDF1A-Full_Report.pdf"/>
    <hyperlink ref="AU21" r:id="rId9"/>
    <hyperlink ref="AU103" r:id="rId10"/>
    <hyperlink ref="AU77" r:id="rId11"/>
    <hyperlink ref="AU17" r:id="rId12"/>
    <hyperlink ref="AU110" r:id="rId13"/>
    <hyperlink ref="AU44" r:id="rId14"/>
    <hyperlink ref="AU45" r:id="rId15"/>
    <hyperlink ref="AU41" r:id="rId16"/>
    <hyperlink ref="AU14" r:id="rId17"/>
    <hyperlink ref="AU12" r:id="rId18"/>
    <hyperlink ref="AU56" r:id="rId19"/>
    <hyperlink ref="AU58" r:id="rId20"/>
    <hyperlink ref="AU98" r:id="rId21"/>
    <hyperlink ref="AU93" r:id="rId22"/>
    <hyperlink ref="AU19" r:id="rId23"/>
    <hyperlink ref="AU101" r:id="rId24"/>
    <hyperlink ref="AU25" r:id="rId25"/>
    <hyperlink ref="AU8" r:id="rId26"/>
    <hyperlink ref="AU4" r:id="rId27"/>
    <hyperlink ref="AU9" r:id="rId28"/>
    <hyperlink ref="AU50" r:id="rId29"/>
    <hyperlink ref="AU55" r:id="rId30"/>
    <hyperlink ref="AU109" r:id="rId31"/>
    <hyperlink ref="AU15" r:id="rId32"/>
    <hyperlink ref="AU36" r:id="rId33"/>
    <hyperlink ref="AU64" r:id="rId34"/>
    <hyperlink ref="AU97" r:id="rId35"/>
    <hyperlink ref="AU32" r:id="rId36"/>
    <hyperlink ref="AU10" r:id="rId37"/>
    <hyperlink ref="AU104" r:id="rId38"/>
    <hyperlink ref="AU113" r:id="rId39"/>
    <hyperlink ref="AU37" r:id="rId40"/>
    <hyperlink ref="AU84" r:id="rId41"/>
    <hyperlink ref="AU95" r:id="rId42"/>
    <hyperlink ref="AU73" r:id="rId43"/>
    <hyperlink ref="AU11" r:id="rId44"/>
    <hyperlink ref="AU18" r:id="rId45"/>
    <hyperlink ref="AU30" r:id="rId46"/>
    <hyperlink ref="AU38" r:id="rId47"/>
    <hyperlink ref="AU76" r:id="rId48"/>
    <hyperlink ref="AU86" r:id="rId49"/>
    <hyperlink ref="AU82" r:id="rId50"/>
    <hyperlink ref="AU48" r:id="rId51"/>
    <hyperlink ref="AU78" r:id="rId52"/>
    <hyperlink ref="AU90" r:id="rId53"/>
    <hyperlink ref="AU20" r:id="rId54"/>
    <hyperlink ref="AU79" r:id="rId55"/>
    <hyperlink ref="AU54" r:id="rId56"/>
    <hyperlink ref="AU49" r:id="rId57"/>
    <hyperlink ref="AU47" r:id="rId58"/>
    <hyperlink ref="AU52" r:id="rId59"/>
    <hyperlink ref="AU65" r:id="rId60"/>
    <hyperlink ref="AU71" r:id="rId61"/>
    <hyperlink ref="AU80" r:id="rId62"/>
    <hyperlink ref="AU81" r:id="rId63"/>
    <hyperlink ref="AU114" r:id="rId64"/>
    <hyperlink ref="AU115" r:id="rId65"/>
    <hyperlink ref="AU116" r:id="rId66"/>
    <hyperlink ref="AU117" r:id="rId67"/>
    <hyperlink ref="AU123" r:id="rId68"/>
    <hyperlink ref="AU120" r:id="rId69"/>
    <hyperlink ref="AU126" r:id="rId70"/>
    <hyperlink ref="AU125" r:id="rId71"/>
    <hyperlink ref="AU124" r:id="rId72"/>
    <hyperlink ref="AU122" r:id="rId73"/>
    <hyperlink ref="AU121" r:id="rId74"/>
    <hyperlink ref="AU118" r:id="rId75"/>
    <hyperlink ref="AU119" r:id="rId76"/>
    <hyperlink ref="AU128" r:id="rId77"/>
    <hyperlink ref="AU127" r:id="rId78"/>
    <hyperlink ref="AU129" r:id="rId79"/>
    <hyperlink ref="AU130" r:id="rId80"/>
    <hyperlink ref="AU131" r:id="rId81"/>
    <hyperlink ref="AU133" r:id="rId82"/>
    <hyperlink ref="AU132" r:id="rId83"/>
    <hyperlink ref="AU134" r:id="rId84"/>
    <hyperlink ref="AU135" r:id="rId85"/>
    <hyperlink ref="AU136" r:id="rId86"/>
    <hyperlink ref="AU137" r:id="rId87"/>
    <hyperlink ref="AU138" r:id="rId88"/>
    <hyperlink ref="AU139" r:id="rId89"/>
    <hyperlink ref="AU140" r:id="rId90"/>
    <hyperlink ref="AU142" r:id="rId91"/>
    <hyperlink ref="AU141" r:id="rId92"/>
    <hyperlink ref="AU143" r:id="rId93"/>
    <hyperlink ref="AU144" r:id="rId94"/>
    <hyperlink ref="AU145" r:id="rId95"/>
    <hyperlink ref="AU147" r:id="rId96"/>
    <hyperlink ref="AU146" r:id="rId97"/>
    <hyperlink ref="AU148" r:id="rId98"/>
    <hyperlink ref="AU149" r:id="rId99"/>
    <hyperlink ref="AU150" r:id="rId100"/>
    <hyperlink ref="AU151:AU157" r:id="rId101" display="http://www.ifrc.org/docs/appeals/10/MDRKE013dfr.pdf"/>
    <hyperlink ref="AU151" r:id="rId102"/>
    <hyperlink ref="AU158:AU166" r:id="rId103" display="http://www.ifrc.org/docs/appeals/10/MDRKE013dfr.pdf"/>
    <hyperlink ref="AU159" r:id="rId104"/>
    <hyperlink ref="AU167" r:id="rId105"/>
    <hyperlink ref="AU171" r:id="rId106"/>
    <hyperlink ref="AU178" r:id="rId107"/>
    <hyperlink ref="AU180:AU183" r:id="rId108" display="http://www.ifrc.org/docs/appeals/09/MDRPK003%20final.pdf"/>
    <hyperlink ref="AU181" r:id="rId109"/>
    <hyperlink ref="AU183" r:id="rId110"/>
    <hyperlink ref="AU184" r:id="rId111" display="http://www.ifrc.org/docs/appeals/09/MDRPK003%20final.pdf"/>
    <hyperlink ref="AU205" r:id="rId112"/>
    <hyperlink ref="AU209" r:id="rId113"/>
    <hyperlink ref="AU213" r:id="rId114"/>
    <hyperlink ref="AU214" r:id="rId115"/>
    <hyperlink ref="AU204" r:id="rId116"/>
    <hyperlink ref="AU199" r:id="rId117"/>
    <hyperlink ref="AU220" r:id="rId118"/>
    <hyperlink ref="AU211" r:id="rId119"/>
    <hyperlink ref="AU221" r:id="rId120"/>
    <hyperlink ref="AU218" r:id="rId121"/>
    <hyperlink ref="AU215" r:id="rId122"/>
    <hyperlink ref="AU216" r:id="rId123"/>
    <hyperlink ref="AU210" r:id="rId124"/>
    <hyperlink ref="AU217" r:id="rId125"/>
    <hyperlink ref="AU222" r:id="rId126"/>
    <hyperlink ref="AU223" r:id="rId127"/>
    <hyperlink ref="AU239" r:id="rId128"/>
    <hyperlink ref="AU230" r:id="rId129"/>
    <hyperlink ref="AU175" r:id="rId130"/>
    <hyperlink ref="AU160" r:id="rId131"/>
    <hyperlink ref="AU166" r:id="rId132" display="http://www.ifrc.org/docs/appeals/10/MDRRU007dfr.pdf"/>
    <hyperlink ref="AU191" r:id="rId133"/>
    <hyperlink ref="AU203" r:id="rId134"/>
    <hyperlink ref="AU192" r:id="rId135"/>
    <hyperlink ref="AU241" r:id="rId136"/>
    <hyperlink ref="AU190" r:id="rId137"/>
    <hyperlink ref="AU290" r:id="rId138"/>
    <hyperlink ref="AU286" r:id="rId139"/>
    <hyperlink ref="AU254" r:id="rId140"/>
    <hyperlink ref="AU246:AU247" r:id="rId141" display="http://www.ifrc.org/docs/appeals/09/MDRPK003%20final.pdf"/>
    <hyperlink ref="AU259" r:id="rId142"/>
    <hyperlink ref="AU293" r:id="rId143"/>
    <hyperlink ref="AU248:AU252" r:id="rId144" display="http://www.ifrc.org/docs/appeals/09/MDRPK003%20final.pdf"/>
    <hyperlink ref="AU260" r:id="rId145"/>
    <hyperlink ref="AU289" r:id="rId146"/>
    <hyperlink ref="AU251" r:id="rId147"/>
    <hyperlink ref="AU244" r:id="rId148"/>
    <hyperlink ref="AU299" r:id="rId149" display="http://www.ifrc.org/docs/appeals/08/MDRVN005FR.pdf"/>
    <hyperlink ref="AU287:AU289" r:id="rId150" display="http://www.ifrc.org/docs/appeals/08/MDRVN005FR.pdf"/>
    <hyperlink ref="AU296" r:id="rId151" display="http://www.ifrc.org/docs/appeals/08/MDRVN005FR.pdf"/>
    <hyperlink ref="AU281" r:id="rId152"/>
    <hyperlink ref="AU247" r:id="rId153"/>
    <hyperlink ref="AU293:AU294" r:id="rId154" display="http://www.ifrc.org/docs/appeals/08/MDRVN005FR.pdf"/>
    <hyperlink ref="AU266" r:id="rId155"/>
    <hyperlink ref="AU295" r:id="rId156" display="http://www.ifrc.org/docs/appeals/08/MDRVN005FR.pdf"/>
    <hyperlink ref="AU294" r:id="rId157"/>
    <hyperlink ref="AU297:AU298" r:id="rId158" display="http://www.ifrc.org/docs/appeals/08/MDRVN005FR.pdf"/>
    <hyperlink ref="AU268" r:id="rId159"/>
    <hyperlink ref="AU257" r:id="rId160"/>
    <hyperlink ref="AU261" r:id="rId161"/>
    <hyperlink ref="AU264" r:id="rId162"/>
    <hyperlink ref="AU245" r:id="rId163"/>
    <hyperlink ref="AU297" r:id="rId164"/>
    <hyperlink ref="AU267" r:id="rId165"/>
    <hyperlink ref="AU271" r:id="rId166"/>
    <hyperlink ref="AU272" r:id="rId167"/>
    <hyperlink ref="AU273" r:id="rId168"/>
    <hyperlink ref="AU242" r:id="rId169"/>
    <hyperlink ref="AU291:AU292" r:id="rId170" display="http://www.ifrc.org/docs/appeals/08/MDRVN005FR.pdf"/>
    <hyperlink ref="AU291" r:id="rId171"/>
    <hyperlink ref="AU292" r:id="rId172"/>
    <hyperlink ref="AU298" r:id="rId173"/>
    <hyperlink ref="AU300" r:id="rId174"/>
    <hyperlink ref="AU301" r:id="rId175"/>
    <hyperlink ref="AU305" r:id="rId176"/>
    <hyperlink ref="AU304" r:id="rId177"/>
    <hyperlink ref="AU306" r:id="rId178"/>
    <hyperlink ref="AU307" r:id="rId179"/>
    <hyperlink ref="AU308" r:id="rId180"/>
    <hyperlink ref="AU309" r:id="rId181"/>
    <hyperlink ref="AU310" r:id="rId182"/>
    <hyperlink ref="AU311" r:id="rId183"/>
    <hyperlink ref="AU312" r:id="rId184"/>
    <hyperlink ref="AU313" r:id="rId185"/>
    <hyperlink ref="AU314" r:id="rId186"/>
    <hyperlink ref="AU315" r:id="rId187"/>
    <hyperlink ref="AU316" r:id="rId188"/>
    <hyperlink ref="AU317" r:id="rId189"/>
    <hyperlink ref="AU318" r:id="rId190"/>
    <hyperlink ref="AU319" r:id="rId191"/>
    <hyperlink ref="AU320" r:id="rId192"/>
    <hyperlink ref="AU321" r:id="rId193"/>
    <hyperlink ref="AU322" r:id="rId194"/>
    <hyperlink ref="AU323" r:id="rId195"/>
    <hyperlink ref="AU324" r:id="rId196"/>
    <hyperlink ref="AU325" r:id="rId197"/>
    <hyperlink ref="AU330" r:id="rId198"/>
    <hyperlink ref="AU282" r:id="rId199"/>
    <hyperlink ref="AU252" r:id="rId200"/>
    <hyperlink ref="AU371" r:id="rId201"/>
    <hyperlink ref="AU356" r:id="rId202"/>
    <hyperlink ref="AU373" r:id="rId203"/>
    <hyperlink ref="AU366" r:id="rId204"/>
    <hyperlink ref="AU361" r:id="rId205"/>
    <hyperlink ref="AU350" r:id="rId206"/>
    <hyperlink ref="AU339:AU341" r:id="rId207" display="http://www.ifrc.org/docs/appeals/08/MDRVN005FR.pdf"/>
    <hyperlink ref="AU363" r:id="rId208"/>
    <hyperlink ref="AU343" r:id="rId209"/>
    <hyperlink ref="AU342:AU343" r:id="rId210" display="http://www.ifrc.org/docs/appeals/08/MDRVN005FR.pdf"/>
    <hyperlink ref="AU340" r:id="rId211"/>
    <hyperlink ref="AU344:AU345" r:id="rId212" display="http://www.ifrc.org/docs/appeals/08/MDRVN005FR.pdf"/>
    <hyperlink ref="AU344" r:id="rId213"/>
    <hyperlink ref="AU347:AU348" r:id="rId214" display="http://www.ifrc.org/docs/appeals/08/MDRVN005FR.pdf"/>
    <hyperlink ref="AU355" r:id="rId215"/>
    <hyperlink ref="AU349" r:id="rId216"/>
    <hyperlink ref="AU349:AU350" r:id="rId217" display="http://www.ifrc.org/docs/appeals/08/MDRVN005FR.pdf"/>
    <hyperlink ref="AU348" r:id="rId218" display="http://www.ifrc.org/docs/appeals/08/MDRVN005FR.pdf"/>
    <hyperlink ref="AU370" r:id="rId219"/>
    <hyperlink ref="AU352:AU354" r:id="rId220" display="http://www.ifrc.org/docs/appeals/08/MDRVN005FR.pdf"/>
    <hyperlink ref="AU356:AU357" r:id="rId221" display="http://www.ifrc.org/docs/appeals/08/MDRVN005FR.pdf"/>
    <hyperlink ref="AU364" r:id="rId222" display="http://www.ifrc.org/docs/appeals/08/MDRVN005FR.pdf"/>
    <hyperlink ref="AU358" r:id="rId223"/>
    <hyperlink ref="AU360:AU363" r:id="rId224" display="http://www.ifrc.org/docs/appeals/08/MDRVN005FR.pdf"/>
    <hyperlink ref="AU377" r:id="rId225"/>
    <hyperlink ref="AU342" r:id="rId226"/>
    <hyperlink ref="AU365" r:id="rId227"/>
    <hyperlink ref="AU347" r:id="rId228" display="http://www.ifrc.org/docs/appeals/08/MDRVN005FR.pdf"/>
    <hyperlink ref="AU367:AU368" r:id="rId229" display="http://www.ifrc.org/docs/appeals/08/MDRVN005FR.pdf"/>
    <hyperlink ref="AU352" r:id="rId230"/>
    <hyperlink ref="AU369:AU370" r:id="rId231" display="http://www.ifrc.org/docs/appeals/07/MDRCM003dfr.pdf"/>
    <hyperlink ref="AU374" r:id="rId232"/>
    <hyperlink ref="AU335" r:id="rId233"/>
    <hyperlink ref="AU341" r:id="rId234"/>
    <hyperlink ref="AU378" r:id="rId235"/>
    <hyperlink ref="AU376" r:id="rId236"/>
    <hyperlink ref="AU336" r:id="rId237"/>
    <hyperlink ref="AU338" r:id="rId238"/>
    <hyperlink ref="AU345" r:id="rId239"/>
    <hyperlink ref="AU346" r:id="rId240"/>
    <hyperlink ref="AU351" r:id="rId241"/>
    <hyperlink ref="AU357" r:id="rId242"/>
    <hyperlink ref="AU372" r:id="rId243"/>
    <hyperlink ref="AU375" r:id="rId244"/>
    <hyperlink ref="AU379" r:id="rId245"/>
    <hyperlink ref="AU380" r:id="rId246"/>
    <hyperlink ref="AU381" r:id="rId247"/>
    <hyperlink ref="AU385" r:id="rId248"/>
    <hyperlink ref="AU383" r:id="rId249"/>
    <hyperlink ref="AU382" r:id="rId250"/>
    <hyperlink ref="AU384" r:id="rId251"/>
    <hyperlink ref="AU386" r:id="rId252"/>
    <hyperlink ref="AU387" r:id="rId253"/>
    <hyperlink ref="AU388" r:id="rId254"/>
    <hyperlink ref="AU389" r:id="rId255"/>
    <hyperlink ref="AU391" r:id="rId256"/>
    <hyperlink ref="AU390" r:id="rId257"/>
    <hyperlink ref="AU392" r:id="rId258"/>
    <hyperlink ref="AU393" r:id="rId259"/>
    <hyperlink ref="AU394" r:id="rId260"/>
    <hyperlink ref="AU395" r:id="rId261"/>
    <hyperlink ref="AU396" r:id="rId262"/>
    <hyperlink ref="AU397" r:id="rId263"/>
    <hyperlink ref="AU398" r:id="rId264"/>
    <hyperlink ref="AU399" r:id="rId265"/>
    <hyperlink ref="AU400" r:id="rId266"/>
    <hyperlink ref="AU401" r:id="rId267"/>
    <hyperlink ref="AU402" r:id="rId268"/>
    <hyperlink ref="AU403" r:id="rId269"/>
    <hyperlink ref="AU404" r:id="rId270"/>
    <hyperlink ref="AU405" r:id="rId271"/>
    <hyperlink ref="AU406" r:id="rId272"/>
    <hyperlink ref="AU408" r:id="rId273"/>
    <hyperlink ref="AU408:AU409" r:id="rId274" display="http://www.ifrc.org/docs/appeals/08/MDRMD001dfr.pdf"/>
    <hyperlink ref="AU411" r:id="rId275"/>
    <hyperlink ref="AU412" r:id="rId276"/>
    <hyperlink ref="AU413" r:id="rId277"/>
    <hyperlink ref="AU414" r:id="rId278"/>
    <hyperlink ref="AU415" r:id="rId279"/>
    <hyperlink ref="AU416" r:id="rId280"/>
    <hyperlink ref="AU417" r:id="rId281"/>
    <hyperlink ref="AU418" r:id="rId282"/>
    <hyperlink ref="AU419:AU421" r:id="rId283" display="http://www.ifrc.org/en/publications-and-reports/appeals/?ac=MDRPY004&amp;at=0&amp;c=&amp;co=&amp;dt=1&amp;f=&amp;re=&amp;t=&amp;ti=&amp;zo="/>
    <hyperlink ref="AU422:AU423" r:id="rId284" display="http://www.ifrc.org/docs/appeals/08/MDRSD005fr.pdf"/>
    <hyperlink ref="AU424" r:id="rId285"/>
    <hyperlink ref="AU425" r:id="rId286"/>
    <hyperlink ref="AU426" r:id="rId287"/>
    <hyperlink ref="AU427" r:id="rId288"/>
    <hyperlink ref="AU428:AU429" r:id="rId289" display="http://www.ifrc.org/docs/appeals/08/MDRVN003%20finalrpt.pdf"/>
    <hyperlink ref="AU430" r:id="rId290"/>
    <hyperlink ref="AU431" r:id="rId291"/>
    <hyperlink ref="AU432" r:id="rId292"/>
    <hyperlink ref="AU434" r:id="rId293"/>
    <hyperlink ref="AU353" r:id="rId294"/>
    <hyperlink ref="AU435" r:id="rId295"/>
    <hyperlink ref="AU339" r:id="rId296"/>
    <hyperlink ref="AU362" r:id="rId297"/>
    <hyperlink ref="AU420" r:id="rId298"/>
    <hyperlink ref="AU368" r:id="rId299"/>
    <hyperlink ref="AU482" r:id="rId300"/>
    <hyperlink ref="AU498" r:id="rId301" display="http://www.ifrc.org/docs/appeals/09/MDRPK003%20final.pdf"/>
    <hyperlink ref="AU508" r:id="rId302"/>
    <hyperlink ref="AU439" r:id="rId303"/>
    <hyperlink ref="AU513" r:id="rId304"/>
    <hyperlink ref="AU443:AU444" r:id="rId305" display="http://www.ifrc.org/docs/appeals/08/MDRVN005FR.pdf"/>
    <hyperlink ref="AU445:AU447" r:id="rId306" display="http://www.ifrc.org/docs/appeals/08/MDRVN005FR.pdf"/>
    <hyperlink ref="AU506" r:id="rId307"/>
    <hyperlink ref="AU441" r:id="rId308"/>
    <hyperlink ref="AU452" r:id="rId309" display="http://www.ifrc.org/docs/appeals/08/MDRVN005FR.pdf"/>
    <hyperlink ref="AU465" r:id="rId310"/>
    <hyperlink ref="AU444" r:id="rId311"/>
    <hyperlink ref="AU484" r:id="rId312" display="http://www.ifrc.org/docs/appeals/08/MDRVN005FR.pdf"/>
    <hyperlink ref="AU458" r:id="rId313" display="http://www.ifrc.org/docs/appeals/08/MDRVN005FR.pdf"/>
    <hyperlink ref="AU502" r:id="rId314" display="http://www.ifrc.org/docs/appeals/08/MDRVN005FR.pdf"/>
    <hyperlink ref="AU490" r:id="rId315"/>
    <hyperlink ref="AU446" r:id="rId316"/>
    <hyperlink ref="AU462" r:id="rId317"/>
    <hyperlink ref="AU526" r:id="rId318"/>
    <hyperlink ref="AU485" r:id="rId319"/>
    <hyperlink ref="AU475" r:id="rId320"/>
    <hyperlink ref="AU503" r:id="rId321"/>
    <hyperlink ref="AU460" r:id="rId322"/>
    <hyperlink ref="AU467" r:id="rId323"/>
    <hyperlink ref="AU487" r:id="rId324"/>
    <hyperlink ref="AU436" r:id="rId325"/>
    <hyperlink ref="AU528" r:id="rId326"/>
    <hyperlink ref="AU515" r:id="rId327"/>
    <hyperlink ref="AU489" r:id="rId328"/>
    <hyperlink ref="AU450" r:id="rId329"/>
    <hyperlink ref="AU493" r:id="rId330"/>
    <hyperlink ref="AU516" r:id="rId331"/>
    <hyperlink ref="AU511" r:id="rId332"/>
    <hyperlink ref="AU468" r:id="rId333"/>
    <hyperlink ref="AU461" r:id="rId334"/>
    <hyperlink ref="AU453" r:id="rId335"/>
    <hyperlink ref="AU500" r:id="rId336"/>
    <hyperlink ref="AU476" r:id="rId337"/>
    <hyperlink ref="AU478" r:id="rId338"/>
    <hyperlink ref="AU437" r:id="rId339"/>
    <hyperlink ref="AU486" r:id="rId340"/>
    <hyperlink ref="AU501" r:id="rId341"/>
    <hyperlink ref="AU449" r:id="rId342"/>
    <hyperlink ref="AU507" r:id="rId343"/>
    <hyperlink ref="AU525:AU526" r:id="rId344" display="http://www.ifrc.org/docs/appeals/08/MDRVN005FR.pdf"/>
    <hyperlink ref="AU525" r:id="rId345"/>
    <hyperlink ref="AU521" r:id="rId346"/>
    <hyperlink ref="AU514" r:id="rId347"/>
    <hyperlink ref="AU505" r:id="rId348"/>
    <hyperlink ref="AU504" r:id="rId349"/>
    <hyperlink ref="AU440" r:id="rId350"/>
    <hyperlink ref="AU448" r:id="rId351"/>
    <hyperlink ref="AU472" r:id="rId352"/>
    <hyperlink ref="AU459" r:id="rId353"/>
    <hyperlink ref="AU518" r:id="rId354"/>
    <hyperlink ref="AU492" r:id="rId355"/>
    <hyperlink ref="AU568" r:id="rId356" display="http://www.ifrc.org/docs/appeals/08/MDRVN005FR.pdf"/>
    <hyperlink ref="AU598" r:id="rId357" display="http://www.ifrc.org/docs/appeals/08/MDRVN005FR.pdf"/>
    <hyperlink ref="AU576" r:id="rId358"/>
    <hyperlink ref="AU535" r:id="rId359"/>
    <hyperlink ref="AU560" r:id="rId360"/>
    <hyperlink ref="AU583" r:id="rId361"/>
    <hyperlink ref="AU537" r:id="rId362"/>
    <hyperlink ref="AU588" r:id="rId363"/>
    <hyperlink ref="AU557" r:id="rId364"/>
    <hyperlink ref="AU584" r:id="rId365"/>
    <hyperlink ref="AU558" r:id="rId366"/>
    <hyperlink ref="AU594" r:id="rId367"/>
    <hyperlink ref="AU561" r:id="rId368"/>
    <hyperlink ref="AU593" r:id="rId369"/>
    <hyperlink ref="AU572" r:id="rId370"/>
    <hyperlink ref="AU531" r:id="rId371"/>
    <hyperlink ref="AU573" r:id="rId372"/>
    <hyperlink ref="AU543" r:id="rId373"/>
    <hyperlink ref="AU575" r:id="rId374"/>
    <hyperlink ref="AU595" r:id="rId375"/>
    <hyperlink ref="AU546" r:id="rId376"/>
    <hyperlink ref="AU589" r:id="rId377"/>
    <hyperlink ref="AU563" r:id="rId378"/>
    <hyperlink ref="AU578" r:id="rId379"/>
    <hyperlink ref="AU604" r:id="rId380"/>
    <hyperlink ref="AU569" r:id="rId381"/>
    <hyperlink ref="AU562" r:id="rId382"/>
    <hyperlink ref="AU608" r:id="rId383"/>
    <hyperlink ref="AU548" r:id="rId384"/>
    <hyperlink ref="AU599" r:id="rId385"/>
    <hyperlink ref="AU585" r:id="rId386"/>
    <hyperlink ref="AU552" r:id="rId387"/>
    <hyperlink ref="AU592" r:id="rId388"/>
    <hyperlink ref="AU581" r:id="rId389"/>
    <hyperlink ref="AU574" r:id="rId390"/>
    <hyperlink ref="AU600" r:id="rId391"/>
    <hyperlink ref="AU601" r:id="rId392"/>
    <hyperlink ref="AU605" r:id="rId393"/>
    <hyperlink ref="AU606" r:id="rId394"/>
    <hyperlink ref="AU609" r:id="rId395"/>
    <hyperlink ref="AU539" r:id="rId396"/>
    <hyperlink ref="AU597" r:id="rId397"/>
    <hyperlink ref="AU571" r:id="rId398"/>
    <hyperlink ref="AU536" r:id="rId399"/>
    <hyperlink ref="AU549" r:id="rId400"/>
    <hyperlink ref="AU544" r:id="rId401"/>
    <hyperlink ref="AU533" r:id="rId402"/>
    <hyperlink ref="AU591" r:id="rId403"/>
    <hyperlink ref="AU582" r:id="rId404"/>
    <hyperlink ref="AU602" r:id="rId405" display="http://www.ifrc.org/docs/appeals/10/MDRID001_FR.pdf"/>
    <hyperlink ref="AU598:AU601" r:id="rId406" display="http://www.ifrc.org/docs/appeals/06/MDR62001fr.pdf"/>
    <hyperlink ref="AU580" r:id="rId407"/>
    <hyperlink ref="AU545" r:id="rId408"/>
    <hyperlink ref="AU603:AU604" r:id="rId409" display="http://www.ifrc.org/docs/appeals/rpts06/MDRCO001final.pdf"/>
    <hyperlink ref="AU547" r:id="rId410"/>
    <hyperlink ref="AU555" r:id="rId411"/>
    <hyperlink ref="AU542" r:id="rId412"/>
    <hyperlink ref="AU559" r:id="rId413"/>
    <hyperlink ref="AU541" r:id="rId414"/>
    <hyperlink ref="AU579" r:id="rId415"/>
    <hyperlink ref="AU610" r:id="rId416"/>
    <hyperlink ref="AU612" r:id="rId417"/>
    <hyperlink ref="AU615" r:id="rId418"/>
    <hyperlink ref="AU616" r:id="rId419"/>
    <hyperlink ref="AU617" r:id="rId420"/>
    <hyperlink ref="AU619" r:id="rId421"/>
    <hyperlink ref="AU620" r:id="rId422"/>
    <hyperlink ref="AU621" r:id="rId423"/>
    <hyperlink ref="AU622" r:id="rId424"/>
    <hyperlink ref="AU623" r:id="rId425"/>
    <hyperlink ref="AU624" r:id="rId426"/>
    <hyperlink ref="AU625" r:id="rId427"/>
    <hyperlink ref="AU538" r:id="rId428"/>
    <hyperlink ref="AU567" r:id="rId429"/>
    <hyperlink ref="AU564" r:id="rId430"/>
    <hyperlink ref="AU565" r:id="rId431"/>
    <hyperlink ref="AU596" r:id="rId432"/>
    <hyperlink ref="AU640" r:id="rId433"/>
    <hyperlink ref="AU672" r:id="rId434"/>
    <hyperlink ref="AU627" r:id="rId435"/>
    <hyperlink ref="AU676" r:id="rId436"/>
    <hyperlink ref="AU652" r:id="rId437"/>
    <hyperlink ref="AU683" r:id="rId438"/>
    <hyperlink ref="AU674" r:id="rId439"/>
    <hyperlink ref="AU680" r:id="rId440"/>
    <hyperlink ref="AU670" r:id="rId441"/>
    <hyperlink ref="AU641" r:id="rId442"/>
    <hyperlink ref="AU681" r:id="rId443"/>
    <hyperlink ref="AU669" r:id="rId444"/>
    <hyperlink ref="AU646" r:id="rId445"/>
    <hyperlink ref="AU675" r:id="rId446"/>
    <hyperlink ref="AU644:AU645" r:id="rId447" display="http://www.ifrc.org/docs/appeals/05/05EA024Final.pdf"/>
    <hyperlink ref="AU628" r:id="rId448"/>
    <hyperlink ref="AU637:AU642" r:id="rId449" display="http://www.ifrc.org/docs/appeals/05/05EA023fr.pdf"/>
    <hyperlink ref="AU654" r:id="rId450"/>
    <hyperlink ref="AU650" r:id="rId451"/>
    <hyperlink ref="AU632" r:id="rId452"/>
    <hyperlink ref="AU666" r:id="rId453"/>
    <hyperlink ref="AU639" r:id="rId454"/>
    <hyperlink ref="AU655" r:id="rId455"/>
    <hyperlink ref="AU663" r:id="rId456"/>
    <hyperlink ref="AU682" r:id="rId457"/>
    <hyperlink ref="AU696" r:id="rId458"/>
    <hyperlink ref="AU718" r:id="rId459"/>
    <hyperlink ref="AU684" r:id="rId460"/>
    <hyperlink ref="AU689" r:id="rId461"/>
    <hyperlink ref="AU691" r:id="rId462"/>
    <hyperlink ref="AU716" r:id="rId463"/>
    <hyperlink ref="AU686" r:id="rId464"/>
    <hyperlink ref="AU690" r:id="rId465"/>
    <hyperlink ref="AU693" r:id="rId466"/>
    <hyperlink ref="AU698" r:id="rId467"/>
    <hyperlink ref="AU702" r:id="rId468"/>
    <hyperlink ref="AU705" r:id="rId469"/>
    <hyperlink ref="AU687" r:id="rId470"/>
    <hyperlink ref="AU707" r:id="rId471"/>
    <hyperlink ref="AU706" r:id="rId472"/>
    <hyperlink ref="AU685" r:id="rId473"/>
    <hyperlink ref="AU711" r:id="rId474"/>
    <hyperlink ref="AU695" r:id="rId475"/>
    <hyperlink ref="AU694" r:id="rId476"/>
    <hyperlink ref="AU701" r:id="rId477"/>
    <hyperlink ref="AU692" r:id="rId478"/>
    <hyperlink ref="AU633:AU635" r:id="rId479" display="http://www.ifrc.org/docs/appeals/05/05EA015fr.pdf"/>
    <hyperlink ref="AU719" r:id="rId480"/>
    <hyperlink ref="AU626" r:id="rId481"/>
    <hyperlink ref="AU677" r:id="rId482"/>
    <hyperlink ref="AU636" r:id="rId483"/>
    <hyperlink ref="AU637" r:id="rId484"/>
    <hyperlink ref="AU644" r:id="rId485"/>
    <hyperlink ref="AU720" r:id="rId486"/>
    <hyperlink ref="AU721" r:id="rId487"/>
    <hyperlink ref="AU722" r:id="rId488"/>
    <hyperlink ref="AU723" r:id="rId489"/>
    <hyperlink ref="AU725" r:id="rId490"/>
    <hyperlink ref="AU724" r:id="rId491"/>
    <hyperlink ref="AU726" r:id="rId492"/>
    <hyperlink ref="AU728" r:id="rId493"/>
    <hyperlink ref="AU753" r:id="rId494"/>
    <hyperlink ref="AU754:AU755" r:id="rId495" display="http://www.ifrc.org/docs/appeals/rpts04/cofl3.pdf"/>
    <hyperlink ref="AU756" r:id="rId496"/>
    <hyperlink ref="AU729" r:id="rId497"/>
    <hyperlink ref="AU730" r:id="rId498"/>
    <hyperlink ref="AU731" r:id="rId499"/>
    <hyperlink ref="AU732" r:id="rId500"/>
    <hyperlink ref="AU733" r:id="rId501"/>
    <hyperlink ref="AU734" r:id="rId502"/>
    <hyperlink ref="AU735" r:id="rId503"/>
    <hyperlink ref="AU736" r:id="rId504"/>
    <hyperlink ref="AU737" r:id="rId505"/>
    <hyperlink ref="AU738" r:id="rId506"/>
    <hyperlink ref="AU739" r:id="rId507"/>
    <hyperlink ref="AU740" r:id="rId508"/>
    <hyperlink ref="AU741" r:id="rId509"/>
    <hyperlink ref="AU742" r:id="rId510"/>
    <hyperlink ref="AU764" r:id="rId511" display="http://www.ifrc.org/docs/appeals/rpts04/CNfl10090409.pdf"/>
    <hyperlink ref="AU765:AU766" r:id="rId512" display="http://www.ifrc.org/docs/appeals/rpts04/carjeanne2.pdf"/>
    <hyperlink ref="AU743" r:id="rId513"/>
    <hyperlink ref="AU744" r:id="rId514"/>
    <hyperlink ref="AU765" r:id="rId515"/>
    <hyperlink ref="AU745" r:id="rId516"/>
    <hyperlink ref="AU727" r:id="rId517"/>
    <hyperlink ref="AU747" r:id="rId518"/>
    <hyperlink ref="AU748" r:id="rId519"/>
    <hyperlink ref="AU772" r:id="rId520"/>
    <hyperlink ref="AU771" r:id="rId521"/>
    <hyperlink ref="AU773" r:id="rId522"/>
    <hyperlink ref="AU774" r:id="rId523"/>
    <hyperlink ref="AU758" r:id="rId524"/>
    <hyperlink ref="AU759" r:id="rId525"/>
    <hyperlink ref="AU761" r:id="rId526"/>
    <hyperlink ref="AU763" r:id="rId527"/>
    <hyperlink ref="AU767" r:id="rId528"/>
    <hyperlink ref="AU769" r:id="rId529"/>
    <hyperlink ref="AU750" r:id="rId530"/>
    <hyperlink ref="AU749" r:id="rId531"/>
    <hyperlink ref="AU751" r:id="rId532"/>
    <hyperlink ref="AU752" r:id="rId533"/>
    <hyperlink ref="AU776" r:id="rId534"/>
    <hyperlink ref="AU775" r:id="rId535"/>
    <hyperlink ref="AU755" r:id="rId536"/>
    <hyperlink ref="AU224" r:id="rId537"/>
    <hyperlink ref="AU530" r:id="rId538"/>
    <hyperlink ref="AU551" r:id="rId539"/>
    <hyperlink ref="AU3" r:id="rId540"/>
    <hyperlink ref="AU527" r:id="rId541"/>
    <hyperlink ref="AU112" r:id="rId542"/>
    <hyperlink ref="AU302" r:id="rId543"/>
    <hyperlink ref="AU712" r:id="rId544"/>
    <hyperlink ref="AU240" r:id="rId545"/>
    <hyperlink ref="AU777" r:id="rId546"/>
    <hyperlink ref="AU778" r:id="rId547"/>
    <hyperlink ref="AU780" r:id="rId548"/>
    <hyperlink ref="AU781" r:id="rId549"/>
    <hyperlink ref="AU782" r:id="rId550"/>
    <hyperlink ref="AU577" r:id="rId551"/>
  </hyperlinks>
  <pageMargins left="0.75" right="0.75" top="1" bottom="1" header="0.5" footer="0.5"/>
  <pageSetup paperSize="9" orientation="portrait" verticalDpi="0" r:id="rId552"/>
  <legacyDrawing r:id="rId55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115"/>
  <sheetViews>
    <sheetView topLeftCell="T1" zoomScaleNormal="100" workbookViewId="0">
      <pane ySplit="1" topLeftCell="A2" activePane="bottomLeft" state="frozen"/>
      <selection pane="bottomLeft" activeCell="Y2" sqref="Y1:Y1048576"/>
    </sheetView>
  </sheetViews>
  <sheetFormatPr defaultRowHeight="12.75"/>
  <cols>
    <col min="10" max="10" width="10.140625" bestFit="1" customWidth="1"/>
    <col min="11" max="12" width="10.85546875" customWidth="1"/>
    <col min="13" max="13" width="10.140625" bestFit="1" customWidth="1"/>
    <col min="14" max="14" width="9.28515625" bestFit="1" customWidth="1"/>
    <col min="16" max="18" width="9.28515625" bestFit="1" customWidth="1"/>
    <col min="21" max="21" width="9.28515625" bestFit="1" customWidth="1"/>
    <col min="22" max="22" width="11" customWidth="1"/>
    <col min="23" max="24" width="9.28515625" bestFit="1" customWidth="1"/>
    <col min="27" max="27" width="11.7109375" customWidth="1"/>
    <col min="36" max="36" width="11.7109375" customWidth="1"/>
  </cols>
  <sheetData>
    <row r="1" spans="1:47" s="495" customFormat="1" ht="47.25" customHeight="1">
      <c r="D1" s="493" t="s">
        <v>41</v>
      </c>
      <c r="E1" s="961"/>
      <c r="J1" s="1050" t="s">
        <v>1505</v>
      </c>
      <c r="K1" s="1051"/>
      <c r="L1" s="1051"/>
      <c r="M1" s="1051"/>
      <c r="N1" s="1051"/>
      <c r="O1" s="1052"/>
      <c r="P1" s="1053" t="s">
        <v>2442</v>
      </c>
      <c r="Q1" s="1054"/>
      <c r="R1" s="1055"/>
      <c r="S1" s="1053" t="s">
        <v>2445</v>
      </c>
      <c r="T1" s="1054"/>
      <c r="U1" s="1056"/>
      <c r="V1" s="1057" t="s">
        <v>2434</v>
      </c>
      <c r="W1" s="1058"/>
      <c r="X1" s="1059"/>
      <c r="Y1" s="1060" t="s">
        <v>31</v>
      </c>
      <c r="Z1" s="1061"/>
      <c r="AA1" s="1061"/>
      <c r="AB1" s="1061"/>
      <c r="AC1" s="1061"/>
      <c r="AD1" s="1061"/>
      <c r="AE1" s="1061"/>
      <c r="AF1" s="1061"/>
      <c r="AG1" s="1061"/>
      <c r="AH1" s="1061"/>
      <c r="AI1" s="1062"/>
      <c r="AJ1" s="959"/>
      <c r="AK1" s="1063" t="s">
        <v>2435</v>
      </c>
      <c r="AL1" s="1064"/>
      <c r="AM1" s="494"/>
      <c r="AN1" s="1044" t="s">
        <v>35</v>
      </c>
      <c r="AO1" s="1045"/>
      <c r="AP1" s="1045"/>
      <c r="AQ1" s="1045"/>
      <c r="AR1" s="1046"/>
      <c r="AS1" s="1047" t="s">
        <v>112</v>
      </c>
      <c r="AT1" s="1046"/>
      <c r="AU1" s="1048" t="s">
        <v>51</v>
      </c>
    </row>
    <row r="2" spans="1:47" s="496" customFormat="1" ht="36" customHeight="1">
      <c r="A2" s="497" t="s">
        <v>3</v>
      </c>
      <c r="B2" s="497" t="s">
        <v>46</v>
      </c>
      <c r="C2" s="498" t="s">
        <v>1038</v>
      </c>
      <c r="D2" s="247" t="s">
        <v>108</v>
      </c>
      <c r="E2" s="247" t="s">
        <v>107</v>
      </c>
      <c r="F2" s="492" t="s">
        <v>42</v>
      </c>
      <c r="G2" s="497" t="s">
        <v>1448</v>
      </c>
      <c r="H2" s="497" t="s">
        <v>2436</v>
      </c>
      <c r="I2" s="962" t="s">
        <v>2439</v>
      </c>
      <c r="J2" s="246" t="s">
        <v>13</v>
      </c>
      <c r="K2" s="246" t="s">
        <v>45</v>
      </c>
      <c r="L2" s="250" t="s">
        <v>111</v>
      </c>
      <c r="M2" s="246" t="s">
        <v>67</v>
      </c>
      <c r="N2" s="500" t="s">
        <v>2299</v>
      </c>
      <c r="O2" s="246" t="s">
        <v>115</v>
      </c>
      <c r="P2" s="478" t="s">
        <v>2443</v>
      </c>
      <c r="Q2" s="249" t="s">
        <v>2444</v>
      </c>
      <c r="R2" s="249" t="s">
        <v>50</v>
      </c>
      <c r="S2" s="248" t="s">
        <v>93</v>
      </c>
      <c r="T2" s="248" t="s">
        <v>92</v>
      </c>
      <c r="U2" s="248" t="s">
        <v>91</v>
      </c>
      <c r="V2" s="249" t="s">
        <v>48</v>
      </c>
      <c r="W2" s="249" t="s">
        <v>49</v>
      </c>
      <c r="X2" s="501" t="s">
        <v>2360</v>
      </c>
      <c r="Y2" s="471" t="s">
        <v>38</v>
      </c>
      <c r="Z2" s="471" t="s">
        <v>76</v>
      </c>
      <c r="AA2" s="471" t="s">
        <v>77</v>
      </c>
      <c r="AB2" s="471" t="s">
        <v>82</v>
      </c>
      <c r="AC2" s="471" t="s">
        <v>109</v>
      </c>
      <c r="AD2" s="471" t="s">
        <v>110</v>
      </c>
      <c r="AE2" s="471" t="s">
        <v>81</v>
      </c>
      <c r="AF2" s="471" t="s">
        <v>33</v>
      </c>
      <c r="AG2" s="471" t="s">
        <v>34</v>
      </c>
      <c r="AH2" s="471" t="s">
        <v>32</v>
      </c>
      <c r="AI2" s="472" t="s">
        <v>86</v>
      </c>
      <c r="AJ2" s="960" t="s">
        <v>1557</v>
      </c>
      <c r="AK2" s="477" t="s">
        <v>47</v>
      </c>
      <c r="AL2" s="477" t="s">
        <v>74</v>
      </c>
      <c r="AM2" s="479" t="s">
        <v>0</v>
      </c>
      <c r="AN2" s="480" t="s">
        <v>57</v>
      </c>
      <c r="AO2" s="480" t="s">
        <v>39</v>
      </c>
      <c r="AP2" s="480" t="s">
        <v>40</v>
      </c>
      <c r="AQ2" s="480" t="s">
        <v>37</v>
      </c>
      <c r="AR2" s="480" t="s">
        <v>36</v>
      </c>
      <c r="AS2" s="480" t="s">
        <v>113</v>
      </c>
      <c r="AT2" s="479" t="s">
        <v>114</v>
      </c>
      <c r="AU2" s="1049"/>
    </row>
    <row r="3" spans="1:47" s="252" customFormat="1" ht="14.25" customHeight="1">
      <c r="A3" s="253">
        <v>1</v>
      </c>
      <c r="B3" s="254" t="s">
        <v>1328</v>
      </c>
      <c r="C3" s="254" t="s">
        <v>1286</v>
      </c>
      <c r="D3" s="255">
        <v>40787</v>
      </c>
      <c r="E3" s="255">
        <v>40909</v>
      </c>
      <c r="F3" s="254" t="s">
        <v>1335</v>
      </c>
      <c r="G3" s="252" t="s">
        <v>1450</v>
      </c>
      <c r="H3" s="254" t="s">
        <v>1334</v>
      </c>
      <c r="I3" s="254" t="s">
        <v>2331</v>
      </c>
      <c r="J3" s="256">
        <v>395</v>
      </c>
      <c r="K3" s="256">
        <v>27516</v>
      </c>
      <c r="L3" s="256">
        <v>27516</v>
      </c>
      <c r="M3" s="256">
        <v>27516</v>
      </c>
      <c r="N3" s="256">
        <f t="shared" ref="N3:N34" si="0">M3/J3</f>
        <v>69.660759493670881</v>
      </c>
      <c r="O3" s="257">
        <v>100</v>
      </c>
      <c r="P3" s="256"/>
      <c r="Q3" s="256"/>
      <c r="R3" s="256"/>
      <c r="S3" s="254" t="s">
        <v>233</v>
      </c>
      <c r="T3" s="254"/>
      <c r="U3" s="254"/>
      <c r="V3" s="256">
        <v>927</v>
      </c>
      <c r="W3" s="256">
        <v>927</v>
      </c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4"/>
      <c r="AJ3" s="259">
        <f t="shared" ref="AJ3:AJ34" si="1">SUM(Z3,AA3,AH3)</f>
        <v>0</v>
      </c>
      <c r="AK3" s="257" t="s">
        <v>66</v>
      </c>
      <c r="AL3" s="257" t="s">
        <v>66</v>
      </c>
      <c r="AM3" s="254"/>
      <c r="AN3" s="254"/>
      <c r="AO3" s="254"/>
      <c r="AP3" s="254"/>
      <c r="AQ3" s="254"/>
      <c r="AR3" s="254"/>
      <c r="AS3" s="254"/>
      <c r="AT3" s="254"/>
      <c r="AU3" s="258" t="s">
        <v>1336</v>
      </c>
    </row>
    <row r="4" spans="1:47" s="252" customFormat="1" ht="14.25" customHeight="1">
      <c r="A4" s="260">
        <v>2</v>
      </c>
      <c r="B4" s="261" t="s">
        <v>515</v>
      </c>
      <c r="C4" s="261" t="s">
        <v>1299</v>
      </c>
      <c r="D4" s="262">
        <v>40634</v>
      </c>
      <c r="E4" s="262">
        <v>41030</v>
      </c>
      <c r="F4" s="261" t="s">
        <v>5</v>
      </c>
      <c r="G4" s="252" t="s">
        <v>1451</v>
      </c>
      <c r="H4" s="261" t="s">
        <v>516</v>
      </c>
      <c r="I4" s="254" t="s">
        <v>2331</v>
      </c>
      <c r="J4" s="263">
        <v>695</v>
      </c>
      <c r="K4" s="263">
        <v>29829</v>
      </c>
      <c r="L4" s="257">
        <v>26634</v>
      </c>
      <c r="M4" s="263">
        <v>26634</v>
      </c>
      <c r="N4" s="256">
        <f t="shared" si="0"/>
        <v>38.322302158273381</v>
      </c>
      <c r="O4" s="264">
        <v>100</v>
      </c>
      <c r="P4" s="263"/>
      <c r="Q4" s="263"/>
      <c r="R4" s="263"/>
      <c r="S4" s="264"/>
      <c r="T4" s="264"/>
      <c r="U4" s="264"/>
      <c r="V4" s="263">
        <v>1061</v>
      </c>
      <c r="W4" s="263">
        <v>1061</v>
      </c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4"/>
      <c r="AJ4" s="259">
        <f t="shared" si="1"/>
        <v>0</v>
      </c>
      <c r="AK4" s="263">
        <v>0</v>
      </c>
      <c r="AL4" s="263">
        <v>0</v>
      </c>
      <c r="AM4" s="264"/>
      <c r="AN4" s="264"/>
      <c r="AO4" s="264"/>
      <c r="AP4" s="264"/>
      <c r="AQ4" s="264"/>
      <c r="AR4" s="264"/>
      <c r="AS4" s="264"/>
      <c r="AT4" s="264"/>
      <c r="AU4" s="265" t="s">
        <v>517</v>
      </c>
    </row>
    <row r="5" spans="1:47" s="252" customFormat="1" ht="14.25" customHeight="1">
      <c r="A5" s="260">
        <v>3</v>
      </c>
      <c r="B5" s="266" t="s">
        <v>1641</v>
      </c>
      <c r="C5" s="267" t="s">
        <v>1299</v>
      </c>
      <c r="D5" s="262">
        <v>40544</v>
      </c>
      <c r="E5" s="262">
        <v>40848</v>
      </c>
      <c r="F5" s="261" t="s">
        <v>1359</v>
      </c>
      <c r="G5" s="252" t="s">
        <v>1463</v>
      </c>
      <c r="H5" s="261" t="s">
        <v>1360</v>
      </c>
      <c r="I5" s="254" t="s">
        <v>2331</v>
      </c>
      <c r="J5" s="264">
        <v>910</v>
      </c>
      <c r="K5" s="264">
        <v>39396</v>
      </c>
      <c r="L5" s="268">
        <v>37222</v>
      </c>
      <c r="M5" s="264">
        <v>39396</v>
      </c>
      <c r="N5" s="256">
        <f t="shared" si="0"/>
        <v>43.292307692307695</v>
      </c>
      <c r="O5" s="264">
        <v>94</v>
      </c>
      <c r="P5" s="264"/>
      <c r="Q5" s="264"/>
      <c r="R5" s="264"/>
      <c r="S5" s="264"/>
      <c r="T5" s="264"/>
      <c r="U5" s="264"/>
      <c r="V5" s="264"/>
      <c r="W5" s="263">
        <v>2454</v>
      </c>
      <c r="X5" s="263"/>
      <c r="Y5" s="263"/>
      <c r="Z5" s="263">
        <v>910</v>
      </c>
      <c r="AA5" s="263">
        <v>60000</v>
      </c>
      <c r="AB5" s="263">
        <v>45</v>
      </c>
      <c r="AC5" s="263" t="s">
        <v>2</v>
      </c>
      <c r="AD5" s="263"/>
      <c r="AE5" s="263"/>
      <c r="AF5" s="263"/>
      <c r="AG5" s="263"/>
      <c r="AH5" s="263">
        <v>65</v>
      </c>
      <c r="AI5" s="264"/>
      <c r="AJ5" s="259">
        <f t="shared" si="1"/>
        <v>60975</v>
      </c>
      <c r="AK5" s="264">
        <v>7251</v>
      </c>
      <c r="AL5" s="264">
        <v>4542</v>
      </c>
      <c r="AM5" s="264"/>
      <c r="AN5" s="264"/>
      <c r="AO5" s="264"/>
      <c r="AP5" s="264"/>
      <c r="AQ5" s="264"/>
      <c r="AR5" s="264"/>
      <c r="AS5" s="264"/>
      <c r="AT5" s="264"/>
      <c r="AU5" s="264" t="s">
        <v>1361</v>
      </c>
    </row>
    <row r="6" spans="1:47" s="252" customFormat="1" ht="14.25" customHeight="1">
      <c r="A6" s="260">
        <v>4</v>
      </c>
      <c r="B6" s="259" t="s">
        <v>871</v>
      </c>
      <c r="C6" s="259" t="s">
        <v>1260</v>
      </c>
      <c r="D6" s="351">
        <v>40725</v>
      </c>
      <c r="E6" s="351">
        <v>40909</v>
      </c>
      <c r="F6" s="252" t="s">
        <v>1071</v>
      </c>
      <c r="G6" s="252" t="s">
        <v>1463</v>
      </c>
      <c r="H6" s="252" t="s">
        <v>1072</v>
      </c>
      <c r="I6" s="254" t="s">
        <v>2331</v>
      </c>
      <c r="J6" s="298">
        <v>1000</v>
      </c>
      <c r="K6" s="298">
        <v>25358</v>
      </c>
      <c r="L6" s="298">
        <v>25358</v>
      </c>
      <c r="M6" s="298">
        <v>25358</v>
      </c>
      <c r="N6" s="256">
        <f t="shared" si="0"/>
        <v>25.358000000000001</v>
      </c>
      <c r="O6" s="298">
        <v>100</v>
      </c>
      <c r="P6" s="298" t="s">
        <v>75</v>
      </c>
      <c r="Q6" s="298" t="s">
        <v>75</v>
      </c>
      <c r="R6" s="298" t="s">
        <v>75</v>
      </c>
      <c r="S6" s="298" t="s">
        <v>233</v>
      </c>
      <c r="T6" s="298" t="s">
        <v>75</v>
      </c>
      <c r="U6" s="298" t="s">
        <v>75</v>
      </c>
      <c r="V6" s="298" t="s">
        <v>66</v>
      </c>
      <c r="W6" s="298" t="s">
        <v>66</v>
      </c>
      <c r="X6" s="256"/>
      <c r="Y6" s="298"/>
      <c r="Z6" s="298">
        <v>1000</v>
      </c>
      <c r="AA6" s="298"/>
      <c r="AB6" s="298">
        <v>13</v>
      </c>
      <c r="AC6" s="298"/>
      <c r="AD6" s="256"/>
      <c r="AE6" s="298"/>
      <c r="AF6" s="298"/>
      <c r="AG6" s="298"/>
      <c r="AH6" s="298"/>
      <c r="AI6" s="259"/>
      <c r="AJ6" s="259">
        <f t="shared" si="1"/>
        <v>1000</v>
      </c>
      <c r="AK6" s="298" t="s">
        <v>66</v>
      </c>
      <c r="AL6" s="298" t="s">
        <v>66</v>
      </c>
      <c r="AM6" s="259"/>
      <c r="AN6" s="259"/>
      <c r="AO6" s="259"/>
      <c r="AP6" s="259"/>
      <c r="AQ6" s="259"/>
      <c r="AR6" s="259"/>
      <c r="AS6" s="259"/>
      <c r="AT6" s="259"/>
      <c r="AU6" s="252" t="s">
        <v>1096</v>
      </c>
    </row>
    <row r="7" spans="1:47" s="252" customFormat="1" ht="14.25" customHeight="1">
      <c r="A7" s="260">
        <v>5</v>
      </c>
      <c r="B7" s="259" t="s">
        <v>1147</v>
      </c>
      <c r="C7" s="259" t="s">
        <v>1286</v>
      </c>
      <c r="D7" s="351">
        <v>40664</v>
      </c>
      <c r="E7" s="351">
        <v>40817</v>
      </c>
      <c r="F7" s="252" t="s">
        <v>5</v>
      </c>
      <c r="G7" s="252" t="s">
        <v>1451</v>
      </c>
      <c r="H7" s="252" t="s">
        <v>1162</v>
      </c>
      <c r="I7" s="254" t="s">
        <v>2331</v>
      </c>
      <c r="J7" s="298">
        <v>1000</v>
      </c>
      <c r="K7" s="298">
        <v>36303</v>
      </c>
      <c r="L7" s="298">
        <v>36303</v>
      </c>
      <c r="M7" s="298">
        <v>13132</v>
      </c>
      <c r="N7" s="256">
        <f t="shared" si="0"/>
        <v>13.132</v>
      </c>
      <c r="O7" s="298">
        <v>100</v>
      </c>
      <c r="P7" s="298">
        <v>1000</v>
      </c>
      <c r="Q7" s="298" t="s">
        <v>75</v>
      </c>
      <c r="R7" s="298">
        <v>1000</v>
      </c>
      <c r="S7" s="298" t="s">
        <v>233</v>
      </c>
      <c r="T7" s="298" t="s">
        <v>75</v>
      </c>
      <c r="U7" s="298" t="s">
        <v>75</v>
      </c>
      <c r="V7" s="298">
        <v>13634</v>
      </c>
      <c r="W7" s="298">
        <v>2348</v>
      </c>
      <c r="X7" s="349">
        <f>W7/R7</f>
        <v>2.3479999999999999</v>
      </c>
      <c r="Y7" s="298"/>
      <c r="Z7" s="298"/>
      <c r="AA7" s="298"/>
      <c r="AB7" s="298"/>
      <c r="AC7" s="298"/>
      <c r="AD7" s="256"/>
      <c r="AE7" s="298"/>
      <c r="AF7" s="298"/>
      <c r="AG7" s="298"/>
      <c r="AH7" s="298"/>
      <c r="AI7" s="259"/>
      <c r="AJ7" s="259">
        <f t="shared" si="1"/>
        <v>0</v>
      </c>
      <c r="AK7" s="298" t="s">
        <v>66</v>
      </c>
      <c r="AL7" s="298" t="s">
        <v>66</v>
      </c>
      <c r="AM7" s="259"/>
      <c r="AN7" s="259"/>
      <c r="AO7" s="259"/>
      <c r="AP7" s="259"/>
      <c r="AQ7" s="259"/>
      <c r="AR7" s="259"/>
      <c r="AS7" s="259"/>
      <c r="AT7" s="259"/>
      <c r="AU7" s="252" t="s">
        <v>1300</v>
      </c>
    </row>
    <row r="8" spans="1:47" s="252" customFormat="1" ht="14.25" customHeight="1">
      <c r="A8" s="260">
        <v>6</v>
      </c>
      <c r="B8" s="261" t="s">
        <v>511</v>
      </c>
      <c r="C8" s="261" t="s">
        <v>1260</v>
      </c>
      <c r="D8" s="272">
        <v>40575</v>
      </c>
      <c r="E8" s="262">
        <v>40634</v>
      </c>
      <c r="F8" s="261" t="s">
        <v>512</v>
      </c>
      <c r="G8" s="252" t="s">
        <v>1452</v>
      </c>
      <c r="H8" s="261" t="s">
        <v>513</v>
      </c>
      <c r="I8" s="254" t="s">
        <v>2331</v>
      </c>
      <c r="J8" s="263">
        <v>1000</v>
      </c>
      <c r="K8" s="263">
        <v>83603</v>
      </c>
      <c r="L8" s="257">
        <v>83603</v>
      </c>
      <c r="M8" s="263">
        <v>77151</v>
      </c>
      <c r="N8" s="256">
        <f t="shared" si="0"/>
        <v>77.150999999999996</v>
      </c>
      <c r="O8" s="264">
        <v>100</v>
      </c>
      <c r="P8" s="263"/>
      <c r="Q8" s="263"/>
      <c r="R8" s="263"/>
      <c r="S8" s="264"/>
      <c r="T8" s="264"/>
      <c r="U8" s="264"/>
      <c r="V8" s="263">
        <v>0</v>
      </c>
      <c r="W8" s="263">
        <v>7754</v>
      </c>
      <c r="X8" s="263"/>
      <c r="Y8" s="263">
        <v>1000</v>
      </c>
      <c r="Z8" s="263"/>
      <c r="AA8" s="263"/>
      <c r="AB8" s="263">
        <v>8</v>
      </c>
      <c r="AC8" s="263"/>
      <c r="AD8" s="263"/>
      <c r="AE8" s="263"/>
      <c r="AF8" s="263"/>
      <c r="AG8" s="263"/>
      <c r="AH8" s="263"/>
      <c r="AI8" s="264"/>
      <c r="AJ8" s="259">
        <f t="shared" si="1"/>
        <v>0</v>
      </c>
      <c r="AK8" s="263">
        <v>5000</v>
      </c>
      <c r="AL8" s="263">
        <v>2770</v>
      </c>
      <c r="AM8" s="264"/>
      <c r="AN8" s="264"/>
      <c r="AO8" s="264"/>
      <c r="AP8" s="264"/>
      <c r="AQ8" s="264"/>
      <c r="AR8" s="264"/>
      <c r="AS8" s="264"/>
      <c r="AT8" s="264"/>
      <c r="AU8" s="265" t="s">
        <v>514</v>
      </c>
    </row>
    <row r="9" spans="1:47" s="273" customFormat="1" ht="14.25" customHeight="1">
      <c r="A9" s="260">
        <v>7</v>
      </c>
      <c r="B9" s="261" t="s">
        <v>171</v>
      </c>
      <c r="C9" s="261" t="s">
        <v>1299</v>
      </c>
      <c r="D9" s="262">
        <v>40603</v>
      </c>
      <c r="E9" s="262">
        <v>40634</v>
      </c>
      <c r="F9" s="261" t="s">
        <v>518</v>
      </c>
      <c r="G9" s="273" t="s">
        <v>1461</v>
      </c>
      <c r="H9" s="261" t="s">
        <v>519</v>
      </c>
      <c r="I9" s="254" t="s">
        <v>2331</v>
      </c>
      <c r="J9" s="263">
        <v>1000</v>
      </c>
      <c r="K9" s="263">
        <v>36210</v>
      </c>
      <c r="L9" s="257">
        <v>36210</v>
      </c>
      <c r="M9" s="263">
        <v>35725</v>
      </c>
      <c r="N9" s="256">
        <f t="shared" si="0"/>
        <v>35.725000000000001</v>
      </c>
      <c r="O9" s="264">
        <v>100</v>
      </c>
      <c r="P9" s="263">
        <v>1000</v>
      </c>
      <c r="Q9" s="274"/>
      <c r="R9" s="263">
        <v>1000</v>
      </c>
      <c r="S9" s="264" t="s">
        <v>233</v>
      </c>
      <c r="T9" s="264"/>
      <c r="U9" s="264">
        <v>1000</v>
      </c>
      <c r="V9" s="263">
        <v>3300</v>
      </c>
      <c r="W9" s="263">
        <v>4233</v>
      </c>
      <c r="X9" s="349">
        <f>W9/R9</f>
        <v>4.2329999999999997</v>
      </c>
      <c r="Y9" s="263"/>
      <c r="Z9" s="263"/>
      <c r="AA9" s="263"/>
      <c r="AB9" s="263"/>
      <c r="AC9" s="263"/>
      <c r="AD9" s="263"/>
      <c r="AE9" s="263"/>
      <c r="AF9" s="263"/>
      <c r="AG9" s="263"/>
      <c r="AH9" s="263"/>
      <c r="AI9" s="264"/>
      <c r="AJ9" s="259">
        <f t="shared" si="1"/>
        <v>0</v>
      </c>
      <c r="AK9" s="263">
        <v>4200</v>
      </c>
      <c r="AL9" s="263">
        <v>2499</v>
      </c>
      <c r="AM9" s="264"/>
      <c r="AN9" s="264"/>
      <c r="AO9" s="264"/>
      <c r="AP9" s="264"/>
      <c r="AQ9" s="264"/>
      <c r="AR9" s="264"/>
      <c r="AS9" s="264"/>
      <c r="AT9" s="264"/>
      <c r="AU9" s="265" t="s">
        <v>520</v>
      </c>
    </row>
    <row r="10" spans="1:47" s="252" customFormat="1" ht="14.25" customHeight="1">
      <c r="A10" s="260">
        <v>8</v>
      </c>
      <c r="B10" s="261" t="s">
        <v>161</v>
      </c>
      <c r="C10" s="264" t="s">
        <v>1286</v>
      </c>
      <c r="D10" s="262">
        <v>40817</v>
      </c>
      <c r="E10" s="262">
        <v>40848</v>
      </c>
      <c r="F10" s="261" t="s">
        <v>1305</v>
      </c>
      <c r="G10" s="252" t="s">
        <v>1450</v>
      </c>
      <c r="H10" s="261" t="s">
        <v>1304</v>
      </c>
      <c r="I10" s="254" t="s">
        <v>2331</v>
      </c>
      <c r="J10" s="263">
        <v>1000</v>
      </c>
      <c r="K10" s="263">
        <v>71014</v>
      </c>
      <c r="L10" s="263">
        <v>71014</v>
      </c>
      <c r="M10" s="263">
        <v>71014</v>
      </c>
      <c r="N10" s="256">
        <f t="shared" si="0"/>
        <v>71.013999999999996</v>
      </c>
      <c r="O10" s="257">
        <v>100</v>
      </c>
      <c r="P10" s="263">
        <v>1000</v>
      </c>
      <c r="Q10" s="263" t="s">
        <v>75</v>
      </c>
      <c r="R10" s="263">
        <v>1000</v>
      </c>
      <c r="S10" s="264" t="s">
        <v>233</v>
      </c>
      <c r="T10" s="264"/>
      <c r="U10" s="264">
        <v>1000</v>
      </c>
      <c r="V10" s="263">
        <v>4880</v>
      </c>
      <c r="W10" s="263">
        <v>4880</v>
      </c>
      <c r="X10" s="349">
        <f>W10/R10</f>
        <v>4.88</v>
      </c>
      <c r="Y10" s="263"/>
      <c r="Z10" s="263"/>
      <c r="AA10" s="263">
        <v>1000</v>
      </c>
      <c r="AB10" s="263"/>
      <c r="AC10" s="263" t="s">
        <v>2</v>
      </c>
      <c r="AD10" s="263" t="s">
        <v>2</v>
      </c>
      <c r="AE10" s="263"/>
      <c r="AF10" s="263"/>
      <c r="AG10" s="263"/>
      <c r="AH10" s="263"/>
      <c r="AI10" s="264"/>
      <c r="AJ10" s="259">
        <f t="shared" si="1"/>
        <v>1000</v>
      </c>
      <c r="AK10" s="263">
        <v>2000</v>
      </c>
      <c r="AL10" s="263">
        <v>2000</v>
      </c>
      <c r="AM10" s="264"/>
      <c r="AN10" s="264"/>
      <c r="AO10" s="264"/>
      <c r="AP10" s="264"/>
      <c r="AQ10" s="264"/>
      <c r="AR10" s="264"/>
      <c r="AS10" s="264"/>
      <c r="AT10" s="264"/>
      <c r="AU10" s="275" t="s">
        <v>1303</v>
      </c>
    </row>
    <row r="11" spans="1:47" s="273" customFormat="1" ht="14.25" customHeight="1">
      <c r="A11" s="260">
        <v>9</v>
      </c>
      <c r="B11" s="254" t="s">
        <v>129</v>
      </c>
      <c r="C11" s="254" t="s">
        <v>1278</v>
      </c>
      <c r="D11" s="255">
        <v>40634</v>
      </c>
      <c r="E11" s="255">
        <v>40756</v>
      </c>
      <c r="F11" s="254" t="s">
        <v>623</v>
      </c>
      <c r="G11" s="273" t="s">
        <v>1451</v>
      </c>
      <c r="H11" s="254" t="s">
        <v>1352</v>
      </c>
      <c r="I11" s="254" t="s">
        <v>2331</v>
      </c>
      <c r="J11" s="256">
        <v>1000</v>
      </c>
      <c r="K11" s="256">
        <v>165385</v>
      </c>
      <c r="L11" s="256">
        <v>165385</v>
      </c>
      <c r="M11" s="256">
        <v>165385</v>
      </c>
      <c r="N11" s="256">
        <f t="shared" si="0"/>
        <v>165.38499999999999</v>
      </c>
      <c r="O11" s="257">
        <v>100</v>
      </c>
      <c r="P11" s="256">
        <v>1000</v>
      </c>
      <c r="Q11" s="256">
        <v>1000</v>
      </c>
      <c r="R11" s="256">
        <v>1000</v>
      </c>
      <c r="S11" s="254" t="s">
        <v>233</v>
      </c>
      <c r="T11" s="254" t="s">
        <v>75</v>
      </c>
      <c r="U11" s="254" t="s">
        <v>75</v>
      </c>
      <c r="V11" s="256">
        <v>16500</v>
      </c>
      <c r="W11" s="256">
        <v>16500</v>
      </c>
      <c r="X11" s="349">
        <f>W11/R11</f>
        <v>16.5</v>
      </c>
      <c r="Y11" s="256">
        <v>1000</v>
      </c>
      <c r="Z11" s="256"/>
      <c r="AA11" s="256"/>
      <c r="AB11" s="256"/>
      <c r="AC11" s="256"/>
      <c r="AD11" s="256"/>
      <c r="AE11" s="256"/>
      <c r="AF11" s="256"/>
      <c r="AG11" s="256"/>
      <c r="AH11" s="256"/>
      <c r="AI11" s="254"/>
      <c r="AJ11" s="259">
        <f t="shared" si="1"/>
        <v>0</v>
      </c>
      <c r="AK11" s="256">
        <v>8000</v>
      </c>
      <c r="AL11" s="256">
        <v>8000</v>
      </c>
      <c r="AM11" s="254"/>
      <c r="AN11" s="254"/>
      <c r="AO11" s="254"/>
      <c r="AP11" s="254"/>
      <c r="AQ11" s="254"/>
      <c r="AR11" s="254"/>
      <c r="AS11" s="254"/>
      <c r="AT11" s="254"/>
      <c r="AU11" s="258" t="s">
        <v>1351</v>
      </c>
    </row>
    <row r="12" spans="1:47" s="252" customFormat="1" ht="14.25" customHeight="1">
      <c r="A12" s="260">
        <v>10</v>
      </c>
      <c r="B12" s="261" t="s">
        <v>472</v>
      </c>
      <c r="C12" s="261" t="s">
        <v>1299</v>
      </c>
      <c r="D12" s="262">
        <v>40544</v>
      </c>
      <c r="E12" s="262">
        <v>40634</v>
      </c>
      <c r="F12" s="261" t="s">
        <v>473</v>
      </c>
      <c r="G12" s="252" t="s">
        <v>1457</v>
      </c>
      <c r="H12" s="261" t="s">
        <v>474</v>
      </c>
      <c r="I12" s="254" t="s">
        <v>2331</v>
      </c>
      <c r="J12" s="263">
        <v>1015</v>
      </c>
      <c r="K12" s="263">
        <v>96960</v>
      </c>
      <c r="L12" s="257">
        <v>96857</v>
      </c>
      <c r="M12" s="263">
        <v>96857</v>
      </c>
      <c r="N12" s="256">
        <f t="shared" si="0"/>
        <v>95.425615763546801</v>
      </c>
      <c r="O12" s="264">
        <v>100</v>
      </c>
      <c r="P12" s="263"/>
      <c r="Q12" s="263">
        <v>1015</v>
      </c>
      <c r="R12" s="263">
        <v>1015</v>
      </c>
      <c r="S12" s="264" t="s">
        <v>95</v>
      </c>
      <c r="T12" s="264" t="s">
        <v>475</v>
      </c>
      <c r="U12" s="264">
        <v>1015</v>
      </c>
      <c r="V12" s="263">
        <v>914</v>
      </c>
      <c r="W12" s="263">
        <v>10413</v>
      </c>
      <c r="X12" s="349">
        <f>W12/R12</f>
        <v>10.259113300492611</v>
      </c>
      <c r="Y12" s="263">
        <v>1015</v>
      </c>
      <c r="Z12" s="263"/>
      <c r="AA12" s="263">
        <v>1015</v>
      </c>
      <c r="AB12" s="263">
        <v>77</v>
      </c>
      <c r="AC12" s="263"/>
      <c r="AD12" s="263"/>
      <c r="AE12" s="263">
        <v>609</v>
      </c>
      <c r="AF12" s="263"/>
      <c r="AG12" s="263"/>
      <c r="AH12" s="263"/>
      <c r="AI12" s="264"/>
      <c r="AJ12" s="259">
        <f t="shared" si="1"/>
        <v>1015</v>
      </c>
      <c r="AK12" s="263">
        <v>999</v>
      </c>
      <c r="AL12" s="263">
        <v>1839</v>
      </c>
      <c r="AM12" s="264"/>
      <c r="AN12" s="264"/>
      <c r="AO12" s="264"/>
      <c r="AP12" s="264"/>
      <c r="AQ12" s="264"/>
      <c r="AR12" s="264"/>
      <c r="AS12" s="264">
        <v>1</v>
      </c>
      <c r="AT12" s="264"/>
      <c r="AU12" s="265" t="s">
        <v>476</v>
      </c>
    </row>
    <row r="13" spans="1:47" s="273" customFormat="1" ht="14.25" customHeight="1">
      <c r="A13" s="260">
        <v>11</v>
      </c>
      <c r="B13" s="261" t="s">
        <v>465</v>
      </c>
      <c r="C13" s="261" t="s">
        <v>1260</v>
      </c>
      <c r="D13" s="262">
        <v>40695</v>
      </c>
      <c r="E13" s="262">
        <v>40787</v>
      </c>
      <c r="F13" s="261" t="s">
        <v>5</v>
      </c>
      <c r="G13" s="273" t="s">
        <v>1451</v>
      </c>
      <c r="H13" s="261" t="s">
        <v>1552</v>
      </c>
      <c r="I13" s="254" t="s">
        <v>2331</v>
      </c>
      <c r="J13" s="263">
        <v>1278</v>
      </c>
      <c r="K13" s="263">
        <v>59406</v>
      </c>
      <c r="L13" s="257">
        <v>59406</v>
      </c>
      <c r="M13" s="263">
        <v>59406</v>
      </c>
      <c r="N13" s="256">
        <f t="shared" si="0"/>
        <v>46.483568075117368</v>
      </c>
      <c r="O13" s="264">
        <v>100</v>
      </c>
      <c r="P13" s="263">
        <v>1278</v>
      </c>
      <c r="Q13" s="274"/>
      <c r="R13" s="263">
        <v>1278</v>
      </c>
      <c r="S13" s="264"/>
      <c r="T13" s="264"/>
      <c r="U13" s="264"/>
      <c r="V13" s="263">
        <v>0</v>
      </c>
      <c r="W13" s="263">
        <v>2246</v>
      </c>
      <c r="X13" s="349">
        <f>W13/R13</f>
        <v>1.7574334898278561</v>
      </c>
      <c r="Y13" s="263" t="s">
        <v>75</v>
      </c>
      <c r="Z13" s="263" t="s">
        <v>75</v>
      </c>
      <c r="AA13" s="263" t="s">
        <v>75</v>
      </c>
      <c r="AB13" s="263" t="s">
        <v>75</v>
      </c>
      <c r="AC13" s="263" t="s">
        <v>75</v>
      </c>
      <c r="AD13" s="263" t="s">
        <v>75</v>
      </c>
      <c r="AE13" s="263" t="s">
        <v>75</v>
      </c>
      <c r="AF13" s="263" t="s">
        <v>75</v>
      </c>
      <c r="AG13" s="263" t="s">
        <v>75</v>
      </c>
      <c r="AH13" s="263" t="s">
        <v>75</v>
      </c>
      <c r="AI13" s="264" t="s">
        <v>75</v>
      </c>
      <c r="AJ13" s="259">
        <f t="shared" si="1"/>
        <v>0</v>
      </c>
      <c r="AK13" s="263" t="s">
        <v>75</v>
      </c>
      <c r="AL13" s="263" t="s">
        <v>75</v>
      </c>
      <c r="AM13" s="264"/>
      <c r="AN13" s="264"/>
      <c r="AO13" s="264"/>
      <c r="AP13" s="264"/>
      <c r="AQ13" s="264"/>
      <c r="AR13" s="264"/>
      <c r="AS13" s="264"/>
      <c r="AT13" s="264"/>
      <c r="AU13" s="264" t="s">
        <v>1553</v>
      </c>
    </row>
    <row r="14" spans="1:47" s="252" customFormat="1" ht="14.25" customHeight="1">
      <c r="A14" s="260">
        <v>12</v>
      </c>
      <c r="B14" s="261" t="s">
        <v>469</v>
      </c>
      <c r="C14" s="261" t="s">
        <v>1278</v>
      </c>
      <c r="D14" s="262">
        <v>40664</v>
      </c>
      <c r="E14" s="262">
        <v>40878</v>
      </c>
      <c r="F14" s="261" t="s">
        <v>78</v>
      </c>
      <c r="G14" s="252" t="s">
        <v>1452</v>
      </c>
      <c r="H14" s="261" t="s">
        <v>470</v>
      </c>
      <c r="I14" s="254" t="s">
        <v>2331</v>
      </c>
      <c r="J14" s="263">
        <v>1500</v>
      </c>
      <c r="K14" s="263">
        <v>36849</v>
      </c>
      <c r="L14" s="257">
        <v>36849</v>
      </c>
      <c r="M14" s="263">
        <v>36889</v>
      </c>
      <c r="N14" s="256">
        <f t="shared" si="0"/>
        <v>24.592666666666666</v>
      </c>
      <c r="O14" s="264">
        <v>100</v>
      </c>
      <c r="P14" s="263" t="s">
        <v>75</v>
      </c>
      <c r="Q14" s="263" t="s">
        <v>75</v>
      </c>
      <c r="R14" s="263" t="s">
        <v>75</v>
      </c>
      <c r="S14" s="264" t="s">
        <v>75</v>
      </c>
      <c r="T14" s="264" t="s">
        <v>75</v>
      </c>
      <c r="U14" s="264" t="s">
        <v>75</v>
      </c>
      <c r="V14" s="263" t="s">
        <v>75</v>
      </c>
      <c r="W14" s="263" t="s">
        <v>75</v>
      </c>
      <c r="X14" s="263"/>
      <c r="Y14" s="263"/>
      <c r="Z14" s="263" t="s">
        <v>75</v>
      </c>
      <c r="AA14" s="263">
        <v>1500</v>
      </c>
      <c r="AB14" s="263"/>
      <c r="AC14" s="263"/>
      <c r="AD14" s="263"/>
      <c r="AE14" s="263"/>
      <c r="AF14" s="263"/>
      <c r="AG14" s="263"/>
      <c r="AH14" s="263"/>
      <c r="AI14" s="264"/>
      <c r="AJ14" s="259">
        <f t="shared" si="1"/>
        <v>1500</v>
      </c>
      <c r="AK14" s="263">
        <v>5000</v>
      </c>
      <c r="AL14" s="263">
        <v>5000</v>
      </c>
      <c r="AM14" s="264"/>
      <c r="AN14" s="264"/>
      <c r="AO14" s="264"/>
      <c r="AP14" s="264"/>
      <c r="AQ14" s="264"/>
      <c r="AR14" s="264"/>
      <c r="AS14" s="264"/>
      <c r="AT14" s="264"/>
      <c r="AU14" s="265" t="s">
        <v>471</v>
      </c>
    </row>
    <row r="15" spans="1:47" s="252" customFormat="1" ht="14.25" customHeight="1">
      <c r="A15" s="260">
        <v>13</v>
      </c>
      <c r="B15" s="261" t="s">
        <v>148</v>
      </c>
      <c r="C15" s="261" t="s">
        <v>1299</v>
      </c>
      <c r="D15" s="262">
        <v>40664</v>
      </c>
      <c r="E15" s="262">
        <v>40787</v>
      </c>
      <c r="F15" s="261" t="s">
        <v>922</v>
      </c>
      <c r="G15" s="252" t="s">
        <v>1452</v>
      </c>
      <c r="H15" s="261" t="s">
        <v>921</v>
      </c>
      <c r="I15" s="254" t="s">
        <v>2331</v>
      </c>
      <c r="J15" s="263">
        <v>1500</v>
      </c>
      <c r="K15" s="263">
        <v>99879</v>
      </c>
      <c r="L15" s="263">
        <v>99879</v>
      </c>
      <c r="M15" s="263">
        <v>99879</v>
      </c>
      <c r="N15" s="256">
        <f t="shared" si="0"/>
        <v>66.585999999999999</v>
      </c>
      <c r="O15" s="263">
        <v>100</v>
      </c>
      <c r="P15" s="263" t="s">
        <v>75</v>
      </c>
      <c r="Q15" s="263" t="s">
        <v>75</v>
      </c>
      <c r="R15" s="263" t="s">
        <v>75</v>
      </c>
      <c r="S15" s="264" t="s">
        <v>233</v>
      </c>
      <c r="T15" s="264" t="s">
        <v>75</v>
      </c>
      <c r="U15" s="264" t="s">
        <v>75</v>
      </c>
      <c r="V15" s="263" t="s">
        <v>66</v>
      </c>
      <c r="W15" s="263" t="s">
        <v>66</v>
      </c>
      <c r="X15" s="263"/>
      <c r="Y15" s="263">
        <v>498</v>
      </c>
      <c r="Z15" s="263">
        <v>491</v>
      </c>
      <c r="AA15" s="263" t="s">
        <v>930</v>
      </c>
      <c r="AB15" s="263">
        <v>314</v>
      </c>
      <c r="AC15" s="263" t="s">
        <v>75</v>
      </c>
      <c r="AD15" s="263" t="s">
        <v>75</v>
      </c>
      <c r="AE15" s="263" t="s">
        <v>75</v>
      </c>
      <c r="AF15" s="263" t="s">
        <v>75</v>
      </c>
      <c r="AG15" s="263" t="s">
        <v>75</v>
      </c>
      <c r="AH15" s="263" t="s">
        <v>75</v>
      </c>
      <c r="AI15" s="264" t="s">
        <v>75</v>
      </c>
      <c r="AJ15" s="259">
        <f t="shared" si="1"/>
        <v>491</v>
      </c>
      <c r="AK15" s="263">
        <v>27113</v>
      </c>
      <c r="AL15" s="263">
        <v>27113</v>
      </c>
      <c r="AM15" s="261"/>
      <c r="AN15" s="261"/>
      <c r="AO15" s="261"/>
      <c r="AP15" s="261"/>
      <c r="AQ15" s="261"/>
      <c r="AR15" s="261"/>
      <c r="AS15" s="264" t="s">
        <v>75</v>
      </c>
      <c r="AT15" s="264" t="s">
        <v>75</v>
      </c>
      <c r="AU15" s="276" t="s">
        <v>920</v>
      </c>
    </row>
    <row r="16" spans="1:47" s="252" customFormat="1" ht="15" customHeight="1">
      <c r="A16" s="260">
        <v>14</v>
      </c>
      <c r="B16" s="259" t="s">
        <v>353</v>
      </c>
      <c r="C16" s="259" t="s">
        <v>1299</v>
      </c>
      <c r="D16" s="351">
        <v>40696</v>
      </c>
      <c r="E16" s="351">
        <v>40817</v>
      </c>
      <c r="F16" s="252" t="s">
        <v>1157</v>
      </c>
      <c r="G16" s="252" t="s">
        <v>1453</v>
      </c>
      <c r="H16" s="252" t="s">
        <v>1158</v>
      </c>
      <c r="I16" s="254" t="s">
        <v>2331</v>
      </c>
      <c r="J16" s="298">
        <v>1626</v>
      </c>
      <c r="K16" s="298">
        <v>114935</v>
      </c>
      <c r="L16" s="298">
        <v>114935</v>
      </c>
      <c r="M16" s="298">
        <v>64388</v>
      </c>
      <c r="N16" s="256">
        <f t="shared" si="0"/>
        <v>39.599015990159899</v>
      </c>
      <c r="O16" s="298">
        <v>100</v>
      </c>
      <c r="P16" s="298">
        <v>1626</v>
      </c>
      <c r="Q16" s="298">
        <v>940</v>
      </c>
      <c r="R16" s="298">
        <v>1626</v>
      </c>
      <c r="S16" s="298" t="s">
        <v>233</v>
      </c>
      <c r="T16" s="298">
        <v>30</v>
      </c>
      <c r="U16" s="298">
        <v>13000</v>
      </c>
      <c r="V16" s="298">
        <v>15210</v>
      </c>
      <c r="W16" s="298">
        <v>7156</v>
      </c>
      <c r="X16" s="349">
        <f>W16/R16</f>
        <v>4.4009840098400987</v>
      </c>
      <c r="Y16" s="298"/>
      <c r="Z16" s="298"/>
      <c r="AA16" s="298">
        <v>13000</v>
      </c>
      <c r="AB16" s="298">
        <v>30</v>
      </c>
      <c r="AC16" s="298"/>
      <c r="AD16" s="256"/>
      <c r="AE16" s="298">
        <v>652</v>
      </c>
      <c r="AF16" s="298"/>
      <c r="AG16" s="298"/>
      <c r="AH16" s="298"/>
      <c r="AI16" s="259"/>
      <c r="AJ16" s="259">
        <f t="shared" si="1"/>
        <v>13000</v>
      </c>
      <c r="AK16" s="298" t="s">
        <v>66</v>
      </c>
      <c r="AL16" s="298" t="s">
        <v>66</v>
      </c>
      <c r="AM16" s="259"/>
      <c r="AN16" s="259"/>
      <c r="AO16" s="259"/>
      <c r="AP16" s="259"/>
      <c r="AQ16" s="259"/>
      <c r="AR16" s="259"/>
      <c r="AS16" s="259"/>
      <c r="AT16" s="259"/>
      <c r="AU16" s="277" t="s">
        <v>1156</v>
      </c>
    </row>
    <row r="17" spans="1:47" s="252" customFormat="1" ht="14.25" customHeight="1">
      <c r="A17" s="260">
        <v>15</v>
      </c>
      <c r="B17" s="278" t="s">
        <v>4</v>
      </c>
      <c r="C17" s="261" t="s">
        <v>1260</v>
      </c>
      <c r="D17" s="272">
        <v>40695</v>
      </c>
      <c r="E17" s="272">
        <v>40878</v>
      </c>
      <c r="F17" s="278" t="s">
        <v>5</v>
      </c>
      <c r="G17" s="252" t="s">
        <v>1451</v>
      </c>
      <c r="H17" s="278" t="s">
        <v>1485</v>
      </c>
      <c r="I17" s="254" t="s">
        <v>2331</v>
      </c>
      <c r="J17" s="279">
        <v>1750</v>
      </c>
      <c r="K17" s="279">
        <v>59960</v>
      </c>
      <c r="L17" s="279">
        <v>59960</v>
      </c>
      <c r="M17" s="279">
        <v>59960</v>
      </c>
      <c r="N17" s="256">
        <f t="shared" si="0"/>
        <v>34.262857142857143</v>
      </c>
      <c r="O17" s="280" t="s">
        <v>66</v>
      </c>
      <c r="P17" s="279"/>
      <c r="Q17" s="279"/>
      <c r="R17" s="279"/>
      <c r="S17" s="280"/>
      <c r="T17" s="280"/>
      <c r="U17" s="280"/>
      <c r="V17" s="279">
        <v>0</v>
      </c>
      <c r="W17" s="279">
        <v>5211</v>
      </c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80"/>
      <c r="AJ17" s="259">
        <f t="shared" si="1"/>
        <v>0</v>
      </c>
      <c r="AK17" s="279" t="s">
        <v>66</v>
      </c>
      <c r="AL17" s="279" t="s">
        <v>66</v>
      </c>
      <c r="AM17" s="280"/>
      <c r="AN17" s="280"/>
      <c r="AO17" s="280"/>
      <c r="AP17" s="280"/>
      <c r="AQ17" s="280"/>
      <c r="AR17" s="280"/>
      <c r="AS17" s="280"/>
      <c r="AT17" s="280"/>
      <c r="AU17" s="281" t="s">
        <v>573</v>
      </c>
    </row>
    <row r="18" spans="1:47" s="273" customFormat="1" ht="14.25" customHeight="1">
      <c r="A18" s="260">
        <v>16</v>
      </c>
      <c r="B18" s="261" t="s">
        <v>353</v>
      </c>
      <c r="C18" s="264" t="s">
        <v>1299</v>
      </c>
      <c r="D18" s="262">
        <v>40817</v>
      </c>
      <c r="E18" s="262">
        <v>40940</v>
      </c>
      <c r="F18" s="261" t="s">
        <v>1318</v>
      </c>
      <c r="G18" s="273" t="s">
        <v>1451</v>
      </c>
      <c r="H18" s="261" t="s">
        <v>1319</v>
      </c>
      <c r="I18" s="254" t="s">
        <v>2331</v>
      </c>
      <c r="J18" s="263">
        <v>1765</v>
      </c>
      <c r="K18" s="263">
        <v>166245</v>
      </c>
      <c r="L18" s="263">
        <v>166245</v>
      </c>
      <c r="M18" s="263">
        <v>166245</v>
      </c>
      <c r="N18" s="256">
        <f t="shared" si="0"/>
        <v>94.18980169971671</v>
      </c>
      <c r="O18" s="257" t="s">
        <v>66</v>
      </c>
      <c r="P18" s="263">
        <v>1765</v>
      </c>
      <c r="Q18" s="263">
        <v>1765</v>
      </c>
      <c r="R18" s="263">
        <v>1765</v>
      </c>
      <c r="S18" s="264" t="s">
        <v>233</v>
      </c>
      <c r="T18" s="264">
        <v>85</v>
      </c>
      <c r="U18" s="264">
        <v>1765</v>
      </c>
      <c r="V18" s="263">
        <v>17311</v>
      </c>
      <c r="W18" s="263"/>
      <c r="X18" s="349">
        <f>W18/R18</f>
        <v>0</v>
      </c>
      <c r="Y18" s="263"/>
      <c r="Z18" s="263"/>
      <c r="AA18" s="263"/>
      <c r="AB18" s="263"/>
      <c r="AC18" s="263"/>
      <c r="AD18" s="263"/>
      <c r="AE18" s="263">
        <v>706</v>
      </c>
      <c r="AF18" s="263"/>
      <c r="AG18" s="263"/>
      <c r="AH18" s="263"/>
      <c r="AI18" s="264"/>
      <c r="AJ18" s="259">
        <f t="shared" si="1"/>
        <v>0</v>
      </c>
      <c r="AK18" s="257" t="s">
        <v>66</v>
      </c>
      <c r="AL18" s="257" t="s">
        <v>66</v>
      </c>
      <c r="AM18" s="264"/>
      <c r="AN18" s="264"/>
      <c r="AO18" s="264"/>
      <c r="AP18" s="264"/>
      <c r="AQ18" s="264"/>
      <c r="AR18" s="264"/>
      <c r="AS18" s="264"/>
      <c r="AT18" s="264"/>
      <c r="AU18" s="275" t="s">
        <v>1317</v>
      </c>
    </row>
    <row r="19" spans="1:47" s="252" customFormat="1" ht="14.25" customHeight="1">
      <c r="A19" s="260">
        <v>17</v>
      </c>
      <c r="B19" s="261" t="s">
        <v>153</v>
      </c>
      <c r="C19" s="261" t="s">
        <v>1299</v>
      </c>
      <c r="D19" s="262">
        <v>40664</v>
      </c>
      <c r="E19" s="272">
        <v>40725</v>
      </c>
      <c r="F19" s="261" t="s">
        <v>497</v>
      </c>
      <c r="G19" s="252" t="s">
        <v>1458</v>
      </c>
      <c r="H19" s="261" t="s">
        <v>498</v>
      </c>
      <c r="I19" s="254" t="s">
        <v>2331</v>
      </c>
      <c r="J19" s="263">
        <v>1860</v>
      </c>
      <c r="K19" s="263">
        <v>149759</v>
      </c>
      <c r="L19" s="257">
        <v>149954</v>
      </c>
      <c r="M19" s="263">
        <v>147404</v>
      </c>
      <c r="N19" s="256">
        <f t="shared" si="0"/>
        <v>79.249462365591398</v>
      </c>
      <c r="O19" s="264">
        <v>100</v>
      </c>
      <c r="P19" s="263">
        <v>1760</v>
      </c>
      <c r="Q19" s="263">
        <v>1760</v>
      </c>
      <c r="R19" s="263">
        <v>1760</v>
      </c>
      <c r="S19" s="264" t="s">
        <v>2</v>
      </c>
      <c r="T19" s="264">
        <v>0</v>
      </c>
      <c r="U19" s="264">
        <v>1760</v>
      </c>
      <c r="V19" s="263">
        <v>8700</v>
      </c>
      <c r="W19" s="263">
        <v>8700</v>
      </c>
      <c r="X19" s="349">
        <f>W19/R19</f>
        <v>4.9431818181818183</v>
      </c>
      <c r="Y19" s="263">
        <v>1760</v>
      </c>
      <c r="Z19" s="263"/>
      <c r="AA19" s="263"/>
      <c r="AB19" s="263"/>
      <c r="AC19" s="263"/>
      <c r="AD19" s="263"/>
      <c r="AE19" s="263"/>
      <c r="AF19" s="263"/>
      <c r="AG19" s="263"/>
      <c r="AH19" s="263"/>
      <c r="AI19" s="264"/>
      <c r="AJ19" s="259">
        <f t="shared" si="1"/>
        <v>0</v>
      </c>
      <c r="AK19" s="263">
        <v>0</v>
      </c>
      <c r="AL19" s="263">
        <v>0</v>
      </c>
      <c r="AM19" s="264"/>
      <c r="AN19" s="264"/>
      <c r="AO19" s="264"/>
      <c r="AP19" s="264"/>
      <c r="AQ19" s="264"/>
      <c r="AR19" s="264"/>
      <c r="AS19" s="264"/>
      <c r="AT19" s="264"/>
      <c r="AU19" s="265" t="s">
        <v>499</v>
      </c>
    </row>
    <row r="20" spans="1:47" s="252" customFormat="1" ht="14.25" customHeight="1">
      <c r="A20" s="260">
        <v>18</v>
      </c>
      <c r="B20" s="259" t="s">
        <v>1298</v>
      </c>
      <c r="C20" s="259" t="s">
        <v>1299</v>
      </c>
      <c r="D20" s="351">
        <v>40725</v>
      </c>
      <c r="E20" s="351">
        <v>40817</v>
      </c>
      <c r="F20" s="252" t="s">
        <v>5</v>
      </c>
      <c r="G20" s="252" t="s">
        <v>1451</v>
      </c>
      <c r="H20" s="252" t="s">
        <v>1149</v>
      </c>
      <c r="I20" s="254" t="s">
        <v>2331</v>
      </c>
      <c r="J20" s="298">
        <v>2500</v>
      </c>
      <c r="K20" s="298">
        <v>91510</v>
      </c>
      <c r="L20" s="298">
        <v>91349</v>
      </c>
      <c r="M20" s="298">
        <v>91349</v>
      </c>
      <c r="N20" s="256">
        <f t="shared" si="0"/>
        <v>36.5396</v>
      </c>
      <c r="O20" s="298">
        <v>100</v>
      </c>
      <c r="P20" s="298">
        <v>2500</v>
      </c>
      <c r="Q20" s="298" t="s">
        <v>75</v>
      </c>
      <c r="R20" s="298">
        <v>2500</v>
      </c>
      <c r="S20" s="298" t="s">
        <v>233</v>
      </c>
      <c r="T20" s="298">
        <v>100</v>
      </c>
      <c r="U20" s="298">
        <v>2500</v>
      </c>
      <c r="V20" s="298">
        <v>4500</v>
      </c>
      <c r="W20" s="298">
        <v>10429</v>
      </c>
      <c r="X20" s="349">
        <f>W20/R20</f>
        <v>4.1715999999999998</v>
      </c>
      <c r="Y20" s="298"/>
      <c r="Z20" s="298"/>
      <c r="AA20" s="298">
        <v>2500</v>
      </c>
      <c r="AB20" s="298">
        <v>50</v>
      </c>
      <c r="AC20" s="298"/>
      <c r="AD20" s="256"/>
      <c r="AE20" s="298">
        <v>1000</v>
      </c>
      <c r="AF20" s="298"/>
      <c r="AG20" s="298"/>
      <c r="AH20" s="298"/>
      <c r="AI20" s="259"/>
      <c r="AJ20" s="259">
        <f t="shared" si="1"/>
        <v>2500</v>
      </c>
      <c r="AK20" s="298">
        <v>7500</v>
      </c>
      <c r="AL20" s="298">
        <v>7500</v>
      </c>
      <c r="AM20" s="259"/>
      <c r="AN20" s="259"/>
      <c r="AO20" s="259"/>
      <c r="AP20" s="259"/>
      <c r="AQ20" s="259"/>
      <c r="AR20" s="259"/>
      <c r="AS20" s="259"/>
      <c r="AT20" s="259"/>
      <c r="AU20" s="282" t="s">
        <v>1148</v>
      </c>
    </row>
    <row r="21" spans="1:47" s="284" customFormat="1" ht="14.25" customHeight="1">
      <c r="A21" s="260">
        <v>19</v>
      </c>
      <c r="B21" s="278" t="s">
        <v>14</v>
      </c>
      <c r="C21" s="261" t="s">
        <v>1286</v>
      </c>
      <c r="D21" s="272">
        <v>40664</v>
      </c>
      <c r="E21" s="272">
        <v>40603</v>
      </c>
      <c r="F21" s="278" t="s">
        <v>16</v>
      </c>
      <c r="G21" s="273" t="s">
        <v>1451</v>
      </c>
      <c r="H21" s="278" t="s">
        <v>59</v>
      </c>
      <c r="I21" s="278" t="s">
        <v>2438</v>
      </c>
      <c r="J21" s="279">
        <v>2800</v>
      </c>
      <c r="K21" s="279">
        <v>518725</v>
      </c>
      <c r="L21" s="279">
        <v>450214</v>
      </c>
      <c r="M21" s="279">
        <v>299715</v>
      </c>
      <c r="N21" s="256">
        <f t="shared" si="0"/>
        <v>107.04107142857143</v>
      </c>
      <c r="O21" s="280">
        <v>86</v>
      </c>
      <c r="P21" s="279">
        <v>2500</v>
      </c>
      <c r="Q21" s="283"/>
      <c r="R21" s="279">
        <v>2500</v>
      </c>
      <c r="S21" s="280"/>
      <c r="T21" s="280"/>
      <c r="U21" s="280">
        <v>2500</v>
      </c>
      <c r="V21" s="279">
        <v>37665</v>
      </c>
      <c r="W21" s="279">
        <v>32391.9</v>
      </c>
      <c r="X21" s="349">
        <f>W21/R21</f>
        <v>12.956760000000001</v>
      </c>
      <c r="Y21" s="279"/>
      <c r="Z21" s="279">
        <v>140</v>
      </c>
      <c r="AA21" s="279"/>
      <c r="AB21" s="279"/>
      <c r="AC21" s="279"/>
      <c r="AD21" s="279"/>
      <c r="AE21" s="279"/>
      <c r="AF21" s="279"/>
      <c r="AG21" s="279"/>
      <c r="AH21" s="279"/>
      <c r="AI21" s="280"/>
      <c r="AJ21" s="259">
        <f t="shared" si="1"/>
        <v>140</v>
      </c>
      <c r="AK21" s="279">
        <v>18600</v>
      </c>
      <c r="AL21" s="279">
        <v>15996</v>
      </c>
      <c r="AM21" s="280"/>
      <c r="AN21" s="280"/>
      <c r="AO21" s="280"/>
      <c r="AP21" s="280"/>
      <c r="AQ21" s="280"/>
      <c r="AR21" s="280"/>
      <c r="AS21" s="280"/>
      <c r="AT21" s="280"/>
      <c r="AU21" s="281" t="s">
        <v>71</v>
      </c>
    </row>
    <row r="22" spans="1:47" s="285" customFormat="1" ht="14.25" customHeight="1">
      <c r="A22" s="260">
        <v>20</v>
      </c>
      <c r="B22" s="254" t="s">
        <v>1040</v>
      </c>
      <c r="C22" s="254" t="s">
        <v>1286</v>
      </c>
      <c r="D22" s="255">
        <v>40848</v>
      </c>
      <c r="E22" s="255">
        <v>40909</v>
      </c>
      <c r="F22" s="254" t="s">
        <v>1332</v>
      </c>
      <c r="G22" s="252" t="s">
        <v>1450</v>
      </c>
      <c r="H22" s="254" t="s">
        <v>1346</v>
      </c>
      <c r="I22" s="254" t="s">
        <v>2331</v>
      </c>
      <c r="J22" s="256">
        <v>4000</v>
      </c>
      <c r="K22" s="256">
        <v>220262</v>
      </c>
      <c r="L22" s="256">
        <v>220262</v>
      </c>
      <c r="M22" s="256">
        <v>220262</v>
      </c>
      <c r="N22" s="256">
        <f t="shared" si="0"/>
        <v>55.0655</v>
      </c>
      <c r="O22" s="257" t="s">
        <v>66</v>
      </c>
      <c r="P22" s="256">
        <v>4000</v>
      </c>
      <c r="Q22" s="256" t="s">
        <v>75</v>
      </c>
      <c r="R22" s="256">
        <v>4000</v>
      </c>
      <c r="S22" s="254" t="s">
        <v>233</v>
      </c>
      <c r="T22" s="254" t="s">
        <v>134</v>
      </c>
      <c r="U22" s="254">
        <v>400</v>
      </c>
      <c r="V22" s="256"/>
      <c r="W22" s="256"/>
      <c r="X22" s="349">
        <f>W22/R22</f>
        <v>0</v>
      </c>
      <c r="Y22" s="256"/>
      <c r="Z22" s="256">
        <v>400</v>
      </c>
      <c r="AA22" s="256"/>
      <c r="AB22" s="256">
        <v>92</v>
      </c>
      <c r="AC22" s="256"/>
      <c r="AD22" s="256" t="s">
        <v>2</v>
      </c>
      <c r="AE22" s="256">
        <v>1000</v>
      </c>
      <c r="AF22" s="256"/>
      <c r="AG22" s="256"/>
      <c r="AH22" s="256"/>
      <c r="AI22" s="254"/>
      <c r="AJ22" s="259">
        <f t="shared" si="1"/>
        <v>400</v>
      </c>
      <c r="AK22" s="256"/>
      <c r="AL22" s="256"/>
      <c r="AM22" s="254"/>
      <c r="AN22" s="254"/>
      <c r="AO22" s="254"/>
      <c r="AP22" s="254"/>
      <c r="AQ22" s="254"/>
      <c r="AR22" s="254"/>
      <c r="AS22" s="254"/>
      <c r="AT22" s="254"/>
      <c r="AU22" s="254" t="s">
        <v>1345</v>
      </c>
    </row>
    <row r="23" spans="1:47" s="285" customFormat="1" ht="14.25" customHeight="1">
      <c r="A23" s="260">
        <v>21</v>
      </c>
      <c r="B23" s="254" t="s">
        <v>248</v>
      </c>
      <c r="C23" s="254" t="s">
        <v>1299</v>
      </c>
      <c r="D23" s="255">
        <v>40878</v>
      </c>
      <c r="E23" s="255">
        <v>40969</v>
      </c>
      <c r="F23" s="254" t="s">
        <v>116</v>
      </c>
      <c r="G23" s="252" t="s">
        <v>1452</v>
      </c>
      <c r="H23" s="254" t="s">
        <v>1423</v>
      </c>
      <c r="I23" s="254" t="s">
        <v>2331</v>
      </c>
      <c r="J23" s="256">
        <v>4000</v>
      </c>
      <c r="K23" s="256">
        <v>166428</v>
      </c>
      <c r="L23" s="286">
        <v>166428</v>
      </c>
      <c r="M23" s="256">
        <v>166428</v>
      </c>
      <c r="N23" s="256">
        <f t="shared" si="0"/>
        <v>41.606999999999999</v>
      </c>
      <c r="O23" s="256"/>
      <c r="P23" s="256"/>
      <c r="Q23" s="256"/>
      <c r="R23" s="256"/>
      <c r="S23" s="254"/>
      <c r="T23" s="254"/>
      <c r="U23" s="254"/>
      <c r="V23" s="256"/>
      <c r="W23" s="256"/>
      <c r="X23" s="256"/>
      <c r="Y23" s="256"/>
      <c r="Z23" s="256"/>
      <c r="AA23" s="256">
        <v>25000</v>
      </c>
      <c r="AB23" s="256"/>
      <c r="AC23" s="256"/>
      <c r="AD23" s="256"/>
      <c r="AE23" s="256"/>
      <c r="AF23" s="256"/>
      <c r="AG23" s="256"/>
      <c r="AH23" s="256"/>
      <c r="AI23" s="254"/>
      <c r="AJ23" s="259">
        <f t="shared" si="1"/>
        <v>25000</v>
      </c>
      <c r="AK23" s="256"/>
      <c r="AL23" s="256"/>
      <c r="AM23" s="254" t="s">
        <v>1424</v>
      </c>
      <c r="AN23" s="254"/>
      <c r="AO23" s="254"/>
      <c r="AP23" s="254"/>
      <c r="AQ23" s="254"/>
      <c r="AR23" s="254"/>
      <c r="AS23" s="254"/>
      <c r="AT23" s="254"/>
      <c r="AU23" s="254" t="s">
        <v>1425</v>
      </c>
    </row>
    <row r="24" spans="1:47" s="287" customFormat="1" ht="14.25" customHeight="1">
      <c r="A24" s="260">
        <v>22</v>
      </c>
      <c r="B24" s="259" t="s">
        <v>1093</v>
      </c>
      <c r="C24" s="259" t="s">
        <v>1261</v>
      </c>
      <c r="D24" s="351">
        <v>40725</v>
      </c>
      <c r="E24" s="351">
        <v>40909</v>
      </c>
      <c r="F24" s="252" t="s">
        <v>5</v>
      </c>
      <c r="G24" s="252" t="s">
        <v>1451</v>
      </c>
      <c r="H24" s="252" t="s">
        <v>1095</v>
      </c>
      <c r="I24" s="254" t="s">
        <v>2331</v>
      </c>
      <c r="J24" s="298">
        <v>5000</v>
      </c>
      <c r="K24" s="298">
        <v>329788</v>
      </c>
      <c r="L24" s="298">
        <v>329788</v>
      </c>
      <c r="M24" s="298">
        <v>297587</v>
      </c>
      <c r="N24" s="256">
        <f t="shared" si="0"/>
        <v>59.517400000000002</v>
      </c>
      <c r="O24" s="263">
        <v>100</v>
      </c>
      <c r="P24" s="298">
        <v>1730</v>
      </c>
      <c r="Q24" s="298" t="s">
        <v>75</v>
      </c>
      <c r="R24" s="298">
        <v>1730</v>
      </c>
      <c r="S24" s="298" t="s">
        <v>233</v>
      </c>
      <c r="T24" s="298"/>
      <c r="U24" s="298">
        <v>23655</v>
      </c>
      <c r="V24" s="298">
        <v>12000</v>
      </c>
      <c r="W24" s="298">
        <v>9731</v>
      </c>
      <c r="X24" s="349">
        <f>W24/R24</f>
        <v>5.6248554913294795</v>
      </c>
      <c r="Y24" s="298"/>
      <c r="Z24" s="298"/>
      <c r="AA24" s="298">
        <v>23655</v>
      </c>
      <c r="AB24" s="298"/>
      <c r="AC24" s="298"/>
      <c r="AD24" s="256"/>
      <c r="AE24" s="298"/>
      <c r="AF24" s="298"/>
      <c r="AG24" s="298"/>
      <c r="AH24" s="298"/>
      <c r="AI24" s="259"/>
      <c r="AJ24" s="259">
        <f t="shared" si="1"/>
        <v>23655</v>
      </c>
      <c r="AK24" s="298">
        <v>4500</v>
      </c>
      <c r="AL24" s="298">
        <v>1492</v>
      </c>
      <c r="AM24" s="259"/>
      <c r="AN24" s="259"/>
      <c r="AO24" s="259"/>
      <c r="AP24" s="259"/>
      <c r="AQ24" s="259"/>
      <c r="AR24" s="259"/>
      <c r="AS24" s="259" t="s">
        <v>1287</v>
      </c>
      <c r="AT24" s="259"/>
      <c r="AU24" s="277" t="s">
        <v>1094</v>
      </c>
    </row>
    <row r="25" spans="1:47" s="287" customFormat="1" ht="14.25" customHeight="1">
      <c r="A25" s="260">
        <v>23</v>
      </c>
      <c r="B25" s="261" t="s">
        <v>160</v>
      </c>
      <c r="C25" s="261" t="s">
        <v>1278</v>
      </c>
      <c r="D25" s="262">
        <v>40544</v>
      </c>
      <c r="E25" s="262">
        <v>40664</v>
      </c>
      <c r="F25" s="261" t="s">
        <v>508</v>
      </c>
      <c r="G25" s="252" t="s">
        <v>1452</v>
      </c>
      <c r="H25" s="261" t="s">
        <v>509</v>
      </c>
      <c r="I25" s="254" t="s">
        <v>2331</v>
      </c>
      <c r="J25" s="263">
        <v>5000</v>
      </c>
      <c r="K25" s="263">
        <v>150000</v>
      </c>
      <c r="L25" s="257">
        <v>150000</v>
      </c>
      <c r="M25" s="263">
        <v>94430</v>
      </c>
      <c r="N25" s="256">
        <f t="shared" si="0"/>
        <v>18.885999999999999</v>
      </c>
      <c r="O25" s="264">
        <v>100</v>
      </c>
      <c r="P25" s="263" t="s">
        <v>75</v>
      </c>
      <c r="Q25" s="263" t="s">
        <v>75</v>
      </c>
      <c r="R25" s="263" t="s">
        <v>75</v>
      </c>
      <c r="S25" s="264" t="s">
        <v>75</v>
      </c>
      <c r="T25" s="264" t="s">
        <v>75</v>
      </c>
      <c r="U25" s="264" t="s">
        <v>75</v>
      </c>
      <c r="V25" s="263" t="s">
        <v>75</v>
      </c>
      <c r="W25" s="263" t="s">
        <v>75</v>
      </c>
      <c r="X25" s="263"/>
      <c r="Y25" s="263"/>
      <c r="Z25" s="263"/>
      <c r="AA25" s="263"/>
      <c r="AB25" s="263">
        <v>25</v>
      </c>
      <c r="AC25" s="263"/>
      <c r="AD25" s="263"/>
      <c r="AE25" s="263"/>
      <c r="AF25" s="263"/>
      <c r="AG25" s="263"/>
      <c r="AH25" s="263"/>
      <c r="AI25" s="264"/>
      <c r="AJ25" s="259">
        <f t="shared" si="1"/>
        <v>0</v>
      </c>
      <c r="AK25" s="263">
        <v>19500</v>
      </c>
      <c r="AL25" s="263">
        <v>19500</v>
      </c>
      <c r="AM25" s="264"/>
      <c r="AN25" s="264"/>
      <c r="AO25" s="264">
        <v>1</v>
      </c>
      <c r="AP25" s="264"/>
      <c r="AQ25" s="264"/>
      <c r="AR25" s="264"/>
      <c r="AS25" s="264"/>
      <c r="AT25" s="264"/>
      <c r="AU25" s="265" t="s">
        <v>510</v>
      </c>
    </row>
    <row r="26" spans="1:47" s="287" customFormat="1" ht="14.25" customHeight="1">
      <c r="A26" s="260">
        <v>24</v>
      </c>
      <c r="B26" s="261" t="s">
        <v>1295</v>
      </c>
      <c r="C26" s="261" t="s">
        <v>1286</v>
      </c>
      <c r="D26" s="262">
        <v>40756</v>
      </c>
      <c r="E26" s="262">
        <v>40848</v>
      </c>
      <c r="F26" s="261" t="s">
        <v>1322</v>
      </c>
      <c r="G26" s="273" t="s">
        <v>1453</v>
      </c>
      <c r="H26" s="261" t="s">
        <v>1324</v>
      </c>
      <c r="I26" s="254" t="s">
        <v>2331</v>
      </c>
      <c r="J26" s="263">
        <v>5000</v>
      </c>
      <c r="K26" s="263">
        <v>146890</v>
      </c>
      <c r="L26" s="263">
        <v>146890</v>
      </c>
      <c r="M26" s="263">
        <v>146890</v>
      </c>
      <c r="N26" s="256">
        <f t="shared" si="0"/>
        <v>29.378</v>
      </c>
      <c r="O26" s="257">
        <v>100</v>
      </c>
      <c r="P26" s="263"/>
      <c r="Q26" s="263"/>
      <c r="R26" s="263"/>
      <c r="S26" s="254" t="s">
        <v>233</v>
      </c>
      <c r="T26" s="261"/>
      <c r="U26" s="261"/>
      <c r="V26" s="263">
        <v>36696</v>
      </c>
      <c r="W26" s="263">
        <v>36696</v>
      </c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1"/>
      <c r="AJ26" s="259">
        <f t="shared" si="1"/>
        <v>0</v>
      </c>
      <c r="AK26" s="257" t="s">
        <v>66</v>
      </c>
      <c r="AL26" s="257" t="s">
        <v>66</v>
      </c>
      <c r="AM26" s="261"/>
      <c r="AN26" s="261"/>
      <c r="AO26" s="261"/>
      <c r="AP26" s="261"/>
      <c r="AQ26" s="261"/>
      <c r="AR26" s="261"/>
      <c r="AS26" s="261"/>
      <c r="AT26" s="261"/>
      <c r="AU26" s="261" t="s">
        <v>1323</v>
      </c>
    </row>
    <row r="27" spans="1:47" s="287" customFormat="1" ht="14.25" customHeight="1">
      <c r="A27" s="260">
        <v>25</v>
      </c>
      <c r="B27" s="254" t="s">
        <v>19</v>
      </c>
      <c r="C27" s="254" t="s">
        <v>1286</v>
      </c>
      <c r="D27" s="255">
        <v>40787</v>
      </c>
      <c r="E27" s="255">
        <v>41244</v>
      </c>
      <c r="F27" s="254" t="s">
        <v>5</v>
      </c>
      <c r="G27" s="252" t="s">
        <v>1451</v>
      </c>
      <c r="H27" s="254" t="s">
        <v>1339</v>
      </c>
      <c r="I27" s="254" t="s">
        <v>2331</v>
      </c>
      <c r="J27" s="256">
        <v>5000</v>
      </c>
      <c r="K27" s="256">
        <v>81845</v>
      </c>
      <c r="L27" s="256">
        <v>81845</v>
      </c>
      <c r="M27" s="256">
        <v>81845</v>
      </c>
      <c r="N27" s="256">
        <f t="shared" si="0"/>
        <v>16.369</v>
      </c>
      <c r="O27" s="257">
        <v>100</v>
      </c>
      <c r="P27" s="256">
        <v>5000</v>
      </c>
      <c r="Q27" s="256" t="s">
        <v>75</v>
      </c>
      <c r="R27" s="254">
        <v>5000</v>
      </c>
      <c r="S27" s="254" t="s">
        <v>233</v>
      </c>
      <c r="T27" s="254" t="s">
        <v>134</v>
      </c>
      <c r="U27" s="254">
        <v>5000</v>
      </c>
      <c r="V27" s="257">
        <v>44000</v>
      </c>
      <c r="W27" s="257">
        <v>44000</v>
      </c>
      <c r="X27" s="349">
        <f>W27/R27</f>
        <v>8.8000000000000007</v>
      </c>
      <c r="Y27" s="256"/>
      <c r="Z27" s="256"/>
      <c r="AA27" s="256">
        <v>5000</v>
      </c>
      <c r="AB27" s="256"/>
      <c r="AC27" s="256"/>
      <c r="AD27" s="256"/>
      <c r="AE27" s="256">
        <v>300</v>
      </c>
      <c r="AF27" s="256"/>
      <c r="AG27" s="256"/>
      <c r="AH27" s="256"/>
      <c r="AI27" s="254"/>
      <c r="AJ27" s="259">
        <f t="shared" si="1"/>
        <v>5000</v>
      </c>
      <c r="AK27" s="257">
        <v>5000</v>
      </c>
      <c r="AL27" s="257">
        <v>5000</v>
      </c>
      <c r="AM27" s="254"/>
      <c r="AN27" s="254"/>
      <c r="AO27" s="254"/>
      <c r="AP27" s="254"/>
      <c r="AQ27" s="254"/>
      <c r="AR27" s="254"/>
      <c r="AS27" s="254"/>
      <c r="AT27" s="254"/>
      <c r="AU27" s="254" t="s">
        <v>1340</v>
      </c>
    </row>
    <row r="28" spans="1:47" s="287" customFormat="1" ht="14.25" customHeight="1">
      <c r="A28" s="260">
        <v>26</v>
      </c>
      <c r="B28" s="254" t="s">
        <v>373</v>
      </c>
      <c r="C28" s="254" t="s">
        <v>1261</v>
      </c>
      <c r="D28" s="255">
        <v>40817</v>
      </c>
      <c r="E28" s="255">
        <v>40878</v>
      </c>
      <c r="F28" s="254" t="s">
        <v>1338</v>
      </c>
      <c r="G28" s="252" t="s">
        <v>1454</v>
      </c>
      <c r="H28" s="254" t="s">
        <v>1350</v>
      </c>
      <c r="I28" s="254" t="s">
        <v>2331</v>
      </c>
      <c r="J28" s="256">
        <v>5000</v>
      </c>
      <c r="K28" s="256">
        <v>97137</v>
      </c>
      <c r="L28" s="256">
        <v>97137</v>
      </c>
      <c r="M28" s="256">
        <v>97137</v>
      </c>
      <c r="N28" s="256">
        <f t="shared" si="0"/>
        <v>19.427399999999999</v>
      </c>
      <c r="O28" s="257" t="s">
        <v>66</v>
      </c>
      <c r="P28" s="256">
        <v>300</v>
      </c>
      <c r="Q28" s="256" t="s">
        <v>75</v>
      </c>
      <c r="R28" s="256">
        <v>300</v>
      </c>
      <c r="S28" s="254" t="s">
        <v>233</v>
      </c>
      <c r="T28" s="254" t="s">
        <v>266</v>
      </c>
      <c r="U28" s="254" t="s">
        <v>266</v>
      </c>
      <c r="V28" s="256"/>
      <c r="W28" s="256"/>
      <c r="X28" s="349">
        <f>W28/R28</f>
        <v>0</v>
      </c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4"/>
      <c r="AJ28" s="259">
        <f t="shared" si="1"/>
        <v>0</v>
      </c>
      <c r="AK28" s="256"/>
      <c r="AL28" s="256"/>
      <c r="AM28" s="254"/>
      <c r="AN28" s="254"/>
      <c r="AO28" s="254"/>
      <c r="AP28" s="254"/>
      <c r="AQ28" s="254"/>
      <c r="AR28" s="254"/>
      <c r="AS28" s="254"/>
      <c r="AT28" s="254"/>
      <c r="AU28" s="254" t="s">
        <v>1349</v>
      </c>
    </row>
    <row r="29" spans="1:47" s="287" customFormat="1" ht="14.25" customHeight="1">
      <c r="A29" s="260">
        <v>27</v>
      </c>
      <c r="B29" s="254" t="s">
        <v>933</v>
      </c>
      <c r="C29" s="288" t="s">
        <v>1286</v>
      </c>
      <c r="D29" s="255">
        <v>40817</v>
      </c>
      <c r="E29" s="255">
        <v>40909</v>
      </c>
      <c r="F29" s="254" t="s">
        <v>5</v>
      </c>
      <c r="G29" s="252" t="s">
        <v>1451</v>
      </c>
      <c r="H29" s="254" t="s">
        <v>1377</v>
      </c>
      <c r="I29" s="254" t="s">
        <v>2331</v>
      </c>
      <c r="J29" s="288">
        <v>5000</v>
      </c>
      <c r="K29" s="288">
        <v>235352</v>
      </c>
      <c r="L29" s="289">
        <v>235352</v>
      </c>
      <c r="M29" s="288">
        <v>235352</v>
      </c>
      <c r="N29" s="256">
        <f t="shared" si="0"/>
        <v>47.070399999999999</v>
      </c>
      <c r="O29" s="288"/>
      <c r="P29" s="288"/>
      <c r="Q29" s="288"/>
      <c r="R29" s="288"/>
      <c r="S29" s="288"/>
      <c r="T29" s="288"/>
      <c r="U29" s="288"/>
      <c r="V29" s="288"/>
      <c r="W29" s="288"/>
      <c r="X29" s="288"/>
      <c r="Y29" s="256"/>
      <c r="Z29" s="256"/>
      <c r="AA29" s="256">
        <v>5000</v>
      </c>
      <c r="AB29" s="256">
        <v>250</v>
      </c>
      <c r="AC29" s="256"/>
      <c r="AD29" s="256"/>
      <c r="AE29" s="256">
        <v>3000</v>
      </c>
      <c r="AF29" s="256"/>
      <c r="AG29" s="256"/>
      <c r="AH29" s="256"/>
      <c r="AI29" s="288"/>
      <c r="AJ29" s="259">
        <f t="shared" si="1"/>
        <v>5000</v>
      </c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 t="s">
        <v>1378</v>
      </c>
    </row>
    <row r="30" spans="1:47" s="287" customFormat="1" ht="14.25" customHeight="1">
      <c r="A30" s="260">
        <v>28</v>
      </c>
      <c r="B30" s="254" t="s">
        <v>248</v>
      </c>
      <c r="C30" s="254" t="s">
        <v>1299</v>
      </c>
      <c r="D30" s="255">
        <v>40756</v>
      </c>
      <c r="E30" s="255">
        <v>40817</v>
      </c>
      <c r="F30" s="254" t="s">
        <v>1418</v>
      </c>
      <c r="G30" s="273" t="s">
        <v>1451</v>
      </c>
      <c r="H30" s="254" t="s">
        <v>1419</v>
      </c>
      <c r="I30" s="254" t="s">
        <v>2331</v>
      </c>
      <c r="J30" s="256">
        <v>5000</v>
      </c>
      <c r="K30" s="256">
        <v>192662</v>
      </c>
      <c r="L30" s="286">
        <v>192662</v>
      </c>
      <c r="M30" s="256">
        <v>192662</v>
      </c>
      <c r="N30" s="256">
        <f t="shared" si="0"/>
        <v>38.532400000000003</v>
      </c>
      <c r="O30" s="256"/>
      <c r="P30" s="256">
        <v>5000</v>
      </c>
      <c r="Q30" s="256">
        <v>400</v>
      </c>
      <c r="R30" s="256">
        <v>5000</v>
      </c>
      <c r="S30" s="254" t="s">
        <v>2</v>
      </c>
      <c r="T30" s="254">
        <v>30</v>
      </c>
      <c r="U30" s="254">
        <v>5000</v>
      </c>
      <c r="V30" s="256"/>
      <c r="W30" s="256"/>
      <c r="X30" s="349">
        <f>W30/R30</f>
        <v>0</v>
      </c>
      <c r="Y30" s="256"/>
      <c r="Z30" s="256"/>
      <c r="AA30" s="256">
        <v>5000</v>
      </c>
      <c r="AB30" s="256"/>
      <c r="AC30" s="256"/>
      <c r="AD30" s="256"/>
      <c r="AE30" s="256">
        <v>2000</v>
      </c>
      <c r="AF30" s="256"/>
      <c r="AG30" s="256"/>
      <c r="AH30" s="256"/>
      <c r="AI30" s="254"/>
      <c r="AJ30" s="259">
        <f t="shared" si="1"/>
        <v>5000</v>
      </c>
      <c r="AK30" s="256"/>
      <c r="AL30" s="256"/>
      <c r="AM30" s="254"/>
      <c r="AN30" s="254"/>
      <c r="AO30" s="254"/>
      <c r="AP30" s="254"/>
      <c r="AQ30" s="254"/>
      <c r="AR30" s="254"/>
      <c r="AS30" s="254"/>
      <c r="AT30" s="254"/>
      <c r="AU30" s="258" t="s">
        <v>1420</v>
      </c>
    </row>
    <row r="31" spans="1:47" s="287" customFormat="1" ht="14.25" customHeight="1">
      <c r="A31" s="260">
        <v>29</v>
      </c>
      <c r="B31" s="254" t="s">
        <v>871</v>
      </c>
      <c r="C31" s="254" t="s">
        <v>1260</v>
      </c>
      <c r="D31" s="375">
        <v>40787</v>
      </c>
      <c r="E31" s="375">
        <v>40878</v>
      </c>
      <c r="F31" s="273" t="s">
        <v>5</v>
      </c>
      <c r="G31" s="273" t="s">
        <v>1451</v>
      </c>
      <c r="H31" s="285" t="s">
        <v>1480</v>
      </c>
      <c r="I31" s="254" t="s">
        <v>2331</v>
      </c>
      <c r="J31" s="298">
        <v>5174</v>
      </c>
      <c r="K31" s="490">
        <v>77905</v>
      </c>
      <c r="L31" s="490">
        <v>77905</v>
      </c>
      <c r="M31" s="490">
        <v>77905</v>
      </c>
      <c r="N31" s="256">
        <f t="shared" si="0"/>
        <v>15.057015848473135</v>
      </c>
      <c r="O31" s="491">
        <v>100</v>
      </c>
      <c r="P31" s="298"/>
      <c r="Q31" s="298"/>
      <c r="R31" s="298"/>
      <c r="S31" s="490"/>
      <c r="T31" s="490"/>
      <c r="U31" s="490"/>
      <c r="V31" s="490">
        <v>0</v>
      </c>
      <c r="W31" s="490">
        <v>19209</v>
      </c>
      <c r="X31" s="491"/>
      <c r="Y31" s="490"/>
      <c r="Z31" s="490"/>
      <c r="AA31" s="490"/>
      <c r="AB31" s="490"/>
      <c r="AC31" s="490"/>
      <c r="AD31" s="491"/>
      <c r="AE31" s="490"/>
      <c r="AF31" s="490"/>
      <c r="AG31" s="490"/>
      <c r="AH31" s="490"/>
      <c r="AI31" s="374"/>
      <c r="AJ31" s="259">
        <f t="shared" si="1"/>
        <v>0</v>
      </c>
      <c r="AK31" s="491" t="s">
        <v>66</v>
      </c>
      <c r="AL31" s="491" t="s">
        <v>66</v>
      </c>
      <c r="AM31" s="374"/>
      <c r="AN31" s="374"/>
      <c r="AO31" s="374"/>
      <c r="AP31" s="374"/>
      <c r="AQ31" s="374"/>
      <c r="AR31" s="374"/>
      <c r="AS31" s="374"/>
      <c r="AT31" s="374"/>
      <c r="AU31" s="285" t="s">
        <v>1479</v>
      </c>
    </row>
    <row r="32" spans="1:47" s="287" customFormat="1" ht="14.25" customHeight="1">
      <c r="A32" s="260">
        <v>30</v>
      </c>
      <c r="B32" s="261" t="s">
        <v>98</v>
      </c>
      <c r="C32" s="264" t="s">
        <v>1299</v>
      </c>
      <c r="D32" s="262">
        <v>40878</v>
      </c>
      <c r="E32" s="262">
        <v>40969</v>
      </c>
      <c r="F32" s="261" t="s">
        <v>1216</v>
      </c>
      <c r="G32" s="273" t="s">
        <v>1452</v>
      </c>
      <c r="H32" s="261" t="s">
        <v>1301</v>
      </c>
      <c r="I32" s="254" t="s">
        <v>2331</v>
      </c>
      <c r="J32" s="263">
        <v>5500</v>
      </c>
      <c r="K32" s="263">
        <v>3952739</v>
      </c>
      <c r="L32" s="263">
        <v>113532</v>
      </c>
      <c r="M32" s="274">
        <v>113532</v>
      </c>
      <c r="N32" s="256">
        <f t="shared" si="0"/>
        <v>20.642181818181818</v>
      </c>
      <c r="O32" s="257" t="s">
        <v>66</v>
      </c>
      <c r="P32" s="263"/>
      <c r="Q32" s="263"/>
      <c r="R32" s="263"/>
      <c r="S32" s="264" t="s">
        <v>233</v>
      </c>
      <c r="T32" s="264"/>
      <c r="U32" s="264">
        <v>5500</v>
      </c>
      <c r="V32" s="263">
        <v>20400</v>
      </c>
      <c r="W32" s="274">
        <v>20400</v>
      </c>
      <c r="X32" s="274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4"/>
      <c r="AJ32" s="254">
        <f t="shared" si="1"/>
        <v>0</v>
      </c>
      <c r="AK32" s="263">
        <v>1875</v>
      </c>
      <c r="AL32" s="274">
        <v>1875</v>
      </c>
      <c r="AM32" s="264"/>
      <c r="AN32" s="264"/>
      <c r="AO32" s="264"/>
      <c r="AP32" s="264"/>
      <c r="AQ32" s="264"/>
      <c r="AR32" s="264"/>
      <c r="AS32" s="261" t="s">
        <v>204</v>
      </c>
      <c r="AT32" s="264"/>
      <c r="AU32" s="275" t="s">
        <v>1302</v>
      </c>
    </row>
    <row r="33" spans="1:47" s="287" customFormat="1" ht="14.25" customHeight="1">
      <c r="A33" s="260">
        <v>31</v>
      </c>
      <c r="B33" s="259" t="s">
        <v>477</v>
      </c>
      <c r="C33" s="259" t="s">
        <v>1299</v>
      </c>
      <c r="D33" s="351">
        <v>40725</v>
      </c>
      <c r="E33" s="351">
        <v>40360</v>
      </c>
      <c r="F33" s="252" t="s">
        <v>5</v>
      </c>
      <c r="G33" s="252" t="s">
        <v>1451</v>
      </c>
      <c r="H33" s="252" t="s">
        <v>1103</v>
      </c>
      <c r="I33" s="254" t="s">
        <v>2331</v>
      </c>
      <c r="J33" s="298">
        <v>5840</v>
      </c>
      <c r="K33" s="298">
        <v>167241</v>
      </c>
      <c r="L33" s="298">
        <v>148220</v>
      </c>
      <c r="M33" s="298">
        <v>148220</v>
      </c>
      <c r="N33" s="256">
        <f t="shared" si="0"/>
        <v>25.38013698630137</v>
      </c>
      <c r="O33" s="263">
        <v>89</v>
      </c>
      <c r="P33" s="298">
        <v>5010</v>
      </c>
      <c r="Q33" s="298"/>
      <c r="R33" s="298">
        <v>5010</v>
      </c>
      <c r="S33" s="298" t="s">
        <v>233</v>
      </c>
      <c r="T33" s="298">
        <v>100</v>
      </c>
      <c r="U33" s="298">
        <v>5010</v>
      </c>
      <c r="V33" s="298">
        <v>20400</v>
      </c>
      <c r="W33" s="298">
        <v>19709</v>
      </c>
      <c r="X33" s="349">
        <f>W33/R33</f>
        <v>3.9339321357285431</v>
      </c>
      <c r="Y33" s="298"/>
      <c r="Z33" s="298"/>
      <c r="AA33" s="298"/>
      <c r="AB33" s="298"/>
      <c r="AC33" s="298"/>
      <c r="AD33" s="256"/>
      <c r="AE33" s="298">
        <v>718</v>
      </c>
      <c r="AF33" s="298"/>
      <c r="AG33" s="298"/>
      <c r="AH33" s="298"/>
      <c r="AI33" s="259"/>
      <c r="AJ33" s="259">
        <f t="shared" si="1"/>
        <v>0</v>
      </c>
      <c r="AK33" s="298">
        <v>1600</v>
      </c>
      <c r="AL33" s="298">
        <v>1424</v>
      </c>
      <c r="AM33" s="259"/>
      <c r="AN33" s="259"/>
      <c r="AO33" s="259"/>
      <c r="AP33" s="259"/>
      <c r="AQ33" s="259"/>
      <c r="AR33" s="259"/>
      <c r="AS33" s="259"/>
      <c r="AT33" s="259"/>
      <c r="AU33" s="277" t="s">
        <v>1102</v>
      </c>
    </row>
    <row r="34" spans="1:47" s="287" customFormat="1" ht="14.25" customHeight="1">
      <c r="A34" s="260">
        <v>32</v>
      </c>
      <c r="B34" s="254" t="s">
        <v>1475</v>
      </c>
      <c r="C34" s="254" t="s">
        <v>1286</v>
      </c>
      <c r="D34" s="373">
        <v>40756</v>
      </c>
      <c r="E34" s="373">
        <v>40940</v>
      </c>
      <c r="F34" s="273" t="s">
        <v>1478</v>
      </c>
      <c r="G34" s="273" t="s">
        <v>1451</v>
      </c>
      <c r="H34" s="284" t="s">
        <v>1477</v>
      </c>
      <c r="I34" s="254" t="s">
        <v>2331</v>
      </c>
      <c r="J34" s="256">
        <v>5873</v>
      </c>
      <c r="K34" s="491">
        <v>185603</v>
      </c>
      <c r="L34" s="491">
        <v>185603</v>
      </c>
      <c r="M34" s="491">
        <v>185548</v>
      </c>
      <c r="N34" s="256">
        <f t="shared" si="0"/>
        <v>31.593393495658095</v>
      </c>
      <c r="O34" s="491">
        <v>100</v>
      </c>
      <c r="P34" s="256"/>
      <c r="Q34" s="256"/>
      <c r="R34" s="256"/>
      <c r="S34" s="491"/>
      <c r="T34" s="491"/>
      <c r="U34" s="491"/>
      <c r="V34" s="491">
        <v>21199</v>
      </c>
      <c r="W34" s="491">
        <v>19605</v>
      </c>
      <c r="X34" s="491"/>
      <c r="Y34" s="491"/>
      <c r="Z34" s="491"/>
      <c r="AA34" s="491"/>
      <c r="AB34" s="491"/>
      <c r="AC34" s="491"/>
      <c r="AD34" s="491"/>
      <c r="AE34" s="491"/>
      <c r="AF34" s="491"/>
      <c r="AG34" s="491"/>
      <c r="AH34" s="491"/>
      <c r="AI34" s="372"/>
      <c r="AJ34" s="259">
        <f t="shared" si="1"/>
        <v>0</v>
      </c>
      <c r="AK34" s="491" t="s">
        <v>66</v>
      </c>
      <c r="AL34" s="491" t="s">
        <v>66</v>
      </c>
      <c r="AM34" s="372"/>
      <c r="AN34" s="372"/>
      <c r="AO34" s="372"/>
      <c r="AP34" s="372"/>
      <c r="AQ34" s="372"/>
      <c r="AR34" s="372"/>
      <c r="AS34" s="372"/>
      <c r="AT34" s="372"/>
      <c r="AU34" s="284" t="s">
        <v>1476</v>
      </c>
    </row>
    <row r="35" spans="1:47" s="287" customFormat="1" ht="14.25" customHeight="1">
      <c r="A35" s="260">
        <v>33</v>
      </c>
      <c r="B35" s="259" t="s">
        <v>145</v>
      </c>
      <c r="C35" s="259" t="s">
        <v>1299</v>
      </c>
      <c r="D35" s="351">
        <v>40664</v>
      </c>
      <c r="E35" s="351">
        <v>40817</v>
      </c>
      <c r="F35" s="252" t="s">
        <v>1161</v>
      </c>
      <c r="G35" s="273" t="s">
        <v>1452</v>
      </c>
      <c r="H35" s="252" t="s">
        <v>1160</v>
      </c>
      <c r="I35" s="254" t="s">
        <v>2331</v>
      </c>
      <c r="J35" s="298">
        <v>7500</v>
      </c>
      <c r="K35" s="298">
        <v>246829</v>
      </c>
      <c r="L35" s="298">
        <v>246778</v>
      </c>
      <c r="M35" s="298">
        <v>246778</v>
      </c>
      <c r="N35" s="256">
        <f t="shared" ref="N35:N66" si="2">M35/J35</f>
        <v>32.903733333333335</v>
      </c>
      <c r="O35" s="298">
        <v>100</v>
      </c>
      <c r="P35" s="298">
        <v>7500</v>
      </c>
      <c r="Q35" s="298" t="s">
        <v>75</v>
      </c>
      <c r="R35" s="298">
        <v>7500</v>
      </c>
      <c r="S35" s="298" t="s">
        <v>233</v>
      </c>
      <c r="T35" s="298">
        <v>130</v>
      </c>
      <c r="U35" s="298">
        <v>7500</v>
      </c>
      <c r="V35" s="298">
        <v>22200</v>
      </c>
      <c r="W35" s="298">
        <v>20144</v>
      </c>
      <c r="X35" s="349">
        <f>W35/R35</f>
        <v>2.6858666666666666</v>
      </c>
      <c r="Y35" s="298"/>
      <c r="Z35" s="298"/>
      <c r="AA35" s="298"/>
      <c r="AB35" s="298">
        <v>130</v>
      </c>
      <c r="AC35" s="298"/>
      <c r="AD35" s="256"/>
      <c r="AE35" s="298">
        <v>750</v>
      </c>
      <c r="AF35" s="298"/>
      <c r="AG35" s="298"/>
      <c r="AH35" s="298"/>
      <c r="AI35" s="259"/>
      <c r="AJ35" s="259">
        <f t="shared" ref="AJ35:AJ66" si="3">SUM(Z35,AA35,AH35)</f>
        <v>0</v>
      </c>
      <c r="AK35" s="298">
        <v>9842</v>
      </c>
      <c r="AL35" s="298">
        <v>3985</v>
      </c>
      <c r="AM35" s="259"/>
      <c r="AN35" s="259"/>
      <c r="AO35" s="259"/>
      <c r="AP35" s="259"/>
      <c r="AQ35" s="259"/>
      <c r="AR35" s="259"/>
      <c r="AS35" s="259"/>
      <c r="AT35" s="259"/>
      <c r="AU35" s="252" t="s">
        <v>1159</v>
      </c>
    </row>
    <row r="36" spans="1:47" s="287" customFormat="1" ht="14.25" customHeight="1">
      <c r="A36" s="260">
        <v>34</v>
      </c>
      <c r="B36" s="261" t="s">
        <v>87</v>
      </c>
      <c r="C36" s="261" t="s">
        <v>1261</v>
      </c>
      <c r="D36" s="262">
        <v>40603</v>
      </c>
      <c r="E36" s="262">
        <v>40756</v>
      </c>
      <c r="F36" s="261" t="s">
        <v>24</v>
      </c>
      <c r="G36" s="252" t="s">
        <v>1454</v>
      </c>
      <c r="H36" s="261" t="s">
        <v>923</v>
      </c>
      <c r="I36" s="254" t="s">
        <v>2331</v>
      </c>
      <c r="J36" s="263">
        <v>7500</v>
      </c>
      <c r="K36" s="263">
        <v>157534</v>
      </c>
      <c r="L36" s="257">
        <v>157540</v>
      </c>
      <c r="M36" s="263">
        <v>156553</v>
      </c>
      <c r="N36" s="256">
        <f t="shared" si="2"/>
        <v>20.873733333333334</v>
      </c>
      <c r="O36" s="263">
        <v>100</v>
      </c>
      <c r="P36" s="263">
        <v>500</v>
      </c>
      <c r="Q36" s="263">
        <v>50</v>
      </c>
      <c r="R36" s="263">
        <v>500</v>
      </c>
      <c r="S36" s="264" t="s">
        <v>233</v>
      </c>
      <c r="T36" s="264" t="s">
        <v>75</v>
      </c>
      <c r="U36" s="264" t="s">
        <v>75</v>
      </c>
      <c r="V36" s="263" t="s">
        <v>66</v>
      </c>
      <c r="W36" s="263" t="s">
        <v>66</v>
      </c>
      <c r="X36" s="349"/>
      <c r="Y36" s="263" t="s">
        <v>134</v>
      </c>
      <c r="Z36" s="263" t="s">
        <v>2</v>
      </c>
      <c r="AA36" s="263" t="s">
        <v>134</v>
      </c>
      <c r="AB36" s="263">
        <v>100</v>
      </c>
      <c r="AC36" s="263" t="s">
        <v>75</v>
      </c>
      <c r="AD36" s="263" t="s">
        <v>75</v>
      </c>
      <c r="AE36" s="263">
        <v>701</v>
      </c>
      <c r="AF36" s="263" t="s">
        <v>75</v>
      </c>
      <c r="AG36" s="263" t="s">
        <v>75</v>
      </c>
      <c r="AH36" s="263" t="s">
        <v>75</v>
      </c>
      <c r="AI36" s="264" t="s">
        <v>75</v>
      </c>
      <c r="AJ36" s="259">
        <f t="shared" si="3"/>
        <v>0</v>
      </c>
      <c r="AK36" s="263" t="s">
        <v>66</v>
      </c>
      <c r="AL36" s="263" t="s">
        <v>66</v>
      </c>
      <c r="AM36" s="261"/>
      <c r="AN36" s="261"/>
      <c r="AO36" s="261"/>
      <c r="AP36" s="261"/>
      <c r="AQ36" s="261"/>
      <c r="AR36" s="261"/>
      <c r="AS36" s="264" t="s">
        <v>75</v>
      </c>
      <c r="AT36" s="264" t="s">
        <v>75</v>
      </c>
      <c r="AU36" s="276" t="s">
        <v>492</v>
      </c>
    </row>
    <row r="37" spans="1:47" s="287" customFormat="1" ht="14.25" customHeight="1">
      <c r="A37" s="260">
        <v>35</v>
      </c>
      <c r="B37" s="261" t="s">
        <v>1073</v>
      </c>
      <c r="C37" s="261" t="s">
        <v>1286</v>
      </c>
      <c r="D37" s="262">
        <v>40817</v>
      </c>
      <c r="E37" s="262">
        <v>41091</v>
      </c>
      <c r="F37" s="261" t="s">
        <v>5</v>
      </c>
      <c r="G37" s="252" t="s">
        <v>1451</v>
      </c>
      <c r="H37" s="261" t="s">
        <v>1178</v>
      </c>
      <c r="I37" s="278" t="s">
        <v>2438</v>
      </c>
      <c r="J37" s="263">
        <v>7500</v>
      </c>
      <c r="K37" s="263">
        <v>715933</v>
      </c>
      <c r="L37" s="257">
        <v>668446</v>
      </c>
      <c r="M37" s="257">
        <v>533706</v>
      </c>
      <c r="N37" s="256">
        <f t="shared" si="2"/>
        <v>71.160799999999995</v>
      </c>
      <c r="O37" s="264">
        <f>(L37*100)/K37</f>
        <v>93.367116755338841</v>
      </c>
      <c r="P37" s="263">
        <v>3000</v>
      </c>
      <c r="Q37" s="263"/>
      <c r="R37" s="263">
        <v>3000</v>
      </c>
      <c r="S37" s="264"/>
      <c r="T37" s="264"/>
      <c r="U37" s="264">
        <v>7500</v>
      </c>
      <c r="V37" s="263">
        <v>108605</v>
      </c>
      <c r="W37" s="263">
        <v>83743</v>
      </c>
      <c r="X37" s="349">
        <f>W37/R37</f>
        <v>27.914333333333332</v>
      </c>
      <c r="Y37" s="263"/>
      <c r="Z37" s="263"/>
      <c r="AA37" s="263">
        <v>7500</v>
      </c>
      <c r="AB37" s="263">
        <v>120</v>
      </c>
      <c r="AC37" s="263" t="s">
        <v>2</v>
      </c>
      <c r="AD37" s="263"/>
      <c r="AE37" s="263">
        <v>3000</v>
      </c>
      <c r="AF37" s="263"/>
      <c r="AG37" s="263"/>
      <c r="AH37" s="263"/>
      <c r="AI37" s="264"/>
      <c r="AJ37" s="259">
        <f t="shared" si="3"/>
        <v>7500</v>
      </c>
      <c r="AK37" s="263"/>
      <c r="AL37" s="263"/>
      <c r="AM37" s="264"/>
      <c r="AN37" s="264"/>
      <c r="AO37" s="264"/>
      <c r="AP37" s="264"/>
      <c r="AQ37" s="264"/>
      <c r="AR37" s="264"/>
      <c r="AS37" s="264"/>
      <c r="AT37" s="264"/>
      <c r="AU37" s="275" t="s">
        <v>1174</v>
      </c>
    </row>
    <row r="38" spans="1:47" s="287" customFormat="1" ht="14.25" customHeight="1">
      <c r="A38" s="260">
        <v>36</v>
      </c>
      <c r="B38" s="254" t="s">
        <v>167</v>
      </c>
      <c r="C38" s="254" t="s">
        <v>1299</v>
      </c>
      <c r="D38" s="255">
        <v>40787</v>
      </c>
      <c r="E38" s="255">
        <v>40848</v>
      </c>
      <c r="F38" s="254" t="s">
        <v>5</v>
      </c>
      <c r="G38" s="273" t="s">
        <v>1451</v>
      </c>
      <c r="H38" s="254" t="s">
        <v>1344</v>
      </c>
      <c r="I38" s="254" t="s">
        <v>2331</v>
      </c>
      <c r="J38" s="256">
        <v>7500</v>
      </c>
      <c r="K38" s="256">
        <v>261008</v>
      </c>
      <c r="L38" s="256">
        <v>261008</v>
      </c>
      <c r="M38" s="256">
        <v>261008</v>
      </c>
      <c r="N38" s="256">
        <f t="shared" si="2"/>
        <v>34.801066666666664</v>
      </c>
      <c r="O38" s="257" t="s">
        <v>66</v>
      </c>
      <c r="P38" s="256">
        <v>7500</v>
      </c>
      <c r="Q38" s="256">
        <v>7500</v>
      </c>
      <c r="R38" s="256">
        <v>7500</v>
      </c>
      <c r="S38" s="254" t="s">
        <v>2</v>
      </c>
      <c r="T38" s="254">
        <v>75</v>
      </c>
      <c r="U38" s="254">
        <v>7500</v>
      </c>
      <c r="V38" s="256"/>
      <c r="W38" s="256"/>
      <c r="X38" s="349">
        <f>W38/R38</f>
        <v>0</v>
      </c>
      <c r="Y38" s="256"/>
      <c r="Z38" s="256"/>
      <c r="AA38" s="256">
        <v>7500</v>
      </c>
      <c r="AB38" s="256">
        <v>150</v>
      </c>
      <c r="AC38" s="256"/>
      <c r="AD38" s="256"/>
      <c r="AE38" s="256">
        <v>3000</v>
      </c>
      <c r="AF38" s="256"/>
      <c r="AG38" s="256"/>
      <c r="AH38" s="256"/>
      <c r="AI38" s="254"/>
      <c r="AJ38" s="259">
        <f t="shared" si="3"/>
        <v>7500</v>
      </c>
      <c r="AK38" s="256"/>
      <c r="AL38" s="256"/>
      <c r="AM38" s="254"/>
      <c r="AN38" s="254"/>
      <c r="AO38" s="254"/>
      <c r="AP38" s="254"/>
      <c r="AQ38" s="254"/>
      <c r="AR38" s="254"/>
      <c r="AS38" s="254"/>
      <c r="AT38" s="254"/>
      <c r="AU38" s="258" t="s">
        <v>1343</v>
      </c>
    </row>
    <row r="39" spans="1:47" s="287" customFormat="1" ht="14.25" customHeight="1">
      <c r="A39" s="260">
        <v>37</v>
      </c>
      <c r="B39" s="261" t="s">
        <v>120</v>
      </c>
      <c r="C39" s="264" t="s">
        <v>1299</v>
      </c>
      <c r="D39" s="262">
        <v>40756</v>
      </c>
      <c r="E39" s="262">
        <v>40848</v>
      </c>
      <c r="F39" s="261" t="s">
        <v>5</v>
      </c>
      <c r="G39" s="252" t="s">
        <v>1451</v>
      </c>
      <c r="H39" s="261" t="s">
        <v>1366</v>
      </c>
      <c r="I39" s="254" t="s">
        <v>2331</v>
      </c>
      <c r="J39" s="264">
        <v>7500</v>
      </c>
      <c r="K39" s="264">
        <v>264684</v>
      </c>
      <c r="L39" s="264">
        <v>264684</v>
      </c>
      <c r="M39" s="264">
        <v>264684</v>
      </c>
      <c r="N39" s="256">
        <f t="shared" si="2"/>
        <v>35.291200000000003</v>
      </c>
      <c r="O39" s="264"/>
      <c r="P39" s="264">
        <v>7500</v>
      </c>
      <c r="Q39" s="264">
        <v>7500</v>
      </c>
      <c r="R39" s="263">
        <v>7500</v>
      </c>
      <c r="S39" s="264"/>
      <c r="T39" s="264"/>
      <c r="U39" s="264">
        <v>7500</v>
      </c>
      <c r="V39" s="264"/>
      <c r="W39" s="264"/>
      <c r="X39" s="349">
        <f>W39/R39</f>
        <v>0</v>
      </c>
      <c r="Y39" s="263"/>
      <c r="Z39" s="263"/>
      <c r="AA39" s="263">
        <v>7500</v>
      </c>
      <c r="AB39" s="263">
        <v>120</v>
      </c>
      <c r="AC39" s="263"/>
      <c r="AD39" s="263"/>
      <c r="AE39" s="263">
        <v>300</v>
      </c>
      <c r="AF39" s="263"/>
      <c r="AG39" s="263"/>
      <c r="AH39" s="263"/>
      <c r="AI39" s="264"/>
      <c r="AJ39" s="259">
        <f t="shared" si="3"/>
        <v>7500</v>
      </c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 t="s">
        <v>1367</v>
      </c>
    </row>
    <row r="40" spans="1:47" s="287" customFormat="1" ht="14.25" customHeight="1">
      <c r="A40" s="260">
        <v>38</v>
      </c>
      <c r="B40" s="254" t="s">
        <v>446</v>
      </c>
      <c r="C40" s="288" t="s">
        <v>1291</v>
      </c>
      <c r="D40" s="255">
        <v>40787</v>
      </c>
      <c r="E40" s="255">
        <v>40909</v>
      </c>
      <c r="F40" s="254" t="s">
        <v>24</v>
      </c>
      <c r="G40" s="252" t="s">
        <v>1454</v>
      </c>
      <c r="H40" s="254" t="s">
        <v>1379</v>
      </c>
      <c r="I40" s="254" t="s">
        <v>2331</v>
      </c>
      <c r="J40" s="264">
        <v>7500</v>
      </c>
      <c r="K40" s="288">
        <v>172417</v>
      </c>
      <c r="L40" s="289">
        <v>172417</v>
      </c>
      <c r="M40" s="288">
        <v>172417</v>
      </c>
      <c r="N40" s="256">
        <f t="shared" si="2"/>
        <v>22.988933333333332</v>
      </c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88"/>
      <c r="AJ40" s="259">
        <f t="shared" si="3"/>
        <v>0</v>
      </c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 t="s">
        <v>1380</v>
      </c>
    </row>
    <row r="41" spans="1:47" s="287" customFormat="1" ht="14.25" customHeight="1">
      <c r="A41" s="260">
        <v>39</v>
      </c>
      <c r="B41" s="261" t="s">
        <v>462</v>
      </c>
      <c r="C41" s="261" t="s">
        <v>1299</v>
      </c>
      <c r="D41" s="262">
        <v>40544</v>
      </c>
      <c r="E41" s="262">
        <v>40634</v>
      </c>
      <c r="F41" s="261" t="s">
        <v>338</v>
      </c>
      <c r="G41" s="273" t="s">
        <v>1451</v>
      </c>
      <c r="H41" s="261" t="s">
        <v>463</v>
      </c>
      <c r="I41" s="254" t="s">
        <v>2331</v>
      </c>
      <c r="J41" s="263">
        <v>8870</v>
      </c>
      <c r="K41" s="263">
        <v>177585</v>
      </c>
      <c r="L41" s="257">
        <v>236780</v>
      </c>
      <c r="M41" s="263">
        <v>235310</v>
      </c>
      <c r="N41" s="256">
        <f t="shared" si="2"/>
        <v>26.528748590755356</v>
      </c>
      <c r="O41" s="264">
        <v>100</v>
      </c>
      <c r="P41" s="263">
        <v>8870</v>
      </c>
      <c r="Q41" s="263"/>
      <c r="R41" s="263">
        <v>8870</v>
      </c>
      <c r="S41" s="264" t="s">
        <v>94</v>
      </c>
      <c r="T41" s="264">
        <v>144</v>
      </c>
      <c r="U41" s="264">
        <v>8870</v>
      </c>
      <c r="V41" s="263">
        <v>5987</v>
      </c>
      <c r="W41" s="263">
        <v>58071</v>
      </c>
      <c r="X41" s="349">
        <f>W41/R41</f>
        <v>6.5468996617812856</v>
      </c>
      <c r="Y41" s="263"/>
      <c r="Z41" s="263"/>
      <c r="AA41" s="263"/>
      <c r="AB41" s="263">
        <v>199</v>
      </c>
      <c r="AC41" s="263"/>
      <c r="AD41" s="263"/>
      <c r="AE41" s="263"/>
      <c r="AF41" s="263"/>
      <c r="AG41" s="263"/>
      <c r="AH41" s="263"/>
      <c r="AI41" s="264"/>
      <c r="AJ41" s="259">
        <f t="shared" si="3"/>
        <v>0</v>
      </c>
      <c r="AK41" s="263">
        <v>750</v>
      </c>
      <c r="AL41" s="263">
        <v>750</v>
      </c>
      <c r="AM41" s="264"/>
      <c r="AN41" s="264"/>
      <c r="AO41" s="264"/>
      <c r="AP41" s="264"/>
      <c r="AQ41" s="264"/>
      <c r="AR41" s="264"/>
      <c r="AS41" s="264"/>
      <c r="AT41" s="264"/>
      <c r="AU41" s="265" t="s">
        <v>464</v>
      </c>
    </row>
    <row r="42" spans="1:47" s="287" customFormat="1" ht="14.25" customHeight="1">
      <c r="A42" s="260">
        <v>40</v>
      </c>
      <c r="B42" s="259" t="s">
        <v>145</v>
      </c>
      <c r="C42" s="259" t="s">
        <v>1299</v>
      </c>
      <c r="D42" s="351">
        <v>40725</v>
      </c>
      <c r="E42" s="351">
        <v>40848</v>
      </c>
      <c r="F42" s="252" t="s">
        <v>623</v>
      </c>
      <c r="G42" s="252" t="s">
        <v>1451</v>
      </c>
      <c r="H42" s="252" t="s">
        <v>1119</v>
      </c>
      <c r="I42" s="254" t="s">
        <v>2331</v>
      </c>
      <c r="J42" s="298">
        <v>9000</v>
      </c>
      <c r="K42" s="298">
        <v>289282</v>
      </c>
      <c r="L42" s="298">
        <v>289283</v>
      </c>
      <c r="M42" s="298">
        <v>286688</v>
      </c>
      <c r="N42" s="256">
        <f t="shared" si="2"/>
        <v>31.854222222222223</v>
      </c>
      <c r="O42" s="256">
        <v>100</v>
      </c>
      <c r="P42" s="298">
        <v>7500</v>
      </c>
      <c r="Q42" s="298" t="s">
        <v>75</v>
      </c>
      <c r="R42" s="298">
        <v>7500</v>
      </c>
      <c r="S42" s="298" t="s">
        <v>233</v>
      </c>
      <c r="T42" s="298">
        <v>55</v>
      </c>
      <c r="U42" s="298">
        <v>7500</v>
      </c>
      <c r="V42" s="298">
        <v>31160</v>
      </c>
      <c r="W42" s="298">
        <v>21246</v>
      </c>
      <c r="X42" s="349">
        <f>W42/R42</f>
        <v>2.8328000000000002</v>
      </c>
      <c r="Y42" s="298"/>
      <c r="Z42" s="298"/>
      <c r="AA42" s="298"/>
      <c r="AB42" s="298">
        <v>80</v>
      </c>
      <c r="AC42" s="298"/>
      <c r="AD42" s="256"/>
      <c r="AE42" s="298">
        <v>500</v>
      </c>
      <c r="AF42" s="298"/>
      <c r="AG42" s="298"/>
      <c r="AH42" s="298"/>
      <c r="AI42" s="259"/>
      <c r="AJ42" s="259">
        <f t="shared" si="3"/>
        <v>0</v>
      </c>
      <c r="AK42" s="298">
        <v>4521</v>
      </c>
      <c r="AL42" s="298">
        <v>10835</v>
      </c>
      <c r="AM42" s="259"/>
      <c r="AN42" s="259"/>
      <c r="AO42" s="259"/>
      <c r="AP42" s="259"/>
      <c r="AQ42" s="259"/>
      <c r="AR42" s="259"/>
      <c r="AS42" s="259" t="s">
        <v>1288</v>
      </c>
      <c r="AT42" s="259"/>
      <c r="AU42" s="252" t="s">
        <v>1118</v>
      </c>
    </row>
    <row r="43" spans="1:47" s="287" customFormat="1" ht="14.25" customHeight="1">
      <c r="A43" s="260">
        <v>41</v>
      </c>
      <c r="B43" s="259" t="s">
        <v>871</v>
      </c>
      <c r="C43" s="259" t="s">
        <v>1260</v>
      </c>
      <c r="D43" s="351">
        <v>40695</v>
      </c>
      <c r="E43" s="351">
        <v>40787</v>
      </c>
      <c r="F43" s="252" t="s">
        <v>5</v>
      </c>
      <c r="G43" s="252" t="s">
        <v>1451</v>
      </c>
      <c r="H43" s="252" t="s">
        <v>1163</v>
      </c>
      <c r="I43" s="254" t="s">
        <v>2331</v>
      </c>
      <c r="J43" s="298">
        <v>9000</v>
      </c>
      <c r="K43" s="298">
        <v>149420</v>
      </c>
      <c r="L43" s="298">
        <v>149420</v>
      </c>
      <c r="M43" s="259">
        <v>146359</v>
      </c>
      <c r="N43" s="256">
        <f t="shared" si="2"/>
        <v>16.262111111111111</v>
      </c>
      <c r="O43" s="298">
        <v>100</v>
      </c>
      <c r="P43" s="298" t="s">
        <v>75</v>
      </c>
      <c r="Q43" s="298" t="s">
        <v>75</v>
      </c>
      <c r="R43" s="298" t="s">
        <v>75</v>
      </c>
      <c r="S43" s="298" t="s">
        <v>233</v>
      </c>
      <c r="T43" s="298">
        <v>15</v>
      </c>
      <c r="U43" s="298" t="s">
        <v>134</v>
      </c>
      <c r="V43" s="298">
        <v>0</v>
      </c>
      <c r="W43" s="298">
        <v>26541</v>
      </c>
      <c r="X43" s="256"/>
      <c r="Y43" s="298"/>
      <c r="Z43" s="298"/>
      <c r="AA43" s="298" t="s">
        <v>134</v>
      </c>
      <c r="AB43" s="298">
        <v>15</v>
      </c>
      <c r="AC43" s="298"/>
      <c r="AD43" s="256"/>
      <c r="AE43" s="298"/>
      <c r="AF43" s="298"/>
      <c r="AG43" s="298"/>
      <c r="AH43" s="298"/>
      <c r="AI43" s="259"/>
      <c r="AJ43" s="259">
        <f t="shared" si="3"/>
        <v>0</v>
      </c>
      <c r="AK43" s="298" t="s">
        <v>66</v>
      </c>
      <c r="AL43" s="298" t="s">
        <v>66</v>
      </c>
      <c r="AM43" s="259"/>
      <c r="AN43" s="259"/>
      <c r="AO43" s="259"/>
      <c r="AP43" s="259"/>
      <c r="AQ43" s="259"/>
      <c r="AR43" s="259"/>
      <c r="AS43" s="259"/>
      <c r="AT43" s="259"/>
      <c r="AU43" s="252" t="s">
        <v>1164</v>
      </c>
    </row>
    <row r="44" spans="1:47" s="287" customFormat="1" ht="14.25" customHeight="1">
      <c r="A44" s="260">
        <v>42</v>
      </c>
      <c r="B44" s="261" t="s">
        <v>452</v>
      </c>
      <c r="C44" s="271" t="s">
        <v>1278</v>
      </c>
      <c r="D44" s="272">
        <v>40575</v>
      </c>
      <c r="E44" s="262">
        <v>40695</v>
      </c>
      <c r="F44" s="261" t="s">
        <v>453</v>
      </c>
      <c r="G44" s="252" t="s">
        <v>1452</v>
      </c>
      <c r="H44" s="261" t="s">
        <v>454</v>
      </c>
      <c r="I44" s="254" t="s">
        <v>2331</v>
      </c>
      <c r="J44" s="263">
        <v>10000</v>
      </c>
      <c r="K44" s="263">
        <v>107672</v>
      </c>
      <c r="L44" s="257">
        <v>107672</v>
      </c>
      <c r="M44" s="263">
        <v>105524</v>
      </c>
      <c r="N44" s="256">
        <f t="shared" si="2"/>
        <v>10.5524</v>
      </c>
      <c r="O44" s="264">
        <v>100</v>
      </c>
      <c r="P44" s="263" t="s">
        <v>75</v>
      </c>
      <c r="Q44" s="263" t="s">
        <v>75</v>
      </c>
      <c r="R44" s="263" t="s">
        <v>75</v>
      </c>
      <c r="S44" s="264" t="s">
        <v>75</v>
      </c>
      <c r="T44" s="264" t="s">
        <v>75</v>
      </c>
      <c r="U44" s="264" t="s">
        <v>75</v>
      </c>
      <c r="V44" s="263" t="s">
        <v>75</v>
      </c>
      <c r="W44" s="263" t="s">
        <v>75</v>
      </c>
      <c r="X44" s="263"/>
      <c r="Y44" s="263">
        <v>10000</v>
      </c>
      <c r="Z44" s="263"/>
      <c r="AA44" s="263"/>
      <c r="AB44" s="263">
        <v>120</v>
      </c>
      <c r="AC44" s="263">
        <v>50</v>
      </c>
      <c r="AD44" s="263"/>
      <c r="AE44" s="263"/>
      <c r="AF44" s="263"/>
      <c r="AG44" s="263"/>
      <c r="AH44" s="263"/>
      <c r="AI44" s="264"/>
      <c r="AJ44" s="259">
        <f t="shared" si="3"/>
        <v>0</v>
      </c>
      <c r="AK44" s="263">
        <v>35000</v>
      </c>
      <c r="AL44" s="263">
        <v>32802</v>
      </c>
      <c r="AM44" s="264"/>
      <c r="AN44" s="264"/>
      <c r="AO44" s="264"/>
      <c r="AP44" s="264"/>
      <c r="AQ44" s="264"/>
      <c r="AR44" s="264"/>
      <c r="AS44" s="264"/>
      <c r="AT44" s="264"/>
      <c r="AU44" s="265" t="s">
        <v>455</v>
      </c>
    </row>
    <row r="45" spans="1:47" s="287" customFormat="1" ht="14.25" customHeight="1">
      <c r="A45" s="260">
        <v>43</v>
      </c>
      <c r="B45" s="261" t="s">
        <v>139</v>
      </c>
      <c r="C45" s="261" t="s">
        <v>1299</v>
      </c>
      <c r="D45" s="272">
        <v>40575</v>
      </c>
      <c r="E45" s="262">
        <v>40664</v>
      </c>
      <c r="F45" s="261" t="s">
        <v>5</v>
      </c>
      <c r="G45" s="273" t="s">
        <v>1451</v>
      </c>
      <c r="H45" s="261" t="s">
        <v>459</v>
      </c>
      <c r="I45" s="254" t="s">
        <v>2331</v>
      </c>
      <c r="J45" s="263">
        <v>10000</v>
      </c>
      <c r="K45" s="263">
        <v>244036</v>
      </c>
      <c r="L45" s="257">
        <v>244036</v>
      </c>
      <c r="M45" s="263">
        <v>228966</v>
      </c>
      <c r="N45" s="256">
        <f t="shared" si="2"/>
        <v>22.896599999999999</v>
      </c>
      <c r="O45" s="264">
        <v>100</v>
      </c>
      <c r="P45" s="263">
        <v>5043</v>
      </c>
      <c r="Q45" s="263">
        <v>4000</v>
      </c>
      <c r="R45" s="263">
        <v>5043</v>
      </c>
      <c r="S45" s="264" t="s">
        <v>2</v>
      </c>
      <c r="T45" s="264">
        <v>5043</v>
      </c>
      <c r="U45" s="264">
        <v>5043</v>
      </c>
      <c r="V45" s="263">
        <v>43500</v>
      </c>
      <c r="W45" s="263">
        <v>46222</v>
      </c>
      <c r="X45" s="349">
        <f>W45/R45</f>
        <v>9.1655760460043627</v>
      </c>
      <c r="Y45" s="263"/>
      <c r="Z45" s="263"/>
      <c r="AA45" s="263"/>
      <c r="AB45" s="263"/>
      <c r="AC45" s="263"/>
      <c r="AD45" s="263"/>
      <c r="AE45" s="263"/>
      <c r="AF45" s="263"/>
      <c r="AG45" s="263"/>
      <c r="AH45" s="263"/>
      <c r="AI45" s="264"/>
      <c r="AJ45" s="259">
        <f t="shared" si="3"/>
        <v>0</v>
      </c>
      <c r="AK45" s="263">
        <v>1000</v>
      </c>
      <c r="AL45" s="263">
        <v>3708</v>
      </c>
      <c r="AM45" s="264"/>
      <c r="AN45" s="264"/>
      <c r="AO45" s="264"/>
      <c r="AP45" s="264"/>
      <c r="AQ45" s="264"/>
      <c r="AR45" s="264"/>
      <c r="AS45" s="264"/>
      <c r="AT45" s="264"/>
      <c r="AU45" s="265" t="s">
        <v>461</v>
      </c>
    </row>
    <row r="46" spans="1:47" s="287" customFormat="1" ht="14.25" customHeight="1">
      <c r="A46" s="260">
        <v>44</v>
      </c>
      <c r="B46" s="261" t="s">
        <v>1169</v>
      </c>
      <c r="C46" s="261" t="s">
        <v>1286</v>
      </c>
      <c r="D46" s="262">
        <v>40817</v>
      </c>
      <c r="E46" s="262">
        <v>41061</v>
      </c>
      <c r="F46" s="261" t="s">
        <v>5</v>
      </c>
      <c r="G46" s="252" t="s">
        <v>1451</v>
      </c>
      <c r="H46" s="261" t="s">
        <v>1171</v>
      </c>
      <c r="I46" s="278" t="s">
        <v>2438</v>
      </c>
      <c r="J46" s="263">
        <v>10000</v>
      </c>
      <c r="K46" s="263">
        <v>1174119</v>
      </c>
      <c r="L46" s="257">
        <v>1139398</v>
      </c>
      <c r="M46" s="257">
        <v>1105216.06</v>
      </c>
      <c r="N46" s="256">
        <f t="shared" si="2"/>
        <v>110.52160600000001</v>
      </c>
      <c r="O46" s="264">
        <v>97</v>
      </c>
      <c r="P46" s="263" t="s">
        <v>339</v>
      </c>
      <c r="Q46" s="263" t="s">
        <v>339</v>
      </c>
      <c r="R46" s="263" t="s">
        <v>339</v>
      </c>
      <c r="S46" s="264"/>
      <c r="T46" s="264"/>
      <c r="U46" s="264">
        <v>10000</v>
      </c>
      <c r="V46" s="263"/>
      <c r="W46" s="263"/>
      <c r="X46" s="263"/>
      <c r="Y46" s="263">
        <v>10000</v>
      </c>
      <c r="Z46" s="263"/>
      <c r="AA46" s="263">
        <v>10000</v>
      </c>
      <c r="AB46" s="263">
        <v>100</v>
      </c>
      <c r="AC46" s="263" t="s">
        <v>2</v>
      </c>
      <c r="AD46" s="263"/>
      <c r="AE46" s="263"/>
      <c r="AF46" s="263"/>
      <c r="AG46" s="263"/>
      <c r="AH46" s="263"/>
      <c r="AI46" s="264">
        <v>201</v>
      </c>
      <c r="AJ46" s="259">
        <f t="shared" si="3"/>
        <v>10000</v>
      </c>
      <c r="AK46" s="263"/>
      <c r="AL46" s="263"/>
      <c r="AM46" s="264"/>
      <c r="AN46" s="264"/>
      <c r="AO46" s="264"/>
      <c r="AP46" s="264"/>
      <c r="AQ46" s="264"/>
      <c r="AR46" s="264"/>
      <c r="AS46" s="264" t="s">
        <v>2</v>
      </c>
      <c r="AT46" s="264"/>
      <c r="AU46" s="264" t="s">
        <v>1170</v>
      </c>
    </row>
    <row r="47" spans="1:47" s="287" customFormat="1" ht="14.25" customHeight="1">
      <c r="A47" s="260">
        <v>45</v>
      </c>
      <c r="B47" s="261" t="s">
        <v>607</v>
      </c>
      <c r="C47" s="261" t="s">
        <v>1299</v>
      </c>
      <c r="D47" s="262">
        <v>40817</v>
      </c>
      <c r="E47" s="262">
        <v>41000</v>
      </c>
      <c r="F47" s="261" t="s">
        <v>512</v>
      </c>
      <c r="G47" s="273" t="s">
        <v>1452</v>
      </c>
      <c r="H47" s="261" t="s">
        <v>1173</v>
      </c>
      <c r="I47" s="278" t="s">
        <v>2438</v>
      </c>
      <c r="J47" s="263">
        <v>10000</v>
      </c>
      <c r="K47" s="263">
        <v>684476</v>
      </c>
      <c r="L47" s="257">
        <v>445768</v>
      </c>
      <c r="M47" s="257">
        <v>191704</v>
      </c>
      <c r="N47" s="256">
        <f t="shared" si="2"/>
        <v>19.170400000000001</v>
      </c>
      <c r="O47" s="264">
        <v>65</v>
      </c>
      <c r="P47" s="263">
        <f>2000*5</f>
        <v>10000</v>
      </c>
      <c r="Q47" s="263">
        <v>250</v>
      </c>
      <c r="R47" s="263">
        <f>2000*5</f>
        <v>10000</v>
      </c>
      <c r="S47" s="264" t="s">
        <v>2</v>
      </c>
      <c r="T47" s="264">
        <v>55</v>
      </c>
      <c r="U47" s="264">
        <v>10000</v>
      </c>
      <c r="V47" s="263">
        <v>14000</v>
      </c>
      <c r="W47" s="274">
        <v>14000</v>
      </c>
      <c r="X47" s="349">
        <f t="shared" ref="X47:X52" si="4">W47/R47</f>
        <v>1.4</v>
      </c>
      <c r="Y47" s="263"/>
      <c r="Z47" s="263"/>
      <c r="AA47" s="263">
        <v>10000</v>
      </c>
      <c r="AB47" s="263">
        <v>250</v>
      </c>
      <c r="AC47" s="263"/>
      <c r="AD47" s="263">
        <v>100</v>
      </c>
      <c r="AE47" s="263">
        <v>5000</v>
      </c>
      <c r="AF47" s="263"/>
      <c r="AG47" s="263"/>
      <c r="AH47" s="263"/>
      <c r="AI47" s="264"/>
      <c r="AJ47" s="254">
        <f t="shared" si="3"/>
        <v>10000</v>
      </c>
      <c r="AK47" s="263">
        <v>96000</v>
      </c>
      <c r="AL47" s="274">
        <v>96000</v>
      </c>
      <c r="AM47" s="264"/>
      <c r="AN47" s="264"/>
      <c r="AO47" s="264"/>
      <c r="AP47" s="264"/>
      <c r="AQ47" s="264"/>
      <c r="AR47" s="264"/>
      <c r="AS47" s="264"/>
      <c r="AT47" s="264"/>
      <c r="AU47" s="275" t="s">
        <v>1172</v>
      </c>
    </row>
    <row r="48" spans="1:47" s="287" customFormat="1" ht="14.25" customHeight="1">
      <c r="A48" s="260">
        <v>46</v>
      </c>
      <c r="B48" s="254" t="s">
        <v>87</v>
      </c>
      <c r="C48" s="288" t="s">
        <v>1291</v>
      </c>
      <c r="D48" s="255">
        <v>40787</v>
      </c>
      <c r="E48" s="255">
        <v>40969</v>
      </c>
      <c r="F48" s="254" t="s">
        <v>1368</v>
      </c>
      <c r="G48" s="273" t="s">
        <v>1451</v>
      </c>
      <c r="H48" s="254" t="s">
        <v>1369</v>
      </c>
      <c r="I48" s="254" t="s">
        <v>2331</v>
      </c>
      <c r="J48" s="288">
        <v>10000</v>
      </c>
      <c r="K48" s="288">
        <v>165670</v>
      </c>
      <c r="L48" s="289">
        <v>165669</v>
      </c>
      <c r="M48" s="288">
        <v>123842</v>
      </c>
      <c r="N48" s="256">
        <f t="shared" si="2"/>
        <v>12.3842</v>
      </c>
      <c r="O48" s="288">
        <v>100</v>
      </c>
      <c r="P48" s="288">
        <f>3419*5</f>
        <v>17095</v>
      </c>
      <c r="Q48" s="288">
        <f>200*5</f>
        <v>1000</v>
      </c>
      <c r="R48" s="256">
        <f>3419*5</f>
        <v>17095</v>
      </c>
      <c r="S48" s="288"/>
      <c r="T48" s="288">
        <v>113</v>
      </c>
      <c r="U48" s="288">
        <v>5750</v>
      </c>
      <c r="V48" s="288">
        <v>25807</v>
      </c>
      <c r="W48" s="288">
        <v>985</v>
      </c>
      <c r="X48" s="349">
        <f t="shared" si="4"/>
        <v>5.7619186896753438E-2</v>
      </c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88"/>
      <c r="AJ48" s="254">
        <f t="shared" si="3"/>
        <v>0</v>
      </c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91" t="s">
        <v>1370</v>
      </c>
    </row>
    <row r="49" spans="1:47" s="287" customFormat="1" ht="14.25" customHeight="1">
      <c r="A49" s="260">
        <v>47</v>
      </c>
      <c r="B49" s="254" t="s">
        <v>118</v>
      </c>
      <c r="C49" s="288" t="s">
        <v>1299</v>
      </c>
      <c r="D49" s="255">
        <v>40878</v>
      </c>
      <c r="E49" s="255">
        <v>41244</v>
      </c>
      <c r="F49" s="254" t="s">
        <v>1216</v>
      </c>
      <c r="G49" s="252" t="s">
        <v>1452</v>
      </c>
      <c r="H49" s="254" t="s">
        <v>1371</v>
      </c>
      <c r="I49" s="278" t="s">
        <v>2438</v>
      </c>
      <c r="J49" s="288">
        <v>10000</v>
      </c>
      <c r="K49" s="288">
        <v>2131749</v>
      </c>
      <c r="L49" s="289">
        <v>200000</v>
      </c>
      <c r="M49" s="288">
        <v>200000</v>
      </c>
      <c r="N49" s="256">
        <f t="shared" si="2"/>
        <v>20</v>
      </c>
      <c r="O49" s="288"/>
      <c r="P49" s="288">
        <v>8000</v>
      </c>
      <c r="Q49" s="288">
        <v>8000</v>
      </c>
      <c r="R49" s="256">
        <v>8000</v>
      </c>
      <c r="S49" s="288" t="s">
        <v>2</v>
      </c>
      <c r="T49" s="288">
        <v>100</v>
      </c>
      <c r="U49" s="288">
        <v>8000</v>
      </c>
      <c r="V49" s="288"/>
      <c r="W49" s="288"/>
      <c r="X49" s="349">
        <f t="shared" si="4"/>
        <v>0</v>
      </c>
      <c r="Y49" s="256"/>
      <c r="Z49" s="256"/>
      <c r="AA49" s="256">
        <v>3000</v>
      </c>
      <c r="AB49" s="256"/>
      <c r="AC49" s="256"/>
      <c r="AD49" s="256"/>
      <c r="AE49" s="256"/>
      <c r="AF49" s="256"/>
      <c r="AG49" s="256"/>
      <c r="AH49" s="256"/>
      <c r="AI49" s="288"/>
      <c r="AJ49" s="259">
        <f t="shared" si="3"/>
        <v>3000</v>
      </c>
      <c r="AK49" s="288"/>
      <c r="AL49" s="288"/>
      <c r="AM49" s="288"/>
      <c r="AN49" s="288"/>
      <c r="AO49" s="288"/>
      <c r="AP49" s="288"/>
      <c r="AQ49" s="288"/>
      <c r="AR49" s="288"/>
      <c r="AS49" s="288"/>
      <c r="AT49" s="288"/>
      <c r="AU49" s="291" t="s">
        <v>1372</v>
      </c>
    </row>
    <row r="50" spans="1:47" s="287" customFormat="1" ht="14.25" customHeight="1">
      <c r="A50" s="260">
        <v>48</v>
      </c>
      <c r="B50" s="261" t="s">
        <v>521</v>
      </c>
      <c r="C50" s="261" t="s">
        <v>1299</v>
      </c>
      <c r="D50" s="262">
        <v>40848</v>
      </c>
      <c r="E50" s="262">
        <v>40575</v>
      </c>
      <c r="F50" s="261" t="s">
        <v>5</v>
      </c>
      <c r="G50" s="252" t="s">
        <v>1451</v>
      </c>
      <c r="H50" s="261" t="s">
        <v>522</v>
      </c>
      <c r="I50" s="254" t="s">
        <v>2331</v>
      </c>
      <c r="J50" s="263">
        <v>10500</v>
      </c>
      <c r="K50" s="263">
        <v>147854</v>
      </c>
      <c r="L50" s="257">
        <v>147854</v>
      </c>
      <c r="M50" s="263">
        <v>137197</v>
      </c>
      <c r="N50" s="256">
        <f t="shared" si="2"/>
        <v>13.066380952380952</v>
      </c>
      <c r="O50" s="264">
        <v>100</v>
      </c>
      <c r="P50" s="263">
        <v>7500</v>
      </c>
      <c r="Q50" s="263">
        <v>7500</v>
      </c>
      <c r="R50" s="263">
        <v>7500</v>
      </c>
      <c r="S50" s="264" t="s">
        <v>2</v>
      </c>
      <c r="T50" s="264">
        <v>50</v>
      </c>
      <c r="U50" s="264">
        <v>7500</v>
      </c>
      <c r="V50" s="263">
        <v>13625</v>
      </c>
      <c r="W50" s="263">
        <v>21059</v>
      </c>
      <c r="X50" s="349">
        <f t="shared" si="4"/>
        <v>2.8078666666666665</v>
      </c>
      <c r="Y50" s="263"/>
      <c r="Z50" s="263"/>
      <c r="AA50" s="263"/>
      <c r="AB50" s="263"/>
      <c r="AC50" s="263"/>
      <c r="AD50" s="263"/>
      <c r="AE50" s="263">
        <v>3000</v>
      </c>
      <c r="AF50" s="263"/>
      <c r="AG50" s="263"/>
      <c r="AH50" s="263"/>
      <c r="AI50" s="264"/>
      <c r="AJ50" s="259">
        <f t="shared" si="3"/>
        <v>0</v>
      </c>
      <c r="AK50" s="263">
        <v>0</v>
      </c>
      <c r="AL50" s="263">
        <v>0</v>
      </c>
      <c r="AM50" s="264"/>
      <c r="AN50" s="264"/>
      <c r="AO50" s="264"/>
      <c r="AP50" s="264"/>
      <c r="AQ50" s="264"/>
      <c r="AR50" s="264"/>
      <c r="AS50" s="264"/>
      <c r="AT50" s="264"/>
      <c r="AU50" s="265" t="s">
        <v>523</v>
      </c>
    </row>
    <row r="51" spans="1:47" s="287" customFormat="1" ht="14.25" customHeight="1">
      <c r="A51" s="260">
        <v>49</v>
      </c>
      <c r="B51" s="259" t="s">
        <v>97</v>
      </c>
      <c r="C51" s="259" t="s">
        <v>1299</v>
      </c>
      <c r="D51" s="351">
        <v>40756</v>
      </c>
      <c r="E51" s="351">
        <v>40940</v>
      </c>
      <c r="F51" s="252" t="s">
        <v>5</v>
      </c>
      <c r="G51" s="252" t="s">
        <v>1451</v>
      </c>
      <c r="H51" s="252" t="s">
        <v>1114</v>
      </c>
      <c r="I51" s="254" t="s">
        <v>2331</v>
      </c>
      <c r="J51" s="298">
        <v>11200</v>
      </c>
      <c r="K51" s="298">
        <v>250491</v>
      </c>
      <c r="L51" s="298">
        <v>250491</v>
      </c>
      <c r="M51" s="298">
        <v>248814</v>
      </c>
      <c r="N51" s="256">
        <f t="shared" si="2"/>
        <v>22.215535714285714</v>
      </c>
      <c r="O51" s="263">
        <v>100</v>
      </c>
      <c r="P51" s="298">
        <v>8000</v>
      </c>
      <c r="Q51" s="298">
        <v>200</v>
      </c>
      <c r="R51" s="298">
        <v>8000</v>
      </c>
      <c r="S51" s="298" t="s">
        <v>233</v>
      </c>
      <c r="T51" s="298">
        <v>80</v>
      </c>
      <c r="U51" s="298">
        <v>10000</v>
      </c>
      <c r="V51" s="298">
        <v>8222</v>
      </c>
      <c r="W51" s="298">
        <v>28394</v>
      </c>
      <c r="X51" s="349">
        <f t="shared" si="4"/>
        <v>3.5492499999999998</v>
      </c>
      <c r="Y51" s="298"/>
      <c r="Z51" s="298"/>
      <c r="AA51" s="298">
        <v>10000</v>
      </c>
      <c r="AB51" s="298">
        <v>80</v>
      </c>
      <c r="AC51" s="298"/>
      <c r="AD51" s="256"/>
      <c r="AE51" s="298">
        <v>3200</v>
      </c>
      <c r="AF51" s="298"/>
      <c r="AG51" s="298"/>
      <c r="AH51" s="298"/>
      <c r="AI51" s="259"/>
      <c r="AJ51" s="259">
        <f t="shared" si="3"/>
        <v>10000</v>
      </c>
      <c r="AK51" s="298">
        <v>14760</v>
      </c>
      <c r="AL51" s="298">
        <v>14035</v>
      </c>
      <c r="AM51" s="259"/>
      <c r="AN51" s="259"/>
      <c r="AO51" s="259"/>
      <c r="AP51" s="259"/>
      <c r="AQ51" s="259"/>
      <c r="AR51" s="259"/>
      <c r="AS51" s="259"/>
      <c r="AT51" s="259"/>
      <c r="AU51" s="277" t="s">
        <v>1113</v>
      </c>
    </row>
    <row r="52" spans="1:47" s="287" customFormat="1" ht="14.25" customHeight="1">
      <c r="A52" s="260">
        <v>50</v>
      </c>
      <c r="B52" s="254" t="s">
        <v>20</v>
      </c>
      <c r="C52" s="254" t="s">
        <v>1286</v>
      </c>
      <c r="D52" s="255">
        <v>40878</v>
      </c>
      <c r="E52" s="255">
        <v>40940</v>
      </c>
      <c r="F52" s="254" t="s">
        <v>5</v>
      </c>
      <c r="G52" s="273" t="s">
        <v>1451</v>
      </c>
      <c r="H52" s="254" t="s">
        <v>1329</v>
      </c>
      <c r="I52" s="254" t="s">
        <v>2331</v>
      </c>
      <c r="J52" s="256">
        <v>11450</v>
      </c>
      <c r="K52" s="256">
        <v>105591</v>
      </c>
      <c r="L52" s="256">
        <v>105591</v>
      </c>
      <c r="M52" s="256">
        <v>105591</v>
      </c>
      <c r="N52" s="256">
        <f t="shared" si="2"/>
        <v>9.2219213973799121</v>
      </c>
      <c r="O52" s="257" t="s">
        <v>66</v>
      </c>
      <c r="P52" s="256">
        <v>6000</v>
      </c>
      <c r="Q52" s="256" t="s">
        <v>75</v>
      </c>
      <c r="R52" s="256">
        <v>6000</v>
      </c>
      <c r="S52" s="254" t="s">
        <v>233</v>
      </c>
      <c r="T52" s="254" t="s">
        <v>75</v>
      </c>
      <c r="U52" s="254" t="s">
        <v>75</v>
      </c>
      <c r="V52" s="256">
        <v>24862</v>
      </c>
      <c r="W52" s="256"/>
      <c r="X52" s="349">
        <f t="shared" si="4"/>
        <v>0</v>
      </c>
      <c r="Y52" s="256">
        <v>3700</v>
      </c>
      <c r="Z52" s="256">
        <v>3700</v>
      </c>
      <c r="AA52" s="256">
        <v>3700</v>
      </c>
      <c r="AB52" s="256"/>
      <c r="AC52" s="256"/>
      <c r="AD52" s="256"/>
      <c r="AE52" s="256">
        <v>500</v>
      </c>
      <c r="AF52" s="256"/>
      <c r="AG52" s="256"/>
      <c r="AH52" s="256"/>
      <c r="AI52" s="254"/>
      <c r="AJ52" s="254">
        <f t="shared" si="3"/>
        <v>7400</v>
      </c>
      <c r="AK52" s="256">
        <v>16574</v>
      </c>
      <c r="AL52" s="292">
        <v>16574</v>
      </c>
      <c r="AM52" s="254"/>
      <c r="AN52" s="254"/>
      <c r="AO52" s="254"/>
      <c r="AP52" s="254"/>
      <c r="AQ52" s="254"/>
      <c r="AR52" s="254"/>
      <c r="AS52" s="254"/>
      <c r="AT52" s="254"/>
      <c r="AU52" s="258" t="s">
        <v>1330</v>
      </c>
    </row>
    <row r="53" spans="1:47" s="287" customFormat="1" ht="14.25" customHeight="1">
      <c r="A53" s="260">
        <v>51</v>
      </c>
      <c r="B53" s="261" t="s">
        <v>919</v>
      </c>
      <c r="C53" s="261" t="s">
        <v>1286</v>
      </c>
      <c r="D53" s="262">
        <v>40544</v>
      </c>
      <c r="E53" s="262">
        <v>40787</v>
      </c>
      <c r="F53" s="261" t="s">
        <v>5</v>
      </c>
      <c r="G53" s="252" t="s">
        <v>1451</v>
      </c>
      <c r="H53" s="261" t="s">
        <v>918</v>
      </c>
      <c r="I53" s="254" t="s">
        <v>2331</v>
      </c>
      <c r="J53" s="263">
        <v>12500</v>
      </c>
      <c r="K53" s="263">
        <v>20000</v>
      </c>
      <c r="L53" s="257">
        <v>20000</v>
      </c>
      <c r="M53" s="263">
        <v>4472</v>
      </c>
      <c r="N53" s="256">
        <f t="shared" si="2"/>
        <v>0.35776000000000002</v>
      </c>
      <c r="O53" s="263">
        <v>100</v>
      </c>
      <c r="P53" s="263" t="s">
        <v>75</v>
      </c>
      <c r="Q53" s="263" t="s">
        <v>75</v>
      </c>
      <c r="R53" s="263" t="s">
        <v>75</v>
      </c>
      <c r="S53" s="264" t="s">
        <v>233</v>
      </c>
      <c r="T53" s="264" t="s">
        <v>75</v>
      </c>
      <c r="U53" s="264" t="s">
        <v>75</v>
      </c>
      <c r="V53" s="263" t="s">
        <v>66</v>
      </c>
      <c r="W53" s="263" t="s">
        <v>66</v>
      </c>
      <c r="X53" s="263"/>
      <c r="Y53" s="263"/>
      <c r="Z53" s="263" t="s">
        <v>2</v>
      </c>
      <c r="AA53" s="263"/>
      <c r="AB53" s="263"/>
      <c r="AC53" s="263" t="s">
        <v>75</v>
      </c>
      <c r="AD53" s="263" t="s">
        <v>75</v>
      </c>
      <c r="AE53" s="263" t="s">
        <v>75</v>
      </c>
      <c r="AF53" s="263" t="s">
        <v>75</v>
      </c>
      <c r="AG53" s="263" t="s">
        <v>75</v>
      </c>
      <c r="AH53" s="263" t="s">
        <v>75</v>
      </c>
      <c r="AI53" s="264" t="s">
        <v>75</v>
      </c>
      <c r="AJ53" s="259">
        <f t="shared" si="3"/>
        <v>0</v>
      </c>
      <c r="AK53" s="263" t="s">
        <v>66</v>
      </c>
      <c r="AL53" s="263" t="s">
        <v>66</v>
      </c>
      <c r="AM53" s="261"/>
      <c r="AN53" s="261"/>
      <c r="AO53" s="261"/>
      <c r="AP53" s="261"/>
      <c r="AQ53" s="261"/>
      <c r="AR53" s="261"/>
      <c r="AS53" s="264" t="s">
        <v>75</v>
      </c>
      <c r="AT53" s="264" t="s">
        <v>75</v>
      </c>
      <c r="AU53" s="261" t="s">
        <v>917</v>
      </c>
    </row>
    <row r="54" spans="1:47" s="287" customFormat="1" ht="14.25" customHeight="1">
      <c r="A54" s="260">
        <v>52</v>
      </c>
      <c r="B54" s="254" t="s">
        <v>536</v>
      </c>
      <c r="C54" s="254" t="s">
        <v>1286</v>
      </c>
      <c r="D54" s="255">
        <v>40817</v>
      </c>
      <c r="E54" s="255">
        <v>40909</v>
      </c>
      <c r="F54" s="254" t="s">
        <v>1332</v>
      </c>
      <c r="G54" s="252" t="s">
        <v>1450</v>
      </c>
      <c r="H54" s="254" t="s">
        <v>1333</v>
      </c>
      <c r="I54" s="254" t="s">
        <v>2331</v>
      </c>
      <c r="J54" s="256">
        <v>12500</v>
      </c>
      <c r="K54" s="256">
        <v>94374</v>
      </c>
      <c r="L54" s="256">
        <v>94374</v>
      </c>
      <c r="M54" s="256">
        <v>94374</v>
      </c>
      <c r="N54" s="256">
        <f t="shared" si="2"/>
        <v>7.5499200000000002</v>
      </c>
      <c r="O54" s="257" t="s">
        <v>66</v>
      </c>
      <c r="P54" s="256">
        <v>12500</v>
      </c>
      <c r="Q54" s="256" t="s">
        <v>75</v>
      </c>
      <c r="R54" s="256">
        <v>12500</v>
      </c>
      <c r="S54" s="254" t="s">
        <v>233</v>
      </c>
      <c r="T54" s="254" t="s">
        <v>134</v>
      </c>
      <c r="U54" s="254">
        <v>1250</v>
      </c>
      <c r="V54" s="257" t="s">
        <v>66</v>
      </c>
      <c r="W54" s="257" t="s">
        <v>66</v>
      </c>
      <c r="X54" s="349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4"/>
      <c r="AJ54" s="259">
        <f t="shared" si="3"/>
        <v>0</v>
      </c>
      <c r="AK54" s="257" t="s">
        <v>66</v>
      </c>
      <c r="AL54" s="257" t="s">
        <v>66</v>
      </c>
      <c r="AM54" s="254"/>
      <c r="AN54" s="254"/>
      <c r="AO54" s="254"/>
      <c r="AP54" s="254"/>
      <c r="AQ54" s="254"/>
      <c r="AR54" s="254"/>
      <c r="AS54" s="254"/>
      <c r="AT54" s="254"/>
      <c r="AU54" s="258" t="s">
        <v>1331</v>
      </c>
    </row>
    <row r="55" spans="1:47" s="287" customFormat="1" ht="14.25" customHeight="1">
      <c r="A55" s="260">
        <v>53</v>
      </c>
      <c r="B55" s="261" t="s">
        <v>532</v>
      </c>
      <c r="C55" s="261" t="s">
        <v>1261</v>
      </c>
      <c r="D55" s="272">
        <v>40575</v>
      </c>
      <c r="E55" s="262">
        <v>40664</v>
      </c>
      <c r="F55" s="261" t="s">
        <v>533</v>
      </c>
      <c r="G55" s="252" t="s">
        <v>1450</v>
      </c>
      <c r="H55" s="261" t="s">
        <v>534</v>
      </c>
      <c r="I55" s="254" t="s">
        <v>2331</v>
      </c>
      <c r="J55" s="263">
        <v>14530</v>
      </c>
      <c r="K55" s="263">
        <v>90322</v>
      </c>
      <c r="L55" s="257">
        <v>90322</v>
      </c>
      <c r="M55" s="263">
        <v>52683</v>
      </c>
      <c r="N55" s="256">
        <f t="shared" si="2"/>
        <v>3.6258086717136959</v>
      </c>
      <c r="O55" s="264">
        <v>100</v>
      </c>
      <c r="P55" s="263">
        <v>14530</v>
      </c>
      <c r="Q55" s="263"/>
      <c r="R55" s="263">
        <v>14530</v>
      </c>
      <c r="S55" s="264" t="s">
        <v>233</v>
      </c>
      <c r="T55" s="264"/>
      <c r="U55" s="264">
        <v>14530</v>
      </c>
      <c r="V55" s="263">
        <v>5057</v>
      </c>
      <c r="W55" s="263">
        <v>5057</v>
      </c>
      <c r="X55" s="349">
        <f>W55/R55</f>
        <v>0.34803854094975911</v>
      </c>
      <c r="Y55" s="263">
        <v>0</v>
      </c>
      <c r="Z55" s="263">
        <v>0</v>
      </c>
      <c r="AA55" s="263"/>
      <c r="AB55" s="263">
        <v>0</v>
      </c>
      <c r="AC55" s="263">
        <v>0</v>
      </c>
      <c r="AD55" s="263">
        <v>0</v>
      </c>
      <c r="AE55" s="263">
        <v>362</v>
      </c>
      <c r="AF55" s="263">
        <v>0</v>
      </c>
      <c r="AG55" s="263">
        <v>0</v>
      </c>
      <c r="AH55" s="263">
        <v>0</v>
      </c>
      <c r="AI55" s="264">
        <v>0</v>
      </c>
      <c r="AJ55" s="259">
        <f t="shared" si="3"/>
        <v>0</v>
      </c>
      <c r="AK55" s="263">
        <v>0</v>
      </c>
      <c r="AL55" s="263">
        <v>0</v>
      </c>
      <c r="AM55" s="264"/>
      <c r="AN55" s="264"/>
      <c r="AO55" s="264"/>
      <c r="AP55" s="264"/>
      <c r="AQ55" s="264"/>
      <c r="AR55" s="264"/>
      <c r="AS55" s="264"/>
      <c r="AT55" s="264"/>
      <c r="AU55" s="265" t="s">
        <v>535</v>
      </c>
    </row>
    <row r="56" spans="1:47" s="287" customFormat="1" ht="14.25" customHeight="1">
      <c r="A56" s="260">
        <v>54</v>
      </c>
      <c r="B56" s="261" t="s">
        <v>481</v>
      </c>
      <c r="C56" s="261" t="s">
        <v>1299</v>
      </c>
      <c r="D56" s="262">
        <v>40544</v>
      </c>
      <c r="E56" s="262">
        <v>40634</v>
      </c>
      <c r="F56" s="261" t="s">
        <v>482</v>
      </c>
      <c r="G56" s="252" t="s">
        <v>1460</v>
      </c>
      <c r="H56" s="261" t="s">
        <v>483</v>
      </c>
      <c r="I56" s="254" t="s">
        <v>2331</v>
      </c>
      <c r="J56" s="263">
        <v>15000</v>
      </c>
      <c r="K56" s="263">
        <v>345207</v>
      </c>
      <c r="L56" s="257">
        <v>345207</v>
      </c>
      <c r="M56" s="263">
        <v>315178</v>
      </c>
      <c r="N56" s="256">
        <f t="shared" si="2"/>
        <v>21.011866666666666</v>
      </c>
      <c r="O56" s="264">
        <v>100</v>
      </c>
      <c r="P56" s="263">
        <v>15000</v>
      </c>
      <c r="Q56" s="263">
        <v>15000</v>
      </c>
      <c r="R56" s="263">
        <v>15000</v>
      </c>
      <c r="S56" s="264" t="s">
        <v>95</v>
      </c>
      <c r="T56" s="264"/>
      <c r="U56" s="264"/>
      <c r="V56" s="263">
        <v>37210</v>
      </c>
      <c r="W56" s="263">
        <v>4760</v>
      </c>
      <c r="X56" s="349">
        <f>W56/R56</f>
        <v>0.31733333333333336</v>
      </c>
      <c r="Y56" s="263"/>
      <c r="Z56" s="263"/>
      <c r="AA56" s="263"/>
      <c r="AB56" s="263">
        <v>334</v>
      </c>
      <c r="AC56" s="263"/>
      <c r="AD56" s="263"/>
      <c r="AE56" s="263"/>
      <c r="AF56" s="263"/>
      <c r="AG56" s="263"/>
      <c r="AH56" s="263"/>
      <c r="AI56" s="264"/>
      <c r="AJ56" s="259">
        <f t="shared" si="3"/>
        <v>0</v>
      </c>
      <c r="AK56" s="263">
        <v>47755</v>
      </c>
      <c r="AL56" s="263">
        <v>47755</v>
      </c>
      <c r="AM56" s="264"/>
      <c r="AN56" s="264"/>
      <c r="AO56" s="264"/>
      <c r="AP56" s="264"/>
      <c r="AQ56" s="264"/>
      <c r="AR56" s="264"/>
      <c r="AS56" s="264"/>
      <c r="AT56" s="264"/>
      <c r="AU56" s="265" t="s">
        <v>484</v>
      </c>
    </row>
    <row r="57" spans="1:47" s="287" customFormat="1" ht="14.25" customHeight="1">
      <c r="A57" s="260">
        <v>55</v>
      </c>
      <c r="B57" s="254" t="s">
        <v>97</v>
      </c>
      <c r="C57" s="288" t="s">
        <v>1299</v>
      </c>
      <c r="D57" s="255">
        <v>40817</v>
      </c>
      <c r="E57" s="255">
        <v>40909</v>
      </c>
      <c r="F57" s="254" t="s">
        <v>168</v>
      </c>
      <c r="G57" s="252" t="s">
        <v>1449</v>
      </c>
      <c r="H57" s="254" t="s">
        <v>1373</v>
      </c>
      <c r="I57" s="254" t="s">
        <v>2331</v>
      </c>
      <c r="J57" s="288">
        <v>15000</v>
      </c>
      <c r="K57" s="288">
        <v>181335</v>
      </c>
      <c r="L57" s="289">
        <v>181335</v>
      </c>
      <c r="M57" s="288">
        <v>181335</v>
      </c>
      <c r="N57" s="256">
        <f t="shared" si="2"/>
        <v>12.089</v>
      </c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56"/>
      <c r="Z57" s="256"/>
      <c r="AA57" s="256">
        <v>5000</v>
      </c>
      <c r="AB57" s="256">
        <v>150</v>
      </c>
      <c r="AC57" s="256"/>
      <c r="AD57" s="256" t="s">
        <v>2</v>
      </c>
      <c r="AE57" s="256"/>
      <c r="AF57" s="256"/>
      <c r="AG57" s="256"/>
      <c r="AH57" s="256"/>
      <c r="AI57" s="288"/>
      <c r="AJ57" s="259">
        <f t="shared" si="3"/>
        <v>5000</v>
      </c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 t="s">
        <v>1374</v>
      </c>
    </row>
    <row r="58" spans="1:47" s="287" customFormat="1" ht="14.25" customHeight="1">
      <c r="A58" s="260">
        <v>56</v>
      </c>
      <c r="B58" s="261" t="s">
        <v>485</v>
      </c>
      <c r="C58" s="261" t="s">
        <v>1299</v>
      </c>
      <c r="D58" s="272">
        <v>40575</v>
      </c>
      <c r="E58" s="262">
        <v>40695</v>
      </c>
      <c r="F58" s="261" t="s">
        <v>486</v>
      </c>
      <c r="G58" s="252" t="s">
        <v>1450</v>
      </c>
      <c r="H58" s="261" t="s">
        <v>487</v>
      </c>
      <c r="I58" s="254" t="s">
        <v>2331</v>
      </c>
      <c r="J58" s="263">
        <v>15500</v>
      </c>
      <c r="K58" s="263">
        <v>305275</v>
      </c>
      <c r="L58" s="257">
        <v>223197</v>
      </c>
      <c r="M58" s="263">
        <v>223197</v>
      </c>
      <c r="N58" s="256">
        <f t="shared" si="2"/>
        <v>14.399806451612903</v>
      </c>
      <c r="O58" s="264">
        <v>0.1</v>
      </c>
      <c r="P58" s="263">
        <v>1120</v>
      </c>
      <c r="Q58" s="263">
        <v>3328</v>
      </c>
      <c r="R58" s="263">
        <v>3328</v>
      </c>
      <c r="S58" s="264" t="s">
        <v>2</v>
      </c>
      <c r="T58" s="264">
        <v>605</v>
      </c>
      <c r="U58" s="264">
        <v>3328</v>
      </c>
      <c r="V58" s="263">
        <v>98835</v>
      </c>
      <c r="W58" s="263">
        <v>65980</v>
      </c>
      <c r="X58" s="349">
        <f>W58/R58</f>
        <v>19.825721153846153</v>
      </c>
      <c r="Y58" s="263"/>
      <c r="Z58" s="263"/>
      <c r="AA58" s="263"/>
      <c r="AB58" s="263"/>
      <c r="AC58" s="263" t="s">
        <v>2</v>
      </c>
      <c r="AD58" s="263"/>
      <c r="AE58" s="263"/>
      <c r="AF58" s="263"/>
      <c r="AG58" s="263"/>
      <c r="AH58" s="263"/>
      <c r="AI58" s="264"/>
      <c r="AJ58" s="259">
        <f t="shared" si="3"/>
        <v>0</v>
      </c>
      <c r="AK58" s="263">
        <v>0</v>
      </c>
      <c r="AL58" s="263">
        <v>0</v>
      </c>
      <c r="AM58" s="264"/>
      <c r="AN58" s="264"/>
      <c r="AO58" s="264"/>
      <c r="AP58" s="264"/>
      <c r="AQ58" s="264"/>
      <c r="AR58" s="264"/>
      <c r="AS58" s="264"/>
      <c r="AT58" s="264"/>
      <c r="AU58" s="265" t="s">
        <v>488</v>
      </c>
    </row>
    <row r="59" spans="1:47" s="287" customFormat="1" ht="14.25" customHeight="1">
      <c r="A59" s="260">
        <v>57</v>
      </c>
      <c r="B59" s="261" t="s">
        <v>927</v>
      </c>
      <c r="C59" s="261" t="s">
        <v>1286</v>
      </c>
      <c r="D59" s="262">
        <v>40634</v>
      </c>
      <c r="E59" s="262">
        <v>40787</v>
      </c>
      <c r="F59" s="261" t="s">
        <v>468</v>
      </c>
      <c r="G59" s="252" t="s">
        <v>1449</v>
      </c>
      <c r="H59" s="261" t="s">
        <v>926</v>
      </c>
      <c r="I59" s="254" t="s">
        <v>2331</v>
      </c>
      <c r="J59" s="263">
        <v>19455</v>
      </c>
      <c r="K59" s="263">
        <v>99593</v>
      </c>
      <c r="L59" s="263">
        <v>99593</v>
      </c>
      <c r="M59" s="263">
        <v>82176</v>
      </c>
      <c r="N59" s="256">
        <f t="shared" si="2"/>
        <v>4.2239013107170393</v>
      </c>
      <c r="O59" s="264">
        <v>100</v>
      </c>
      <c r="P59" s="263" t="s">
        <v>134</v>
      </c>
      <c r="Q59" s="263" t="s">
        <v>75</v>
      </c>
      <c r="R59" s="263" t="s">
        <v>134</v>
      </c>
      <c r="S59" s="264" t="s">
        <v>233</v>
      </c>
      <c r="T59" s="264" t="s">
        <v>75</v>
      </c>
      <c r="U59" s="264" t="s">
        <v>75</v>
      </c>
      <c r="V59" s="263">
        <v>0</v>
      </c>
      <c r="W59" s="263">
        <v>7543</v>
      </c>
      <c r="X59" s="263"/>
      <c r="Y59" s="263"/>
      <c r="Z59" s="263" t="s">
        <v>75</v>
      </c>
      <c r="AA59" s="263">
        <v>19455</v>
      </c>
      <c r="AB59" s="263">
        <v>133</v>
      </c>
      <c r="AC59" s="263" t="s">
        <v>75</v>
      </c>
      <c r="AD59" s="263">
        <v>62</v>
      </c>
      <c r="AE59" s="263" t="s">
        <v>75</v>
      </c>
      <c r="AF59" s="263" t="s">
        <v>75</v>
      </c>
      <c r="AG59" s="263" t="s">
        <v>75</v>
      </c>
      <c r="AH59" s="263" t="s">
        <v>75</v>
      </c>
      <c r="AI59" s="264" t="s">
        <v>75</v>
      </c>
      <c r="AJ59" s="259">
        <f t="shared" si="3"/>
        <v>19455</v>
      </c>
      <c r="AK59" s="263">
        <v>2266</v>
      </c>
      <c r="AL59" s="263">
        <v>2256</v>
      </c>
      <c r="AM59" s="264"/>
      <c r="AN59" s="264"/>
      <c r="AO59" s="264"/>
      <c r="AP59" s="264"/>
      <c r="AQ59" s="264"/>
      <c r="AR59" s="264"/>
      <c r="AS59" s="264" t="s">
        <v>75</v>
      </c>
      <c r="AT59" s="264" t="s">
        <v>75</v>
      </c>
      <c r="AU59" s="264" t="s">
        <v>467</v>
      </c>
    </row>
    <row r="60" spans="1:47" s="287" customFormat="1" ht="14.25" customHeight="1">
      <c r="A60" s="260">
        <v>58</v>
      </c>
      <c r="B60" s="278" t="s">
        <v>12</v>
      </c>
      <c r="C60" s="261" t="s">
        <v>1299</v>
      </c>
      <c r="D60" s="272">
        <v>40575</v>
      </c>
      <c r="E60" s="272">
        <v>40603</v>
      </c>
      <c r="F60" s="278" t="s">
        <v>78</v>
      </c>
      <c r="G60" s="252" t="s">
        <v>1452</v>
      </c>
      <c r="H60" s="278" t="s">
        <v>58</v>
      </c>
      <c r="I60" s="278" t="s">
        <v>2438</v>
      </c>
      <c r="J60" s="279">
        <v>20000</v>
      </c>
      <c r="K60" s="279">
        <v>3586228</v>
      </c>
      <c r="L60" s="279">
        <v>271075</v>
      </c>
      <c r="M60" s="279">
        <v>271075</v>
      </c>
      <c r="N60" s="256">
        <f t="shared" si="2"/>
        <v>13.553750000000001</v>
      </c>
      <c r="O60" s="280">
        <v>8</v>
      </c>
      <c r="P60" s="279">
        <v>20000</v>
      </c>
      <c r="Q60" s="279">
        <v>20000</v>
      </c>
      <c r="R60" s="279">
        <v>20000</v>
      </c>
      <c r="S60" s="280" t="s">
        <v>94</v>
      </c>
      <c r="T60" s="280">
        <v>200</v>
      </c>
      <c r="U60" s="280">
        <v>20000</v>
      </c>
      <c r="V60" s="279">
        <v>650899</v>
      </c>
      <c r="W60" s="263">
        <v>52071.92</v>
      </c>
      <c r="X60" s="349">
        <f>W60/R60</f>
        <v>2.603596</v>
      </c>
      <c r="Y60" s="279">
        <v>20000</v>
      </c>
      <c r="Z60" s="279">
        <v>760</v>
      </c>
      <c r="AA60" s="279">
        <v>750</v>
      </c>
      <c r="AB60" s="279">
        <v>50</v>
      </c>
      <c r="AC60" s="279"/>
      <c r="AD60" s="279"/>
      <c r="AE60" s="279">
        <v>4000</v>
      </c>
      <c r="AF60" s="279"/>
      <c r="AG60" s="279"/>
      <c r="AH60" s="279">
        <v>4956</v>
      </c>
      <c r="AI60" s="280"/>
      <c r="AJ60" s="259">
        <f t="shared" si="3"/>
        <v>6466</v>
      </c>
      <c r="AK60" s="279">
        <v>173265</v>
      </c>
      <c r="AL60" s="263">
        <v>13861.2</v>
      </c>
      <c r="AM60" s="280"/>
      <c r="AN60" s="280"/>
      <c r="AO60" s="280"/>
      <c r="AP60" s="280"/>
      <c r="AQ60" s="280"/>
      <c r="AR60" s="280"/>
      <c r="AS60" s="280"/>
      <c r="AT60" s="280"/>
      <c r="AU60" s="265" t="s">
        <v>847</v>
      </c>
    </row>
    <row r="61" spans="1:47" s="287" customFormat="1" ht="14.25" customHeight="1">
      <c r="A61" s="260">
        <v>59</v>
      </c>
      <c r="B61" s="254" t="s">
        <v>171</v>
      </c>
      <c r="C61" s="254" t="s">
        <v>1299</v>
      </c>
      <c r="D61" s="255">
        <v>40787</v>
      </c>
      <c r="E61" s="255">
        <v>41153</v>
      </c>
      <c r="F61" s="254" t="s">
        <v>1428</v>
      </c>
      <c r="G61" s="252" t="s">
        <v>1462</v>
      </c>
      <c r="H61" s="254" t="s">
        <v>1429</v>
      </c>
      <c r="I61" s="278" t="s">
        <v>2438</v>
      </c>
      <c r="J61" s="256">
        <v>20000</v>
      </c>
      <c r="K61" s="256">
        <v>1352126</v>
      </c>
      <c r="L61" s="286">
        <v>250000</v>
      </c>
      <c r="M61" s="256">
        <v>250000</v>
      </c>
      <c r="N61" s="256">
        <f t="shared" si="2"/>
        <v>12.5</v>
      </c>
      <c r="O61" s="256"/>
      <c r="P61" s="256"/>
      <c r="Q61" s="256"/>
      <c r="R61" s="256"/>
      <c r="S61" s="254"/>
      <c r="T61" s="254"/>
      <c r="U61" s="254"/>
      <c r="V61" s="256"/>
      <c r="W61" s="256"/>
      <c r="X61" s="256"/>
      <c r="Y61" s="256"/>
      <c r="Z61" s="256"/>
      <c r="AA61" s="256"/>
      <c r="AB61" s="256">
        <v>30</v>
      </c>
      <c r="AC61" s="256"/>
      <c r="AD61" s="256"/>
      <c r="AE61" s="256">
        <v>2000</v>
      </c>
      <c r="AF61" s="256"/>
      <c r="AG61" s="256"/>
      <c r="AH61" s="256"/>
      <c r="AI61" s="254"/>
      <c r="AJ61" s="259">
        <f t="shared" si="3"/>
        <v>0</v>
      </c>
      <c r="AK61" s="256"/>
      <c r="AL61" s="256"/>
      <c r="AM61" s="254" t="s">
        <v>1424</v>
      </c>
      <c r="AN61" s="254"/>
      <c r="AO61" s="254"/>
      <c r="AP61" s="254"/>
      <c r="AQ61" s="254"/>
      <c r="AR61" s="254"/>
      <c r="AS61" s="254"/>
      <c r="AT61" s="254"/>
      <c r="AU61" s="254" t="s">
        <v>1430</v>
      </c>
    </row>
    <row r="62" spans="1:47" s="287" customFormat="1" ht="14.25" customHeight="1">
      <c r="A62" s="260">
        <v>60</v>
      </c>
      <c r="B62" s="254" t="s">
        <v>171</v>
      </c>
      <c r="C62" s="254" t="s">
        <v>1299</v>
      </c>
      <c r="D62" s="255">
        <v>40878</v>
      </c>
      <c r="E62" s="255">
        <v>40969</v>
      </c>
      <c r="F62" s="254" t="s">
        <v>5</v>
      </c>
      <c r="G62" s="252" t="s">
        <v>1451</v>
      </c>
      <c r="H62" s="254" t="s">
        <v>1431</v>
      </c>
      <c r="I62" s="254" t="s">
        <v>2331</v>
      </c>
      <c r="J62" s="256">
        <v>20000</v>
      </c>
      <c r="K62" s="256">
        <v>203042</v>
      </c>
      <c r="L62" s="286">
        <v>203042</v>
      </c>
      <c r="M62" s="256">
        <v>203042</v>
      </c>
      <c r="N62" s="256">
        <f t="shared" si="2"/>
        <v>10.152100000000001</v>
      </c>
      <c r="O62" s="256"/>
      <c r="P62" s="256">
        <v>15000</v>
      </c>
      <c r="Q62" s="256">
        <v>15000</v>
      </c>
      <c r="R62" s="256">
        <v>15000</v>
      </c>
      <c r="S62" s="254"/>
      <c r="T62" s="254"/>
      <c r="U62" s="254">
        <v>15000</v>
      </c>
      <c r="V62" s="256"/>
      <c r="W62" s="256"/>
      <c r="X62" s="349">
        <f>W62/R62</f>
        <v>0</v>
      </c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4"/>
      <c r="AJ62" s="259">
        <f t="shared" si="3"/>
        <v>0</v>
      </c>
      <c r="AK62" s="256"/>
      <c r="AL62" s="256"/>
      <c r="AM62" s="254"/>
      <c r="AN62" s="254"/>
      <c r="AO62" s="254"/>
      <c r="AP62" s="254"/>
      <c r="AQ62" s="254"/>
      <c r="AR62" s="254"/>
      <c r="AS62" s="254"/>
      <c r="AT62" s="254"/>
      <c r="AU62" s="254" t="s">
        <v>1432</v>
      </c>
    </row>
    <row r="63" spans="1:47" s="287" customFormat="1" ht="14.25" customHeight="1">
      <c r="A63" s="260">
        <v>61</v>
      </c>
      <c r="B63" s="254" t="s">
        <v>12</v>
      </c>
      <c r="C63" s="254" t="s">
        <v>1299</v>
      </c>
      <c r="D63" s="255">
        <v>40878</v>
      </c>
      <c r="E63" s="255">
        <v>41000</v>
      </c>
      <c r="F63" s="254" t="s">
        <v>5</v>
      </c>
      <c r="G63" s="252" t="s">
        <v>1451</v>
      </c>
      <c r="H63" s="254" t="s">
        <v>1356</v>
      </c>
      <c r="I63" s="254" t="s">
        <v>2331</v>
      </c>
      <c r="J63" s="256">
        <v>21000</v>
      </c>
      <c r="K63" s="256">
        <v>300003</v>
      </c>
      <c r="L63" s="256">
        <v>300003</v>
      </c>
      <c r="M63" s="256">
        <v>300003</v>
      </c>
      <c r="N63" s="256">
        <f t="shared" si="2"/>
        <v>14.285857142857143</v>
      </c>
      <c r="O63" s="257">
        <v>100</v>
      </c>
      <c r="P63" s="256">
        <v>21000</v>
      </c>
      <c r="Q63" s="256"/>
      <c r="R63" s="256">
        <v>21000</v>
      </c>
      <c r="S63" s="254" t="s">
        <v>2</v>
      </c>
      <c r="T63" s="254"/>
      <c r="U63" s="254">
        <v>21000</v>
      </c>
      <c r="V63" s="256">
        <v>32089</v>
      </c>
      <c r="W63" s="256">
        <v>32089</v>
      </c>
      <c r="X63" s="349">
        <f>W63/R63</f>
        <v>1.5280476190476191</v>
      </c>
      <c r="Y63" s="256"/>
      <c r="Z63" s="256"/>
      <c r="AA63" s="256">
        <v>21000</v>
      </c>
      <c r="AB63" s="256"/>
      <c r="AC63" s="256"/>
      <c r="AD63" s="256"/>
      <c r="AE63" s="256">
        <v>3981.6</v>
      </c>
      <c r="AF63" s="256"/>
      <c r="AG63" s="256"/>
      <c r="AH63" s="256"/>
      <c r="AI63" s="254"/>
      <c r="AJ63" s="259">
        <f t="shared" si="3"/>
        <v>21000</v>
      </c>
      <c r="AK63" s="256">
        <v>43889</v>
      </c>
      <c r="AL63" s="256">
        <v>43889</v>
      </c>
      <c r="AM63" s="254"/>
      <c r="AN63" s="254"/>
      <c r="AO63" s="254"/>
      <c r="AP63" s="254"/>
      <c r="AQ63" s="254"/>
      <c r="AR63" s="254"/>
      <c r="AS63" s="254"/>
      <c r="AT63" s="254"/>
      <c r="AU63" s="254" t="s">
        <v>1355</v>
      </c>
    </row>
    <row r="64" spans="1:47" s="287" customFormat="1" ht="14.25" customHeight="1">
      <c r="A64" s="260">
        <v>62</v>
      </c>
      <c r="B64" s="261" t="s">
        <v>12</v>
      </c>
      <c r="C64" s="261" t="s">
        <v>1299</v>
      </c>
      <c r="D64" s="262">
        <v>40603</v>
      </c>
      <c r="E64" s="262">
        <v>40634</v>
      </c>
      <c r="F64" s="261" t="s">
        <v>937</v>
      </c>
      <c r="G64" s="252" t="s">
        <v>1453</v>
      </c>
      <c r="H64" s="261" t="s">
        <v>939</v>
      </c>
      <c r="I64" s="254" t="s">
        <v>2331</v>
      </c>
      <c r="J64" s="263">
        <v>23335</v>
      </c>
      <c r="K64" s="263">
        <v>205575</v>
      </c>
      <c r="L64" s="263">
        <v>205575</v>
      </c>
      <c r="M64" s="263">
        <v>205575</v>
      </c>
      <c r="N64" s="256">
        <f t="shared" si="2"/>
        <v>8.8097278765802436</v>
      </c>
      <c r="O64" s="263">
        <v>100</v>
      </c>
      <c r="P64" s="263" t="s">
        <v>75</v>
      </c>
      <c r="Q64" s="263" t="s">
        <v>75</v>
      </c>
      <c r="R64" s="263" t="s">
        <v>75</v>
      </c>
      <c r="S64" s="261" t="s">
        <v>233</v>
      </c>
      <c r="T64" s="261" t="s">
        <v>75</v>
      </c>
      <c r="U64" s="261" t="s">
        <v>75</v>
      </c>
      <c r="V64" s="263" t="s">
        <v>66</v>
      </c>
      <c r="W64" s="263" t="s">
        <v>66</v>
      </c>
      <c r="X64" s="263"/>
      <c r="Y64" s="263" t="s">
        <v>75</v>
      </c>
      <c r="Z64" s="263" t="s">
        <v>2</v>
      </c>
      <c r="AA64" s="263"/>
      <c r="AB64" s="263">
        <v>101</v>
      </c>
      <c r="AC64" s="263"/>
      <c r="AD64" s="263"/>
      <c r="AE64" s="263">
        <v>6200</v>
      </c>
      <c r="AF64" s="263" t="s">
        <v>75</v>
      </c>
      <c r="AG64" s="263" t="s">
        <v>75</v>
      </c>
      <c r="AH64" s="263" t="s">
        <v>75</v>
      </c>
      <c r="AI64" s="261" t="s">
        <v>75</v>
      </c>
      <c r="AJ64" s="259">
        <f t="shared" si="3"/>
        <v>0</v>
      </c>
      <c r="AK64" s="263" t="s">
        <v>66</v>
      </c>
      <c r="AL64" s="263" t="s">
        <v>66</v>
      </c>
      <c r="AM64" s="261"/>
      <c r="AN64" s="261"/>
      <c r="AO64" s="261"/>
      <c r="AP64" s="261"/>
      <c r="AQ64" s="261"/>
      <c r="AR64" s="261"/>
      <c r="AS64" s="261" t="s">
        <v>75</v>
      </c>
      <c r="AT64" s="261" t="s">
        <v>75</v>
      </c>
      <c r="AU64" s="293" t="s">
        <v>938</v>
      </c>
    </row>
    <row r="65" spans="1:47" s="287" customFormat="1" ht="14.25" customHeight="1">
      <c r="A65" s="260">
        <v>63</v>
      </c>
      <c r="B65" s="261" t="s">
        <v>1180</v>
      </c>
      <c r="C65" s="264" t="s">
        <v>1291</v>
      </c>
      <c r="D65" s="262">
        <v>40756</v>
      </c>
      <c r="E65" s="262" t="s">
        <v>1289</v>
      </c>
      <c r="F65" s="261" t="s">
        <v>5</v>
      </c>
      <c r="G65" s="273" t="s">
        <v>1451</v>
      </c>
      <c r="H65" s="261" t="s">
        <v>1181</v>
      </c>
      <c r="I65" s="278" t="s">
        <v>2438</v>
      </c>
      <c r="J65" s="263">
        <v>30000</v>
      </c>
      <c r="K65" s="263">
        <v>2392728</v>
      </c>
      <c r="L65" s="263">
        <v>2392728</v>
      </c>
      <c r="M65" s="263">
        <v>2392728</v>
      </c>
      <c r="N65" s="256">
        <f t="shared" si="2"/>
        <v>79.757599999999996</v>
      </c>
      <c r="O65" s="264">
        <v>99</v>
      </c>
      <c r="P65" s="263">
        <f>6876*5</f>
        <v>34380</v>
      </c>
      <c r="Q65" s="263">
        <f>600*5</f>
        <v>3000</v>
      </c>
      <c r="R65" s="263">
        <f>6876*5</f>
        <v>34380</v>
      </c>
      <c r="S65" s="264"/>
      <c r="T65" s="264">
        <v>60</v>
      </c>
      <c r="U65" s="264">
        <v>5000</v>
      </c>
      <c r="V65" s="263">
        <v>196796</v>
      </c>
      <c r="W65" s="263"/>
      <c r="X65" s="349">
        <f>W65/R65</f>
        <v>0</v>
      </c>
      <c r="Y65" s="263"/>
      <c r="Z65" s="263"/>
      <c r="AA65" s="263"/>
      <c r="AB65" s="263">
        <v>800</v>
      </c>
      <c r="AC65" s="263">
        <v>50</v>
      </c>
      <c r="AD65" s="263"/>
      <c r="AE65" s="263"/>
      <c r="AF65" s="263"/>
      <c r="AG65" s="263"/>
      <c r="AH65" s="263"/>
      <c r="AI65" s="264"/>
      <c r="AJ65" s="254">
        <f t="shared" si="3"/>
        <v>0</v>
      </c>
      <c r="AK65" s="263">
        <v>19121</v>
      </c>
      <c r="AL65" s="263"/>
      <c r="AM65" s="264"/>
      <c r="AN65" s="264"/>
      <c r="AO65" s="264"/>
      <c r="AP65" s="264"/>
      <c r="AQ65" s="264"/>
      <c r="AR65" s="264"/>
      <c r="AS65" s="264"/>
      <c r="AT65" s="264"/>
      <c r="AU65" s="275" t="s">
        <v>1179</v>
      </c>
    </row>
    <row r="66" spans="1:47" s="287" customFormat="1" ht="14.25" customHeight="1">
      <c r="A66" s="260">
        <v>64</v>
      </c>
      <c r="B66" s="254" t="s">
        <v>1</v>
      </c>
      <c r="C66" s="254" t="s">
        <v>1299</v>
      </c>
      <c r="D66" s="255">
        <v>40879</v>
      </c>
      <c r="E66" s="255">
        <v>40970</v>
      </c>
      <c r="F66" s="254" t="s">
        <v>116</v>
      </c>
      <c r="G66" s="252" t="s">
        <v>1452</v>
      </c>
      <c r="H66" s="254" t="s">
        <v>1426</v>
      </c>
      <c r="I66" s="254" t="s">
        <v>2331</v>
      </c>
      <c r="J66" s="256">
        <v>25000</v>
      </c>
      <c r="K66" s="256">
        <v>231613</v>
      </c>
      <c r="L66" s="286">
        <v>231613</v>
      </c>
      <c r="M66" s="256">
        <v>231613</v>
      </c>
      <c r="N66" s="256">
        <f t="shared" si="2"/>
        <v>9.2645199999999992</v>
      </c>
      <c r="O66" s="256"/>
      <c r="P66" s="256"/>
      <c r="Q66" s="256"/>
      <c r="R66" s="256"/>
      <c r="S66" s="254"/>
      <c r="T66" s="254"/>
      <c r="U66" s="254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254"/>
      <c r="AJ66" s="259">
        <f t="shared" si="3"/>
        <v>0</v>
      </c>
      <c r="AK66" s="256"/>
      <c r="AL66" s="256"/>
      <c r="AM66" s="254"/>
      <c r="AN66" s="254"/>
      <c r="AO66" s="254"/>
      <c r="AP66" s="254"/>
      <c r="AQ66" s="254"/>
      <c r="AR66" s="254"/>
      <c r="AS66" s="254"/>
      <c r="AT66" s="254"/>
      <c r="AU66" s="254" t="s">
        <v>1427</v>
      </c>
    </row>
    <row r="67" spans="1:47" s="287" customFormat="1" ht="14.25" customHeight="1">
      <c r="A67" s="260">
        <v>65</v>
      </c>
      <c r="B67" s="254" t="s">
        <v>97</v>
      </c>
      <c r="C67" s="259" t="s">
        <v>1299</v>
      </c>
      <c r="D67" s="255">
        <v>40695</v>
      </c>
      <c r="E67" s="255">
        <v>40787</v>
      </c>
      <c r="F67" s="273" t="s">
        <v>1115</v>
      </c>
      <c r="G67" s="273" t="s">
        <v>1452</v>
      </c>
      <c r="H67" s="273" t="s">
        <v>1117</v>
      </c>
      <c r="I67" s="254" t="s">
        <v>2331</v>
      </c>
      <c r="J67" s="256">
        <v>30000</v>
      </c>
      <c r="K67" s="256">
        <v>250318</v>
      </c>
      <c r="L67" s="256">
        <v>250151</v>
      </c>
      <c r="M67" s="256">
        <v>250151</v>
      </c>
      <c r="N67" s="256">
        <f t="shared" ref="N67:N98" si="5">M67/J67</f>
        <v>8.3383666666666674</v>
      </c>
      <c r="O67" s="256">
        <v>100</v>
      </c>
      <c r="P67" s="256">
        <v>50000</v>
      </c>
      <c r="Q67" s="256">
        <v>120</v>
      </c>
      <c r="R67" s="256">
        <v>50000</v>
      </c>
      <c r="S67" s="256" t="s">
        <v>233</v>
      </c>
      <c r="T67" s="256">
        <v>20</v>
      </c>
      <c r="U67" s="256">
        <v>50000</v>
      </c>
      <c r="V67" s="256">
        <v>20882</v>
      </c>
      <c r="W67" s="256">
        <v>10155</v>
      </c>
      <c r="X67" s="349">
        <f t="shared" ref="X67:X81" si="6">W67/R67</f>
        <v>0.2031</v>
      </c>
      <c r="Y67" s="256">
        <v>1613</v>
      </c>
      <c r="Z67" s="256"/>
      <c r="AA67" s="256">
        <v>6000</v>
      </c>
      <c r="AB67" s="256">
        <v>20</v>
      </c>
      <c r="AC67" s="256"/>
      <c r="AD67" s="256"/>
      <c r="AE67" s="256">
        <v>500</v>
      </c>
      <c r="AF67" s="256"/>
      <c r="AG67" s="256"/>
      <c r="AH67" s="256"/>
      <c r="AI67" s="254"/>
      <c r="AJ67" s="259">
        <f t="shared" ref="AJ67:AJ98" si="7">SUM(Z67,AA67,AH67)</f>
        <v>6000</v>
      </c>
      <c r="AK67" s="256">
        <v>4500</v>
      </c>
      <c r="AL67" s="256">
        <v>4500</v>
      </c>
      <c r="AM67" s="254"/>
      <c r="AN67" s="254"/>
      <c r="AO67" s="254"/>
      <c r="AP67" s="254"/>
      <c r="AQ67" s="254"/>
      <c r="AR67" s="254"/>
      <c r="AS67" s="254"/>
      <c r="AT67" s="254"/>
      <c r="AU67" s="273" t="s">
        <v>1116</v>
      </c>
    </row>
    <row r="68" spans="1:47" s="287" customFormat="1" ht="14.25" customHeight="1">
      <c r="A68" s="260">
        <v>66</v>
      </c>
      <c r="B68" s="254" t="s">
        <v>142</v>
      </c>
      <c r="C68" s="254" t="s">
        <v>1299</v>
      </c>
      <c r="D68" s="255">
        <v>40725</v>
      </c>
      <c r="E68" s="255">
        <v>40878</v>
      </c>
      <c r="F68" s="254" t="s">
        <v>168</v>
      </c>
      <c r="G68" s="252" t="s">
        <v>1449</v>
      </c>
      <c r="H68" s="254" t="s">
        <v>1436</v>
      </c>
      <c r="I68" s="254" t="s">
        <v>2331</v>
      </c>
      <c r="J68" s="256">
        <v>30000</v>
      </c>
      <c r="K68" s="256">
        <v>226353</v>
      </c>
      <c r="L68" s="286">
        <v>226353</v>
      </c>
      <c r="M68" s="256">
        <v>226353</v>
      </c>
      <c r="N68" s="256">
        <f t="shared" si="5"/>
        <v>7.5450999999999997</v>
      </c>
      <c r="O68" s="256"/>
      <c r="P68" s="256">
        <v>25000</v>
      </c>
      <c r="Q68" s="256">
        <v>27000</v>
      </c>
      <c r="R68" s="256">
        <v>27000</v>
      </c>
      <c r="S68" s="254" t="s">
        <v>2</v>
      </c>
      <c r="T68" s="254">
        <v>60</v>
      </c>
      <c r="U68" s="254">
        <v>27000</v>
      </c>
      <c r="V68" s="256"/>
      <c r="W68" s="256"/>
      <c r="X68" s="349">
        <f t="shared" si="6"/>
        <v>0</v>
      </c>
      <c r="Y68" s="256"/>
      <c r="Z68" s="256"/>
      <c r="AA68" s="256">
        <v>27000</v>
      </c>
      <c r="AB68" s="256"/>
      <c r="AC68" s="256"/>
      <c r="AD68" s="256" t="s">
        <v>2</v>
      </c>
      <c r="AE68" s="256"/>
      <c r="AF68" s="256"/>
      <c r="AG68" s="256"/>
      <c r="AH68" s="256"/>
      <c r="AI68" s="254"/>
      <c r="AJ68" s="259">
        <f t="shared" si="7"/>
        <v>27000</v>
      </c>
      <c r="AK68" s="256"/>
      <c r="AL68" s="256"/>
      <c r="AM68" s="254"/>
      <c r="AN68" s="254"/>
      <c r="AO68" s="254"/>
      <c r="AP68" s="254"/>
      <c r="AQ68" s="254"/>
      <c r="AR68" s="254"/>
      <c r="AS68" s="254"/>
      <c r="AT68" s="254"/>
      <c r="AU68" s="254" t="s">
        <v>1437</v>
      </c>
    </row>
    <row r="69" spans="1:47" s="287" customFormat="1" ht="14.25" customHeight="1">
      <c r="A69" s="260">
        <v>67</v>
      </c>
      <c r="B69" s="261" t="s">
        <v>279</v>
      </c>
      <c r="C69" s="261" t="s">
        <v>1299</v>
      </c>
      <c r="D69" s="262">
        <v>40634</v>
      </c>
      <c r="E69" s="262">
        <v>40787</v>
      </c>
      <c r="F69" s="261" t="s">
        <v>5</v>
      </c>
      <c r="G69" s="273" t="s">
        <v>1451</v>
      </c>
      <c r="H69" s="261" t="s">
        <v>1186</v>
      </c>
      <c r="I69" s="278" t="s">
        <v>2438</v>
      </c>
      <c r="J69" s="263">
        <v>37457</v>
      </c>
      <c r="K69" s="263">
        <v>1811530</v>
      </c>
      <c r="L69" s="257">
        <v>696116</v>
      </c>
      <c r="M69" s="257">
        <v>695275</v>
      </c>
      <c r="N69" s="256">
        <f t="shared" si="5"/>
        <v>18.56195103718931</v>
      </c>
      <c r="O69" s="264">
        <v>38</v>
      </c>
      <c r="P69" s="263">
        <v>9364</v>
      </c>
      <c r="Q69" s="263">
        <v>9364</v>
      </c>
      <c r="R69" s="263">
        <v>9364</v>
      </c>
      <c r="S69" s="264" t="s">
        <v>2</v>
      </c>
      <c r="T69" s="264">
        <v>100</v>
      </c>
      <c r="U69" s="264">
        <v>9364</v>
      </c>
      <c r="V69" s="263">
        <v>289000</v>
      </c>
      <c r="W69" s="263">
        <v>71110</v>
      </c>
      <c r="X69" s="349">
        <f t="shared" si="6"/>
        <v>7.5939769329346429</v>
      </c>
      <c r="Y69" s="263">
        <v>37457</v>
      </c>
      <c r="Z69" s="263"/>
      <c r="AA69" s="263">
        <v>37457</v>
      </c>
      <c r="AB69" s="263">
        <v>100</v>
      </c>
      <c r="AC69" s="263"/>
      <c r="AD69" s="263"/>
      <c r="AE69" s="263">
        <v>11225</v>
      </c>
      <c r="AF69" s="263"/>
      <c r="AG69" s="263"/>
      <c r="AH69" s="263"/>
      <c r="AI69" s="264"/>
      <c r="AJ69" s="254">
        <f t="shared" si="7"/>
        <v>37457</v>
      </c>
      <c r="AK69" s="263">
        <v>6300</v>
      </c>
      <c r="AL69" s="263">
        <v>1524</v>
      </c>
      <c r="AM69" s="264"/>
      <c r="AN69" s="264"/>
      <c r="AO69" s="264"/>
      <c r="AP69" s="264"/>
      <c r="AQ69" s="264"/>
      <c r="AR69" s="264"/>
      <c r="AS69" s="264"/>
      <c r="AT69" s="264"/>
      <c r="AU69" s="264" t="s">
        <v>1185</v>
      </c>
    </row>
    <row r="70" spans="1:47" s="287" customFormat="1" ht="14.25" customHeight="1">
      <c r="A70" s="260">
        <v>68</v>
      </c>
      <c r="B70" s="254" t="s">
        <v>1138</v>
      </c>
      <c r="C70" s="259" t="s">
        <v>1299</v>
      </c>
      <c r="D70" s="255">
        <v>40756</v>
      </c>
      <c r="E70" s="255">
        <v>40878</v>
      </c>
      <c r="F70" s="273" t="s">
        <v>284</v>
      </c>
      <c r="G70" s="273" t="s">
        <v>1449</v>
      </c>
      <c r="H70" s="273" t="s">
        <v>1140</v>
      </c>
      <c r="I70" s="254" t="s">
        <v>2331</v>
      </c>
      <c r="J70" s="256">
        <v>38095</v>
      </c>
      <c r="K70" s="256">
        <v>85258</v>
      </c>
      <c r="L70" s="256">
        <v>85258</v>
      </c>
      <c r="M70" s="256">
        <v>84898</v>
      </c>
      <c r="N70" s="256">
        <f t="shared" si="5"/>
        <v>2.2285864286651793</v>
      </c>
      <c r="O70" s="256">
        <v>100</v>
      </c>
      <c r="P70" s="254">
        <v>10170</v>
      </c>
      <c r="Q70" s="256" t="s">
        <v>75</v>
      </c>
      <c r="R70" s="256">
        <v>10170</v>
      </c>
      <c r="S70" s="256" t="s">
        <v>2</v>
      </c>
      <c r="T70" s="256">
        <v>120</v>
      </c>
      <c r="U70" s="256">
        <v>38095</v>
      </c>
      <c r="V70" s="256">
        <v>21209</v>
      </c>
      <c r="W70" s="256">
        <v>21209</v>
      </c>
      <c r="X70" s="349">
        <f t="shared" si="6"/>
        <v>2.0854473942969518</v>
      </c>
      <c r="Y70" s="256"/>
      <c r="Z70" s="256"/>
      <c r="AA70" s="256">
        <v>38095</v>
      </c>
      <c r="AB70" s="256"/>
      <c r="AC70" s="256"/>
      <c r="AD70" s="256"/>
      <c r="AE70" s="256"/>
      <c r="AF70" s="256"/>
      <c r="AG70" s="256"/>
      <c r="AH70" s="256"/>
      <c r="AI70" s="254"/>
      <c r="AJ70" s="259">
        <f t="shared" si="7"/>
        <v>38095</v>
      </c>
      <c r="AK70" s="256" t="s">
        <v>66</v>
      </c>
      <c r="AL70" s="256" t="s">
        <v>66</v>
      </c>
      <c r="AM70" s="254"/>
      <c r="AN70" s="254"/>
      <c r="AO70" s="254"/>
      <c r="AP70" s="254"/>
      <c r="AQ70" s="254"/>
      <c r="AR70" s="254"/>
      <c r="AS70" s="254"/>
      <c r="AT70" s="254"/>
      <c r="AU70" s="273" t="s">
        <v>1139</v>
      </c>
    </row>
    <row r="71" spans="1:47" s="287" customFormat="1" ht="14.25" customHeight="1">
      <c r="A71" s="260">
        <v>69</v>
      </c>
      <c r="B71" s="261" t="s">
        <v>259</v>
      </c>
      <c r="C71" s="264" t="s">
        <v>1261</v>
      </c>
      <c r="D71" s="262">
        <v>40848</v>
      </c>
      <c r="E71" s="262">
        <v>41183</v>
      </c>
      <c r="F71" s="261" t="s">
        <v>1168</v>
      </c>
      <c r="G71" s="273" t="s">
        <v>1451</v>
      </c>
      <c r="H71" s="261" t="s">
        <v>1620</v>
      </c>
      <c r="I71" s="278" t="s">
        <v>2438</v>
      </c>
      <c r="J71" s="263">
        <v>42000</v>
      </c>
      <c r="K71" s="263">
        <v>1107185</v>
      </c>
      <c r="L71" s="257">
        <v>210710</v>
      </c>
      <c r="M71" s="294">
        <v>210710</v>
      </c>
      <c r="N71" s="256">
        <f t="shared" si="5"/>
        <v>5.0169047619047618</v>
      </c>
      <c r="O71" s="264"/>
      <c r="P71" s="263">
        <v>4000</v>
      </c>
      <c r="Q71" s="263"/>
      <c r="R71" s="263">
        <v>4000</v>
      </c>
      <c r="S71" s="264"/>
      <c r="T71" s="264"/>
      <c r="U71" s="264"/>
      <c r="V71" s="263">
        <v>50596</v>
      </c>
      <c r="W71" s="263"/>
      <c r="X71" s="349">
        <f t="shared" si="6"/>
        <v>0</v>
      </c>
      <c r="Y71" s="263"/>
      <c r="Z71" s="263"/>
      <c r="AA71" s="263">
        <v>50000</v>
      </c>
      <c r="AB71" s="263">
        <v>180</v>
      </c>
      <c r="AC71" s="263"/>
      <c r="AD71" s="263"/>
      <c r="AE71" s="263"/>
      <c r="AF71" s="263"/>
      <c r="AG71" s="263"/>
      <c r="AH71" s="263"/>
      <c r="AI71" s="264"/>
      <c r="AJ71" s="254">
        <f t="shared" si="7"/>
        <v>50000</v>
      </c>
      <c r="AK71" s="263"/>
      <c r="AL71" s="263"/>
      <c r="AM71" s="264"/>
      <c r="AN71" s="264"/>
      <c r="AO71" s="264"/>
      <c r="AP71" s="264"/>
      <c r="AQ71" s="264"/>
      <c r="AR71" s="264"/>
      <c r="AS71" s="264" t="s">
        <v>2</v>
      </c>
      <c r="AT71" s="264"/>
      <c r="AU71" s="275" t="s">
        <v>1167</v>
      </c>
    </row>
    <row r="72" spans="1:47" s="287" customFormat="1" ht="14.25" customHeight="1">
      <c r="A72" s="260">
        <v>70</v>
      </c>
      <c r="B72" s="259" t="s">
        <v>148</v>
      </c>
      <c r="C72" s="259" t="s">
        <v>1299</v>
      </c>
      <c r="D72" s="351">
        <v>40725</v>
      </c>
      <c r="E72" s="351">
        <v>40817</v>
      </c>
      <c r="F72" s="252" t="s">
        <v>1143</v>
      </c>
      <c r="G72" s="252" t="s">
        <v>1451</v>
      </c>
      <c r="H72" s="252" t="s">
        <v>1142</v>
      </c>
      <c r="I72" s="254" t="s">
        <v>2331</v>
      </c>
      <c r="J72" s="298">
        <v>59090</v>
      </c>
      <c r="K72" s="298">
        <v>185962</v>
      </c>
      <c r="L72" s="298">
        <v>182767</v>
      </c>
      <c r="M72" s="298">
        <v>182767</v>
      </c>
      <c r="N72" s="256">
        <f t="shared" si="5"/>
        <v>3.0930275850397697</v>
      </c>
      <c r="O72" s="298">
        <v>98</v>
      </c>
      <c r="P72" s="298">
        <v>59090</v>
      </c>
      <c r="Q72" s="298">
        <v>2380</v>
      </c>
      <c r="R72" s="298">
        <v>59090</v>
      </c>
      <c r="S72" s="298" t="s">
        <v>233</v>
      </c>
      <c r="T72" s="298">
        <v>120</v>
      </c>
      <c r="U72" s="298">
        <v>18368</v>
      </c>
      <c r="V72" s="298">
        <v>1941</v>
      </c>
      <c r="W72" s="298">
        <v>1902</v>
      </c>
      <c r="X72" s="349">
        <f t="shared" si="6"/>
        <v>3.2188187510577088E-2</v>
      </c>
      <c r="Y72" s="298"/>
      <c r="Z72" s="298">
        <v>57311</v>
      </c>
      <c r="AA72" s="298">
        <v>45</v>
      </c>
      <c r="AB72" s="298"/>
      <c r="AC72" s="298"/>
      <c r="AD72" s="256"/>
      <c r="AE72" s="298">
        <v>2000</v>
      </c>
      <c r="AF72" s="298"/>
      <c r="AG72" s="298"/>
      <c r="AH72" s="298">
        <v>123</v>
      </c>
      <c r="AI72" s="259"/>
      <c r="AJ72" s="259">
        <f t="shared" si="7"/>
        <v>57479</v>
      </c>
      <c r="AK72" s="298">
        <v>971</v>
      </c>
      <c r="AL72" s="298">
        <v>951.58</v>
      </c>
      <c r="AM72" s="259"/>
      <c r="AN72" s="259"/>
      <c r="AO72" s="259"/>
      <c r="AP72" s="259"/>
      <c r="AQ72" s="259"/>
      <c r="AR72" s="259"/>
      <c r="AS72" s="259"/>
      <c r="AT72" s="259"/>
      <c r="AU72" s="252" t="s">
        <v>1141</v>
      </c>
    </row>
    <row r="73" spans="1:47" s="287" customFormat="1" ht="14.25" customHeight="1">
      <c r="A73" s="260">
        <v>71</v>
      </c>
      <c r="B73" s="261" t="s">
        <v>1084</v>
      </c>
      <c r="C73" s="264" t="s">
        <v>1260</v>
      </c>
      <c r="D73" s="262">
        <v>40848</v>
      </c>
      <c r="E73" s="262">
        <v>41214</v>
      </c>
      <c r="F73" s="261" t="s">
        <v>1087</v>
      </c>
      <c r="G73" s="273" t="s">
        <v>1454</v>
      </c>
      <c r="H73" s="261" t="s">
        <v>1282</v>
      </c>
      <c r="I73" s="278" t="s">
        <v>2438</v>
      </c>
      <c r="J73" s="263">
        <v>60000</v>
      </c>
      <c r="K73" s="263">
        <v>9402445</v>
      </c>
      <c r="L73" s="257">
        <v>7286971</v>
      </c>
      <c r="M73" s="263">
        <v>6259551</v>
      </c>
      <c r="N73" s="256">
        <f t="shared" si="5"/>
        <v>104.32585</v>
      </c>
      <c r="O73" s="295"/>
      <c r="P73" s="263"/>
      <c r="Q73" s="263"/>
      <c r="R73" s="263">
        <v>50000</v>
      </c>
      <c r="S73" s="264" t="s">
        <v>94</v>
      </c>
      <c r="T73" s="264">
        <v>27</v>
      </c>
      <c r="U73" s="264">
        <v>50000</v>
      </c>
      <c r="V73" s="263"/>
      <c r="W73" s="263"/>
      <c r="X73" s="349">
        <f t="shared" si="6"/>
        <v>0</v>
      </c>
      <c r="Y73" s="263"/>
      <c r="Z73" s="263">
        <v>3500</v>
      </c>
      <c r="AA73" s="263"/>
      <c r="AB73" s="263"/>
      <c r="AC73" s="263"/>
      <c r="AD73" s="263"/>
      <c r="AE73" s="263"/>
      <c r="AF73" s="263"/>
      <c r="AG73" s="263"/>
      <c r="AH73" s="263"/>
      <c r="AI73" s="264"/>
      <c r="AJ73" s="254">
        <f t="shared" si="7"/>
        <v>3500</v>
      </c>
      <c r="AK73" s="263"/>
      <c r="AL73" s="263"/>
      <c r="AM73" s="264"/>
      <c r="AN73" s="264"/>
      <c r="AO73" s="264"/>
      <c r="AP73" s="264"/>
      <c r="AQ73" s="264"/>
      <c r="AR73" s="264"/>
      <c r="AS73" s="264"/>
      <c r="AT73" s="264"/>
      <c r="AU73" s="275" t="s">
        <v>1088</v>
      </c>
    </row>
    <row r="74" spans="1:47" s="287" customFormat="1" ht="14.25" customHeight="1">
      <c r="A74" s="260">
        <v>72</v>
      </c>
      <c r="B74" s="261" t="s">
        <v>493</v>
      </c>
      <c r="C74" s="261" t="s">
        <v>1299</v>
      </c>
      <c r="D74" s="262">
        <v>40695</v>
      </c>
      <c r="E74" s="262"/>
      <c r="F74" s="261" t="s">
        <v>1188</v>
      </c>
      <c r="G74" s="273" t="s">
        <v>1452</v>
      </c>
      <c r="H74" s="261" t="s">
        <v>1189</v>
      </c>
      <c r="I74" s="278" t="s">
        <v>2438</v>
      </c>
      <c r="J74" s="263">
        <v>60000</v>
      </c>
      <c r="K74" s="263">
        <v>6702009</v>
      </c>
      <c r="L74" s="257">
        <v>804536</v>
      </c>
      <c r="M74" s="263">
        <v>759440</v>
      </c>
      <c r="N74" s="256">
        <f t="shared" si="5"/>
        <v>12.657333333333334</v>
      </c>
      <c r="O74" s="264">
        <v>11</v>
      </c>
      <c r="P74" s="263">
        <v>10000</v>
      </c>
      <c r="Q74" s="263">
        <v>24000</v>
      </c>
      <c r="R74" s="263">
        <v>24000</v>
      </c>
      <c r="S74" s="264"/>
      <c r="T74" s="264"/>
      <c r="U74" s="264">
        <v>24000</v>
      </c>
      <c r="V74" s="263">
        <v>312150</v>
      </c>
      <c r="W74" s="263">
        <v>5013</v>
      </c>
      <c r="X74" s="349">
        <f t="shared" si="6"/>
        <v>0.20887500000000001</v>
      </c>
      <c r="Y74" s="263">
        <v>10000</v>
      </c>
      <c r="Z74" s="263"/>
      <c r="AA74" s="263">
        <v>10000</v>
      </c>
      <c r="AB74" s="263"/>
      <c r="AC74" s="263"/>
      <c r="AD74" s="263"/>
      <c r="AE74" s="263"/>
      <c r="AF74" s="263"/>
      <c r="AG74" s="263"/>
      <c r="AH74" s="263"/>
      <c r="AI74" s="264"/>
      <c r="AJ74" s="254">
        <f t="shared" si="7"/>
        <v>10000</v>
      </c>
      <c r="AK74" s="263">
        <v>182500</v>
      </c>
      <c r="AL74" s="263">
        <v>21228</v>
      </c>
      <c r="AM74" s="264"/>
      <c r="AN74" s="264"/>
      <c r="AO74" s="264"/>
      <c r="AP74" s="264"/>
      <c r="AQ74" s="264"/>
      <c r="AR74" s="264"/>
      <c r="AS74" s="264"/>
      <c r="AT74" s="264"/>
      <c r="AU74" s="264" t="s">
        <v>1187</v>
      </c>
    </row>
    <row r="75" spans="1:47" s="287" customFormat="1" ht="14.25" customHeight="1">
      <c r="A75" s="260">
        <v>73</v>
      </c>
      <c r="B75" s="259" t="s">
        <v>145</v>
      </c>
      <c r="C75" s="259" t="s">
        <v>1299</v>
      </c>
      <c r="D75" s="351">
        <v>40725</v>
      </c>
      <c r="E75" s="351">
        <v>40787</v>
      </c>
      <c r="F75" s="252" t="s">
        <v>1150</v>
      </c>
      <c r="G75" s="252" t="s">
        <v>1449</v>
      </c>
      <c r="H75" s="252" t="s">
        <v>1152</v>
      </c>
      <c r="I75" s="254" t="s">
        <v>2331</v>
      </c>
      <c r="J75" s="298">
        <v>69000</v>
      </c>
      <c r="K75" s="298">
        <v>92995</v>
      </c>
      <c r="L75" s="298">
        <v>92953</v>
      </c>
      <c r="M75" s="298">
        <v>92953</v>
      </c>
      <c r="N75" s="256">
        <f t="shared" si="5"/>
        <v>1.3471449275362319</v>
      </c>
      <c r="O75" s="298">
        <v>100</v>
      </c>
      <c r="P75" s="298">
        <v>50000</v>
      </c>
      <c r="Q75" s="298" t="s">
        <v>75</v>
      </c>
      <c r="R75" s="298">
        <v>50000</v>
      </c>
      <c r="S75" s="298" t="s">
        <v>233</v>
      </c>
      <c r="T75" s="298">
        <v>150</v>
      </c>
      <c r="U75" s="298">
        <v>50000</v>
      </c>
      <c r="V75" s="298">
        <v>17400</v>
      </c>
      <c r="W75" s="298">
        <v>25139</v>
      </c>
      <c r="X75" s="349">
        <f t="shared" si="6"/>
        <v>0.50278</v>
      </c>
      <c r="Y75" s="298"/>
      <c r="Z75" s="298"/>
      <c r="AA75" s="298">
        <v>50000</v>
      </c>
      <c r="AB75" s="298">
        <v>150</v>
      </c>
      <c r="AC75" s="298"/>
      <c r="AD75" s="256"/>
      <c r="AE75" s="298"/>
      <c r="AF75" s="298"/>
      <c r="AG75" s="298"/>
      <c r="AH75" s="298"/>
      <c r="AI75" s="259"/>
      <c r="AJ75" s="259">
        <f t="shared" si="7"/>
        <v>50000</v>
      </c>
      <c r="AK75" s="298">
        <v>14208</v>
      </c>
      <c r="AL75" s="298">
        <v>6028</v>
      </c>
      <c r="AM75" s="259"/>
      <c r="AN75" s="259"/>
      <c r="AO75" s="259"/>
      <c r="AP75" s="259"/>
      <c r="AQ75" s="259"/>
      <c r="AR75" s="259"/>
      <c r="AS75" s="259"/>
      <c r="AT75" s="259"/>
      <c r="AU75" s="252" t="s">
        <v>1151</v>
      </c>
    </row>
    <row r="76" spans="1:47" s="287" customFormat="1" ht="14.25" customHeight="1">
      <c r="A76" s="260">
        <v>74</v>
      </c>
      <c r="B76" s="254" t="s">
        <v>148</v>
      </c>
      <c r="C76" s="254" t="s">
        <v>1299</v>
      </c>
      <c r="D76" s="255">
        <v>40848</v>
      </c>
      <c r="E76" s="255" t="s">
        <v>1433</v>
      </c>
      <c r="F76" s="254" t="s">
        <v>1104</v>
      </c>
      <c r="G76" s="273" t="s">
        <v>1449</v>
      </c>
      <c r="H76" s="254" t="s">
        <v>1434</v>
      </c>
      <c r="I76" s="254" t="s">
        <v>2331</v>
      </c>
      <c r="J76" s="256">
        <v>72140</v>
      </c>
      <c r="K76" s="256">
        <v>156962</v>
      </c>
      <c r="L76" s="286">
        <v>156962</v>
      </c>
      <c r="M76" s="256">
        <v>156962</v>
      </c>
      <c r="N76" s="256">
        <f t="shared" si="5"/>
        <v>2.1757970612697535</v>
      </c>
      <c r="O76" s="256"/>
      <c r="P76" s="256">
        <v>25194</v>
      </c>
      <c r="Q76" s="256"/>
      <c r="R76" s="256">
        <v>25194</v>
      </c>
      <c r="S76" s="254" t="s">
        <v>2</v>
      </c>
      <c r="T76" s="254">
        <v>30</v>
      </c>
      <c r="U76" s="254">
        <v>25194</v>
      </c>
      <c r="V76" s="256"/>
      <c r="W76" s="256"/>
      <c r="X76" s="349">
        <f t="shared" si="6"/>
        <v>0</v>
      </c>
      <c r="Y76" s="256"/>
      <c r="Z76" s="256"/>
      <c r="AA76" s="256">
        <v>167961</v>
      </c>
      <c r="AB76" s="256"/>
      <c r="AC76" s="256"/>
      <c r="AD76" s="256" t="s">
        <v>2</v>
      </c>
      <c r="AE76" s="256"/>
      <c r="AF76" s="256"/>
      <c r="AG76" s="256"/>
      <c r="AH76" s="256"/>
      <c r="AI76" s="254"/>
      <c r="AJ76" s="259">
        <f t="shared" si="7"/>
        <v>167961</v>
      </c>
      <c r="AK76" s="256"/>
      <c r="AL76" s="256"/>
      <c r="AM76" s="254"/>
      <c r="AN76" s="254"/>
      <c r="AO76" s="254"/>
      <c r="AP76" s="254"/>
      <c r="AQ76" s="254"/>
      <c r="AR76" s="254"/>
      <c r="AS76" s="254"/>
      <c r="AT76" s="254" t="s">
        <v>2</v>
      </c>
      <c r="AU76" s="258" t="s">
        <v>1435</v>
      </c>
    </row>
    <row r="77" spans="1:47" s="287" customFormat="1" ht="14.25" customHeight="1">
      <c r="A77" s="260">
        <v>75</v>
      </c>
      <c r="B77" s="278" t="s">
        <v>8</v>
      </c>
      <c r="C77" s="261" t="s">
        <v>1261</v>
      </c>
      <c r="D77" s="272">
        <v>40878</v>
      </c>
      <c r="E77" s="262">
        <v>40909</v>
      </c>
      <c r="F77" s="278" t="s">
        <v>9</v>
      </c>
      <c r="G77" s="273" t="s">
        <v>1450</v>
      </c>
      <c r="H77" s="278" t="s">
        <v>83</v>
      </c>
      <c r="I77" s="278" t="s">
        <v>2438</v>
      </c>
      <c r="J77" s="279">
        <v>100000</v>
      </c>
      <c r="K77" s="279">
        <v>5705280</v>
      </c>
      <c r="L77" s="279">
        <v>4299037</v>
      </c>
      <c r="M77" s="279">
        <v>1778292</v>
      </c>
      <c r="N77" s="256">
        <f t="shared" si="5"/>
        <v>17.782920000000001</v>
      </c>
      <c r="O77" s="280">
        <v>75</v>
      </c>
      <c r="P77" s="279">
        <v>7500</v>
      </c>
      <c r="Q77" s="279">
        <v>6000</v>
      </c>
      <c r="R77" s="279">
        <v>7500</v>
      </c>
      <c r="S77" s="280" t="s">
        <v>95</v>
      </c>
      <c r="T77" s="280"/>
      <c r="U77" s="280">
        <v>128000</v>
      </c>
      <c r="V77" s="279">
        <v>561650</v>
      </c>
      <c r="W77" s="279">
        <v>196710</v>
      </c>
      <c r="X77" s="349">
        <f t="shared" si="6"/>
        <v>26.228000000000002</v>
      </c>
      <c r="Y77" s="279"/>
      <c r="Z77" s="279"/>
      <c r="AA77" s="279">
        <v>128000</v>
      </c>
      <c r="AB77" s="279"/>
      <c r="AC77" s="279"/>
      <c r="AD77" s="279"/>
      <c r="AE77" s="279">
        <v>18000</v>
      </c>
      <c r="AF77" s="279"/>
      <c r="AG77" s="279"/>
      <c r="AH77" s="279" t="s">
        <v>2</v>
      </c>
      <c r="AI77" s="280"/>
      <c r="AJ77" s="254">
        <f t="shared" si="7"/>
        <v>128000</v>
      </c>
      <c r="AK77" s="279" t="s">
        <v>75</v>
      </c>
      <c r="AL77" s="279" t="s">
        <v>75</v>
      </c>
      <c r="AM77" s="280"/>
      <c r="AN77" s="280"/>
      <c r="AO77" s="280"/>
      <c r="AP77" s="280"/>
      <c r="AQ77" s="280"/>
      <c r="AR77" s="280"/>
      <c r="AS77" s="280"/>
      <c r="AT77" s="280"/>
      <c r="AU77" s="281" t="s">
        <v>69</v>
      </c>
    </row>
    <row r="78" spans="1:47" s="261" customFormat="1" ht="14.25" customHeight="1">
      <c r="A78" s="260">
        <v>76</v>
      </c>
      <c r="B78" s="254" t="s">
        <v>1337</v>
      </c>
      <c r="C78" s="254" t="s">
        <v>1261</v>
      </c>
      <c r="D78" s="255">
        <v>40817</v>
      </c>
      <c r="E78" s="255">
        <v>40878</v>
      </c>
      <c r="F78" s="254" t="s">
        <v>1456</v>
      </c>
      <c r="G78" s="252" t="s">
        <v>1451</v>
      </c>
      <c r="H78" s="254" t="s">
        <v>1348</v>
      </c>
      <c r="I78" s="254" t="s">
        <v>2331</v>
      </c>
      <c r="J78" s="256">
        <v>75000</v>
      </c>
      <c r="K78" s="256">
        <v>240301</v>
      </c>
      <c r="L78" s="256">
        <v>240301</v>
      </c>
      <c r="M78" s="256">
        <v>240301</v>
      </c>
      <c r="N78" s="256">
        <f t="shared" si="5"/>
        <v>3.2040133333333332</v>
      </c>
      <c r="O78" s="257" t="s">
        <v>66</v>
      </c>
      <c r="P78" s="256">
        <v>5750</v>
      </c>
      <c r="Q78" s="256" t="s">
        <v>75</v>
      </c>
      <c r="R78" s="256">
        <v>5750</v>
      </c>
      <c r="S78" s="254" t="s">
        <v>233</v>
      </c>
      <c r="T78" s="254">
        <v>21</v>
      </c>
      <c r="U78" s="288">
        <v>20144</v>
      </c>
      <c r="V78" s="256"/>
      <c r="W78" s="256"/>
      <c r="X78" s="349">
        <f t="shared" si="6"/>
        <v>0</v>
      </c>
      <c r="Y78" s="256"/>
      <c r="Z78" s="256"/>
      <c r="AA78" s="256"/>
      <c r="AB78" s="256"/>
      <c r="AC78" s="256"/>
      <c r="AD78" s="256"/>
      <c r="AE78" s="256">
        <v>900</v>
      </c>
      <c r="AF78" s="256"/>
      <c r="AG78" s="256"/>
      <c r="AH78" s="256"/>
      <c r="AI78" s="254"/>
      <c r="AJ78" s="259">
        <f t="shared" si="7"/>
        <v>0</v>
      </c>
      <c r="AK78" s="256"/>
      <c r="AL78" s="256"/>
      <c r="AM78" s="254"/>
      <c r="AN78" s="254"/>
      <c r="AO78" s="254"/>
      <c r="AP78" s="254"/>
      <c r="AQ78" s="254"/>
      <c r="AR78" s="254"/>
      <c r="AS78" s="254"/>
      <c r="AT78" s="254"/>
      <c r="AU78" s="258" t="s">
        <v>1347</v>
      </c>
    </row>
    <row r="79" spans="1:47" s="261" customFormat="1" ht="14.25" customHeight="1">
      <c r="A79" s="260">
        <v>77</v>
      </c>
      <c r="B79" s="261" t="s">
        <v>562</v>
      </c>
      <c r="C79" s="267" t="s">
        <v>1261</v>
      </c>
      <c r="D79" s="262">
        <v>40544</v>
      </c>
      <c r="E79" s="262">
        <v>40909</v>
      </c>
      <c r="F79" s="261" t="s">
        <v>1362</v>
      </c>
      <c r="G79" s="252" t="s">
        <v>1451</v>
      </c>
      <c r="H79" s="261" t="s">
        <v>1363</v>
      </c>
      <c r="I79" s="278" t="s">
        <v>2438</v>
      </c>
      <c r="J79" s="264">
        <v>75000</v>
      </c>
      <c r="K79" s="264">
        <v>4622804</v>
      </c>
      <c r="L79" s="268">
        <v>655670</v>
      </c>
      <c r="M79" s="268">
        <v>655670</v>
      </c>
      <c r="N79" s="256">
        <f t="shared" si="5"/>
        <v>8.7422666666666675</v>
      </c>
      <c r="O79" s="264"/>
      <c r="P79" s="264">
        <v>50000</v>
      </c>
      <c r="Q79" s="264">
        <v>1020</v>
      </c>
      <c r="R79" s="264">
        <v>50000</v>
      </c>
      <c r="S79" s="264" t="s">
        <v>2</v>
      </c>
      <c r="T79" s="264">
        <v>100</v>
      </c>
      <c r="U79" s="264">
        <v>40000</v>
      </c>
      <c r="V79" s="264"/>
      <c r="W79" s="264"/>
      <c r="X79" s="349">
        <f t="shared" si="6"/>
        <v>0</v>
      </c>
      <c r="Y79" s="263"/>
      <c r="Z79" s="263"/>
      <c r="AA79" s="263"/>
      <c r="AB79" s="263"/>
      <c r="AC79" s="263"/>
      <c r="AD79" s="263"/>
      <c r="AE79" s="263"/>
      <c r="AF79" s="263"/>
      <c r="AG79" s="263"/>
      <c r="AH79" s="263"/>
      <c r="AI79" s="264"/>
      <c r="AJ79" s="259">
        <f t="shared" si="7"/>
        <v>0</v>
      </c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275" t="s">
        <v>1706</v>
      </c>
    </row>
    <row r="80" spans="1:47" s="254" customFormat="1" ht="14.25" customHeight="1">
      <c r="A80" s="260">
        <v>78</v>
      </c>
      <c r="B80" s="261" t="s">
        <v>12</v>
      </c>
      <c r="C80" s="261" t="s">
        <v>1299</v>
      </c>
      <c r="D80" s="262">
        <v>40848</v>
      </c>
      <c r="E80" s="262">
        <v>41214</v>
      </c>
      <c r="F80" s="261" t="s">
        <v>512</v>
      </c>
      <c r="G80" s="273" t="s">
        <v>1452</v>
      </c>
      <c r="H80" s="261" t="s">
        <v>1166</v>
      </c>
      <c r="I80" s="278" t="s">
        <v>2438</v>
      </c>
      <c r="J80" s="263">
        <v>110000</v>
      </c>
      <c r="K80" s="263">
        <v>26854197</v>
      </c>
      <c r="L80" s="257">
        <f>0.27*K80</f>
        <v>7250633.1900000004</v>
      </c>
      <c r="M80" s="294">
        <v>7250633</v>
      </c>
      <c r="N80" s="256">
        <f t="shared" si="5"/>
        <v>65.914845454545457</v>
      </c>
      <c r="O80" s="264">
        <v>27</v>
      </c>
      <c r="P80" s="263">
        <v>110000</v>
      </c>
      <c r="Q80" s="263">
        <v>110000</v>
      </c>
      <c r="R80" s="263">
        <v>110000</v>
      </c>
      <c r="S80" s="264" t="s">
        <v>94</v>
      </c>
      <c r="T80" s="264">
        <v>50</v>
      </c>
      <c r="U80" s="264">
        <v>1950</v>
      </c>
      <c r="V80" s="263"/>
      <c r="W80" s="263"/>
      <c r="X80" s="349">
        <f t="shared" si="6"/>
        <v>0</v>
      </c>
      <c r="Y80" s="263"/>
      <c r="Z80" s="263"/>
      <c r="AA80" s="263"/>
      <c r="AB80" s="263">
        <v>50</v>
      </c>
      <c r="AC80" s="263"/>
      <c r="AD80" s="263"/>
      <c r="AE80" s="263"/>
      <c r="AF80" s="263"/>
      <c r="AG80" s="263"/>
      <c r="AH80" s="263"/>
      <c r="AI80" s="264"/>
      <c r="AJ80" s="254">
        <f t="shared" si="7"/>
        <v>0</v>
      </c>
      <c r="AK80" s="263"/>
      <c r="AL80" s="263"/>
      <c r="AM80" s="264"/>
      <c r="AN80" s="264"/>
      <c r="AO80" s="264"/>
      <c r="AP80" s="264"/>
      <c r="AQ80" s="264"/>
      <c r="AR80" s="264"/>
      <c r="AS80" s="264"/>
      <c r="AT80" s="264"/>
      <c r="AU80" s="275" t="s">
        <v>1165</v>
      </c>
    </row>
    <row r="81" spans="1:47" s="254" customFormat="1" ht="14.25" customHeight="1">
      <c r="A81" s="260">
        <v>79</v>
      </c>
      <c r="B81" s="261" t="s">
        <v>244</v>
      </c>
      <c r="C81" s="261" t="s">
        <v>1299</v>
      </c>
      <c r="D81" s="262">
        <v>40634</v>
      </c>
      <c r="E81" s="262">
        <v>40969</v>
      </c>
      <c r="F81" s="261" t="s">
        <v>1190</v>
      </c>
      <c r="G81" s="273" t="s">
        <v>1449</v>
      </c>
      <c r="H81" s="261" t="s">
        <v>1192</v>
      </c>
      <c r="I81" s="278" t="s">
        <v>2438</v>
      </c>
      <c r="J81" s="263">
        <v>87500</v>
      </c>
      <c r="K81" s="263">
        <v>1361331</v>
      </c>
      <c r="L81" s="257">
        <f>0.21*K81</f>
        <v>285879.51</v>
      </c>
      <c r="M81" s="294">
        <v>285880</v>
      </c>
      <c r="N81" s="256">
        <f t="shared" si="5"/>
        <v>3.2671999999999999</v>
      </c>
      <c r="O81" s="264">
        <v>21</v>
      </c>
      <c r="P81" s="263">
        <v>50000</v>
      </c>
      <c r="Q81" s="263">
        <f>(1288+1061+10228)*5</f>
        <v>62885</v>
      </c>
      <c r="R81" s="263">
        <v>50000</v>
      </c>
      <c r="S81" s="264"/>
      <c r="T81" s="264">
        <v>600</v>
      </c>
      <c r="U81" s="264">
        <v>37500</v>
      </c>
      <c r="V81" s="263">
        <v>273489</v>
      </c>
      <c r="W81" s="274">
        <f>V81*0.21</f>
        <v>57432.689999999995</v>
      </c>
      <c r="X81" s="349">
        <f t="shared" si="6"/>
        <v>1.1486537999999999</v>
      </c>
      <c r="Y81" s="263"/>
      <c r="Z81" s="263"/>
      <c r="AA81" s="263">
        <v>4320000</v>
      </c>
      <c r="AB81" s="263">
        <v>600</v>
      </c>
      <c r="AC81" s="263" t="s">
        <v>2</v>
      </c>
      <c r="AD81" s="263" t="s">
        <v>2</v>
      </c>
      <c r="AE81" s="263"/>
      <c r="AF81" s="263"/>
      <c r="AG81" s="263"/>
      <c r="AH81" s="263"/>
      <c r="AI81" s="264"/>
      <c r="AJ81" s="254">
        <f t="shared" si="7"/>
        <v>4320000</v>
      </c>
      <c r="AK81" s="263">
        <v>84441</v>
      </c>
      <c r="AL81" s="274">
        <f>AK81*0.21</f>
        <v>17732.61</v>
      </c>
      <c r="AM81" s="264"/>
      <c r="AN81" s="264"/>
      <c r="AO81" s="264"/>
      <c r="AP81" s="264"/>
      <c r="AQ81" s="264"/>
      <c r="AR81" s="264"/>
      <c r="AS81" s="264"/>
      <c r="AT81" s="264"/>
      <c r="AU81" s="275" t="s">
        <v>1191</v>
      </c>
    </row>
    <row r="82" spans="1:47" s="254" customFormat="1" ht="14.25" customHeight="1">
      <c r="A82" s="260">
        <v>80</v>
      </c>
      <c r="B82" s="261" t="s">
        <v>915</v>
      </c>
      <c r="C82" s="261" t="s">
        <v>1286</v>
      </c>
      <c r="D82" s="262">
        <v>40575</v>
      </c>
      <c r="E82" s="262">
        <v>40756</v>
      </c>
      <c r="F82" s="261" t="s">
        <v>914</v>
      </c>
      <c r="G82" s="252" t="s">
        <v>1449</v>
      </c>
      <c r="H82" s="261" t="s">
        <v>913</v>
      </c>
      <c r="I82" s="254" t="s">
        <v>2331</v>
      </c>
      <c r="J82" s="263">
        <v>91361</v>
      </c>
      <c r="K82" s="263">
        <v>78781</v>
      </c>
      <c r="L82" s="263">
        <v>78781</v>
      </c>
      <c r="M82" s="263">
        <v>74054</v>
      </c>
      <c r="N82" s="256">
        <f t="shared" si="5"/>
        <v>0.81056468296100082</v>
      </c>
      <c r="O82" s="263">
        <v>100</v>
      </c>
      <c r="P82" s="263">
        <v>89311</v>
      </c>
      <c r="Q82" s="263">
        <v>89311</v>
      </c>
      <c r="R82" s="263">
        <v>89311</v>
      </c>
      <c r="S82" s="261" t="s">
        <v>233</v>
      </c>
      <c r="T82" s="261">
        <v>25</v>
      </c>
      <c r="U82" s="261">
        <v>89311</v>
      </c>
      <c r="V82" s="263" t="s">
        <v>66</v>
      </c>
      <c r="W82" s="263" t="s">
        <v>66</v>
      </c>
      <c r="X82" s="349"/>
      <c r="Y82" s="263">
        <v>91361</v>
      </c>
      <c r="Z82" s="263"/>
      <c r="AA82" s="263">
        <v>91361</v>
      </c>
      <c r="AB82" s="263">
        <v>98</v>
      </c>
      <c r="AC82" s="263"/>
      <c r="AD82" s="263">
        <v>73</v>
      </c>
      <c r="AE82" s="263">
        <v>1200</v>
      </c>
      <c r="AF82" s="263" t="s">
        <v>75</v>
      </c>
      <c r="AG82" s="263" t="s">
        <v>75</v>
      </c>
      <c r="AH82" s="263" t="s">
        <v>75</v>
      </c>
      <c r="AI82" s="264" t="s">
        <v>75</v>
      </c>
      <c r="AJ82" s="259">
        <f t="shared" si="7"/>
        <v>91361</v>
      </c>
      <c r="AK82" s="263" t="s">
        <v>66</v>
      </c>
      <c r="AL82" s="263" t="s">
        <v>66</v>
      </c>
      <c r="AM82" s="261"/>
      <c r="AN82" s="261"/>
      <c r="AO82" s="261"/>
      <c r="AP82" s="261"/>
      <c r="AQ82" s="261"/>
      <c r="AR82" s="261"/>
      <c r="AS82" s="264" t="s">
        <v>75</v>
      </c>
      <c r="AT82" s="264" t="s">
        <v>75</v>
      </c>
      <c r="AU82" s="293" t="s">
        <v>912</v>
      </c>
    </row>
    <row r="83" spans="1:47" s="254" customFormat="1" ht="14.25" customHeight="1">
      <c r="A83" s="260">
        <v>81</v>
      </c>
      <c r="B83" s="254" t="s">
        <v>291</v>
      </c>
      <c r="C83" s="254" t="s">
        <v>1299</v>
      </c>
      <c r="D83" s="255">
        <v>40878</v>
      </c>
      <c r="E83" s="255">
        <v>40969</v>
      </c>
      <c r="F83" s="254" t="s">
        <v>626</v>
      </c>
      <c r="G83" s="252" t="s">
        <v>1449</v>
      </c>
      <c r="H83" s="254" t="s">
        <v>1341</v>
      </c>
      <c r="I83" s="254" t="s">
        <v>2331</v>
      </c>
      <c r="J83" s="256">
        <v>100000</v>
      </c>
      <c r="K83" s="256">
        <v>86464</v>
      </c>
      <c r="L83" s="256">
        <v>86464</v>
      </c>
      <c r="M83" s="256">
        <v>86464</v>
      </c>
      <c r="N83" s="256">
        <f t="shared" si="5"/>
        <v>0.86463999999999996</v>
      </c>
      <c r="O83" s="257" t="s">
        <v>66</v>
      </c>
      <c r="P83" s="256"/>
      <c r="Q83" s="256"/>
      <c r="R83" s="256"/>
      <c r="S83" s="254" t="s">
        <v>233</v>
      </c>
      <c r="T83" s="254">
        <v>260</v>
      </c>
      <c r="U83" s="254">
        <v>100000</v>
      </c>
      <c r="V83" s="256"/>
      <c r="W83" s="256"/>
      <c r="X83" s="256"/>
      <c r="Y83" s="256"/>
      <c r="Z83" s="256"/>
      <c r="AA83" s="256">
        <v>100000</v>
      </c>
      <c r="AB83" s="256">
        <v>5000</v>
      </c>
      <c r="AC83" s="256"/>
      <c r="AD83" s="256">
        <v>10</v>
      </c>
      <c r="AE83" s="256"/>
      <c r="AF83" s="256"/>
      <c r="AG83" s="256"/>
      <c r="AH83" s="256"/>
      <c r="AJ83" s="259">
        <f t="shared" si="7"/>
        <v>100000</v>
      </c>
      <c r="AK83" s="256"/>
      <c r="AL83" s="256"/>
      <c r="AU83" s="254" t="s">
        <v>1342</v>
      </c>
    </row>
    <row r="84" spans="1:47" s="254" customFormat="1" ht="14.25" customHeight="1">
      <c r="A84" s="260">
        <v>82</v>
      </c>
      <c r="B84" s="254" t="s">
        <v>28</v>
      </c>
      <c r="C84" s="254" t="s">
        <v>1291</v>
      </c>
      <c r="D84" s="255">
        <v>40787</v>
      </c>
      <c r="E84" s="255">
        <v>40969</v>
      </c>
      <c r="F84" s="254" t="s">
        <v>1415</v>
      </c>
      <c r="G84" s="273" t="s">
        <v>1451</v>
      </c>
      <c r="H84" s="254" t="s">
        <v>1416</v>
      </c>
      <c r="I84" s="278" t="s">
        <v>2438</v>
      </c>
      <c r="J84" s="256">
        <v>105000</v>
      </c>
      <c r="K84" s="256">
        <v>5304193</v>
      </c>
      <c r="L84" s="286">
        <v>5804564</v>
      </c>
      <c r="M84" s="256">
        <v>2523603</v>
      </c>
      <c r="N84" s="256">
        <f t="shared" si="5"/>
        <v>24.034314285714284</v>
      </c>
      <c r="O84" s="256">
        <v>109</v>
      </c>
      <c r="P84" s="256">
        <v>208600</v>
      </c>
      <c r="R84" s="256">
        <v>208600</v>
      </c>
      <c r="T84" s="254">
        <v>96</v>
      </c>
      <c r="U84" s="288">
        <v>88260</v>
      </c>
      <c r="V84" s="256">
        <v>309267</v>
      </c>
      <c r="W84" s="296">
        <v>226244</v>
      </c>
      <c r="X84" s="349">
        <f>W84/R84</f>
        <v>1.0845829338446789</v>
      </c>
      <c r="Y84" s="256"/>
      <c r="Z84" s="256">
        <v>81214</v>
      </c>
      <c r="AA84" s="256">
        <v>82826</v>
      </c>
      <c r="AB84" s="256"/>
      <c r="AC84" s="256"/>
      <c r="AD84" s="256"/>
      <c r="AE84" s="256">
        <v>7406</v>
      </c>
      <c r="AF84" s="256"/>
      <c r="AG84" s="256"/>
      <c r="AH84" s="256"/>
      <c r="AJ84" s="254">
        <f t="shared" si="7"/>
        <v>164040</v>
      </c>
      <c r="AK84" s="256">
        <v>211638</v>
      </c>
      <c r="AL84" s="296">
        <v>99027</v>
      </c>
      <c r="AU84" s="258" t="s">
        <v>1417</v>
      </c>
    </row>
    <row r="85" spans="1:47" s="254" customFormat="1" ht="14.25" customHeight="1">
      <c r="A85" s="260">
        <v>83</v>
      </c>
      <c r="B85" s="259" t="s">
        <v>1</v>
      </c>
      <c r="C85" s="259" t="s">
        <v>1299</v>
      </c>
      <c r="D85" s="351">
        <v>40634</v>
      </c>
      <c r="E85" s="351">
        <v>40725</v>
      </c>
      <c r="F85" s="252" t="s">
        <v>1104</v>
      </c>
      <c r="G85" s="252" t="s">
        <v>1449</v>
      </c>
      <c r="H85" s="252" t="s">
        <v>1106</v>
      </c>
      <c r="I85" s="254" t="s">
        <v>2331</v>
      </c>
      <c r="J85" s="298">
        <v>116400</v>
      </c>
      <c r="K85" s="298">
        <v>190875</v>
      </c>
      <c r="L85" s="298">
        <v>190183</v>
      </c>
      <c r="M85" s="298">
        <v>190183</v>
      </c>
      <c r="N85" s="256">
        <f t="shared" si="5"/>
        <v>1.6338745704467355</v>
      </c>
      <c r="O85" s="263">
        <v>100</v>
      </c>
      <c r="P85" s="298" t="s">
        <v>75</v>
      </c>
      <c r="Q85" s="298">
        <v>2500</v>
      </c>
      <c r="R85" s="298">
        <v>2500</v>
      </c>
      <c r="S85" s="298" t="s">
        <v>233</v>
      </c>
      <c r="T85" s="298">
        <v>110</v>
      </c>
      <c r="U85" s="298">
        <v>31340</v>
      </c>
      <c r="V85" s="298">
        <v>94849</v>
      </c>
      <c r="W85" s="298">
        <v>93805</v>
      </c>
      <c r="X85" s="349">
        <f>W85/R85</f>
        <v>37.521999999999998</v>
      </c>
      <c r="Y85" s="298"/>
      <c r="Z85" s="298"/>
      <c r="AA85" s="298">
        <v>31340</v>
      </c>
      <c r="AB85" s="298"/>
      <c r="AC85" s="298"/>
      <c r="AD85" s="256">
        <v>110</v>
      </c>
      <c r="AE85" s="298"/>
      <c r="AF85" s="298"/>
      <c r="AG85" s="298"/>
      <c r="AH85" s="298"/>
      <c r="AI85" s="259"/>
      <c r="AJ85" s="259">
        <f t="shared" si="7"/>
        <v>31340</v>
      </c>
      <c r="AK85" s="298">
        <v>5407</v>
      </c>
      <c r="AL85" s="298">
        <v>5407</v>
      </c>
      <c r="AM85" s="259"/>
      <c r="AN85" s="259"/>
      <c r="AO85" s="259"/>
      <c r="AP85" s="259"/>
      <c r="AQ85" s="259"/>
      <c r="AR85" s="259"/>
      <c r="AS85" s="259"/>
      <c r="AT85" s="259"/>
      <c r="AU85" s="277" t="s">
        <v>1105</v>
      </c>
    </row>
    <row r="86" spans="1:47" s="254" customFormat="1" ht="14.25" customHeight="1">
      <c r="A86" s="260">
        <v>84</v>
      </c>
      <c r="B86" s="254" t="s">
        <v>8</v>
      </c>
      <c r="C86" s="254" t="s">
        <v>1291</v>
      </c>
      <c r="D86" s="255">
        <v>40848</v>
      </c>
      <c r="E86" s="255">
        <v>41153</v>
      </c>
      <c r="F86" s="254" t="s">
        <v>1412</v>
      </c>
      <c r="G86" s="273" t="s">
        <v>1450</v>
      </c>
      <c r="H86" s="254" t="s">
        <v>1413</v>
      </c>
      <c r="I86" s="278" t="s">
        <v>2438</v>
      </c>
      <c r="J86" s="256">
        <v>125000</v>
      </c>
      <c r="K86" s="256">
        <v>3550719</v>
      </c>
      <c r="L86" s="286">
        <v>280000</v>
      </c>
      <c r="M86" s="256">
        <v>280000</v>
      </c>
      <c r="N86" s="256">
        <f t="shared" si="5"/>
        <v>2.2400000000000002</v>
      </c>
      <c r="O86" s="256"/>
      <c r="P86" s="256">
        <v>25000</v>
      </c>
      <c r="Q86" s="256">
        <v>5000</v>
      </c>
      <c r="R86" s="256">
        <v>25000</v>
      </c>
      <c r="U86" s="254">
        <v>100000</v>
      </c>
      <c r="V86" s="256"/>
      <c r="W86" s="256"/>
      <c r="X86" s="349">
        <f>W86/R86</f>
        <v>0</v>
      </c>
      <c r="Y86" s="256"/>
      <c r="Z86" s="256"/>
      <c r="AA86" s="256">
        <v>100000</v>
      </c>
      <c r="AB86" s="256"/>
      <c r="AC86" s="256"/>
      <c r="AD86" s="256"/>
      <c r="AE86" s="256"/>
      <c r="AF86" s="256"/>
      <c r="AG86" s="256"/>
      <c r="AH86" s="256"/>
      <c r="AJ86" s="259">
        <f t="shared" si="7"/>
        <v>100000</v>
      </c>
      <c r="AK86" s="256"/>
      <c r="AL86" s="256"/>
      <c r="AU86" s="258" t="s">
        <v>1414</v>
      </c>
    </row>
    <row r="87" spans="1:47" s="254" customFormat="1" ht="14.25" customHeight="1">
      <c r="A87" s="260">
        <v>85</v>
      </c>
      <c r="B87" s="259" t="s">
        <v>259</v>
      </c>
      <c r="C87" s="259" t="s">
        <v>1261</v>
      </c>
      <c r="D87" s="351">
        <v>40756</v>
      </c>
      <c r="E87" s="351">
        <v>40940</v>
      </c>
      <c r="F87" s="252" t="s">
        <v>1107</v>
      </c>
      <c r="G87" s="252" t="s">
        <v>1449</v>
      </c>
      <c r="H87" s="252" t="s">
        <v>1109</v>
      </c>
      <c r="I87" s="254" t="s">
        <v>2331</v>
      </c>
      <c r="J87" s="298">
        <v>144995</v>
      </c>
      <c r="K87" s="298">
        <v>127222</v>
      </c>
      <c r="L87" s="298">
        <v>127221</v>
      </c>
      <c r="M87" s="298">
        <v>127076</v>
      </c>
      <c r="N87" s="256">
        <f t="shared" si="5"/>
        <v>0.87641642815269494</v>
      </c>
      <c r="O87" s="263">
        <v>100</v>
      </c>
      <c r="P87" s="298" t="s">
        <v>75</v>
      </c>
      <c r="Q87" s="298" t="s">
        <v>75</v>
      </c>
      <c r="R87" s="298" t="s">
        <v>75</v>
      </c>
      <c r="S87" s="298" t="s">
        <v>233</v>
      </c>
      <c r="T87" s="298"/>
      <c r="U87" s="298">
        <v>144995</v>
      </c>
      <c r="V87" s="298">
        <v>8870</v>
      </c>
      <c r="W87" s="298">
        <v>8397</v>
      </c>
      <c r="X87" s="256"/>
      <c r="Y87" s="298"/>
      <c r="Z87" s="298"/>
      <c r="AA87" s="298">
        <v>144995</v>
      </c>
      <c r="AB87" s="298">
        <v>750</v>
      </c>
      <c r="AC87" s="298"/>
      <c r="AD87" s="256" t="s">
        <v>714</v>
      </c>
      <c r="AE87" s="298"/>
      <c r="AF87" s="298"/>
      <c r="AG87" s="298"/>
      <c r="AH87" s="298"/>
      <c r="AI87" s="259"/>
      <c r="AJ87" s="259">
        <f t="shared" si="7"/>
        <v>144995</v>
      </c>
      <c r="AK87" s="298" t="s">
        <v>66</v>
      </c>
      <c r="AL87" s="298" t="s">
        <v>66</v>
      </c>
      <c r="AM87" s="259"/>
      <c r="AN87" s="259"/>
      <c r="AO87" s="259"/>
      <c r="AP87" s="259"/>
      <c r="AQ87" s="259"/>
      <c r="AR87" s="259"/>
      <c r="AS87" s="259"/>
      <c r="AT87" s="259"/>
      <c r="AU87" s="277" t="s">
        <v>1108</v>
      </c>
    </row>
    <row r="88" spans="1:47" s="254" customFormat="1" ht="14.25" customHeight="1">
      <c r="A88" s="260">
        <v>86</v>
      </c>
      <c r="B88" s="261" t="s">
        <v>1175</v>
      </c>
      <c r="C88" s="261" t="s">
        <v>1299</v>
      </c>
      <c r="D88" s="262">
        <v>40787</v>
      </c>
      <c r="E88" s="262">
        <v>41244</v>
      </c>
      <c r="F88" s="261" t="s">
        <v>79</v>
      </c>
      <c r="G88" s="273" t="s">
        <v>1453</v>
      </c>
      <c r="H88" s="261" t="s">
        <v>1177</v>
      </c>
      <c r="I88" s="278" t="s">
        <v>2438</v>
      </c>
      <c r="J88" s="263">
        <v>150000</v>
      </c>
      <c r="K88" s="263">
        <v>4158792</v>
      </c>
      <c r="L88" s="257">
        <v>3628536</v>
      </c>
      <c r="M88" s="297">
        <v>1472296</v>
      </c>
      <c r="N88" s="256">
        <f t="shared" si="5"/>
        <v>9.8153066666666664</v>
      </c>
      <c r="O88" s="264">
        <v>87</v>
      </c>
      <c r="P88" s="263">
        <v>14500</v>
      </c>
      <c r="Q88" s="263"/>
      <c r="R88" s="263">
        <v>14500</v>
      </c>
      <c r="S88" s="264" t="s">
        <v>2</v>
      </c>
      <c r="T88" s="264"/>
      <c r="U88" s="264"/>
      <c r="V88" s="263">
        <v>483531</v>
      </c>
      <c r="W88" s="263">
        <v>203895</v>
      </c>
      <c r="X88" s="349">
        <f>W88/R88</f>
        <v>14.061724137931034</v>
      </c>
      <c r="Y88" s="263"/>
      <c r="Z88" s="263"/>
      <c r="AA88" s="263"/>
      <c r="AB88" s="263">
        <v>600</v>
      </c>
      <c r="AC88" s="263" t="s">
        <v>2</v>
      </c>
      <c r="AD88" s="263" t="s">
        <v>2</v>
      </c>
      <c r="AE88" s="263">
        <v>10000</v>
      </c>
      <c r="AF88" s="263"/>
      <c r="AG88" s="263"/>
      <c r="AH88" s="263"/>
      <c r="AI88" s="264"/>
      <c r="AJ88" s="254">
        <f t="shared" si="7"/>
        <v>0</v>
      </c>
      <c r="AK88" s="263">
        <v>261961</v>
      </c>
      <c r="AL88" s="263">
        <v>53896</v>
      </c>
      <c r="AM88" s="264"/>
      <c r="AN88" s="264"/>
      <c r="AO88" s="264"/>
      <c r="AP88" s="264"/>
      <c r="AQ88" s="264"/>
      <c r="AR88" s="264"/>
      <c r="AS88" s="264"/>
      <c r="AT88" s="264"/>
      <c r="AU88" s="264" t="s">
        <v>1176</v>
      </c>
    </row>
    <row r="89" spans="1:47" s="254" customFormat="1" ht="14.25" customHeight="1">
      <c r="A89" s="260">
        <v>87</v>
      </c>
      <c r="B89" s="254" t="s">
        <v>248</v>
      </c>
      <c r="C89" s="254" t="s">
        <v>1299</v>
      </c>
      <c r="D89" s="255">
        <v>40878</v>
      </c>
      <c r="E89" s="255">
        <v>40969</v>
      </c>
      <c r="F89" s="254" t="s">
        <v>626</v>
      </c>
      <c r="G89" s="252" t="s">
        <v>1449</v>
      </c>
      <c r="H89" s="254" t="s">
        <v>1421</v>
      </c>
      <c r="I89" s="254" t="s">
        <v>2331</v>
      </c>
      <c r="J89" s="256">
        <v>153476</v>
      </c>
      <c r="K89" s="256">
        <v>72948</v>
      </c>
      <c r="L89" s="286">
        <v>72948</v>
      </c>
      <c r="M89" s="256">
        <v>72948</v>
      </c>
      <c r="N89" s="256">
        <f t="shared" si="5"/>
        <v>0.47530558523808281</v>
      </c>
      <c r="O89" s="256"/>
      <c r="P89" s="256"/>
      <c r="Q89" s="256"/>
      <c r="R89" s="256"/>
      <c r="V89" s="256"/>
      <c r="W89" s="256"/>
      <c r="X89" s="256"/>
      <c r="Y89" s="256">
        <v>153476</v>
      </c>
      <c r="Z89" s="256"/>
      <c r="AA89" s="256">
        <v>143807</v>
      </c>
      <c r="AB89" s="256">
        <v>180</v>
      </c>
      <c r="AC89" s="256"/>
      <c r="AD89" s="256">
        <v>180</v>
      </c>
      <c r="AE89" s="256"/>
      <c r="AF89" s="256"/>
      <c r="AG89" s="256"/>
      <c r="AH89" s="256"/>
      <c r="AJ89" s="259">
        <f t="shared" si="7"/>
        <v>143807</v>
      </c>
      <c r="AK89" s="256"/>
      <c r="AL89" s="256"/>
      <c r="AU89" s="254" t="s">
        <v>1422</v>
      </c>
    </row>
    <row r="90" spans="1:47" s="254" customFormat="1" ht="14.25" customHeight="1">
      <c r="A90" s="260">
        <v>88</v>
      </c>
      <c r="B90" s="261" t="s">
        <v>607</v>
      </c>
      <c r="C90" s="261" t="s">
        <v>1299</v>
      </c>
      <c r="D90" s="262">
        <v>40787</v>
      </c>
      <c r="E90" s="262">
        <v>41122</v>
      </c>
      <c r="F90" s="261" t="s">
        <v>79</v>
      </c>
      <c r="G90" s="252" t="s">
        <v>1453</v>
      </c>
      <c r="H90" s="261" t="s">
        <v>1090</v>
      </c>
      <c r="I90" s="278" t="s">
        <v>2438</v>
      </c>
      <c r="J90" s="263">
        <v>570000</v>
      </c>
      <c r="K90" s="263">
        <v>28408085</v>
      </c>
      <c r="L90" s="257">
        <v>5681617</v>
      </c>
      <c r="M90" s="257">
        <v>5681617</v>
      </c>
      <c r="N90" s="256">
        <f t="shared" si="5"/>
        <v>9.9677491228070174</v>
      </c>
      <c r="O90" s="264">
        <v>19.7</v>
      </c>
      <c r="P90" s="263">
        <v>62000</v>
      </c>
      <c r="Q90" s="263">
        <v>62000</v>
      </c>
      <c r="R90" s="263">
        <v>62000</v>
      </c>
      <c r="S90" s="264"/>
      <c r="T90" s="264"/>
      <c r="U90" s="264">
        <v>62000</v>
      </c>
      <c r="V90" s="263">
        <v>13257760</v>
      </c>
      <c r="W90" s="263">
        <v>2651552</v>
      </c>
      <c r="X90" s="349">
        <f>W90/R90</f>
        <v>42.766967741935481</v>
      </c>
      <c r="Y90" s="263"/>
      <c r="Z90" s="263"/>
      <c r="AA90" s="263"/>
      <c r="AB90" s="263">
        <v>250</v>
      </c>
      <c r="AC90" s="263" t="s">
        <v>2</v>
      </c>
      <c r="AD90" s="263"/>
      <c r="AE90" s="263">
        <v>50000</v>
      </c>
      <c r="AF90" s="263"/>
      <c r="AG90" s="263"/>
      <c r="AH90" s="263"/>
      <c r="AI90" s="264"/>
      <c r="AJ90" s="259">
        <f t="shared" si="7"/>
        <v>0</v>
      </c>
      <c r="AK90" s="263"/>
      <c r="AL90" s="263"/>
      <c r="AM90" s="264"/>
      <c r="AN90" s="264"/>
      <c r="AO90" s="264"/>
      <c r="AP90" s="264"/>
      <c r="AQ90" s="264"/>
      <c r="AR90" s="264"/>
      <c r="AS90" s="264"/>
      <c r="AT90" s="264"/>
      <c r="AU90" s="275" t="s">
        <v>1089</v>
      </c>
    </row>
    <row r="91" spans="1:47" s="254" customFormat="1" ht="14.25" customHeight="1">
      <c r="A91" s="260">
        <v>89</v>
      </c>
      <c r="B91" s="261" t="s">
        <v>1182</v>
      </c>
      <c r="C91" s="261" t="s">
        <v>1299</v>
      </c>
      <c r="D91" s="262">
        <v>40725</v>
      </c>
      <c r="E91" s="262">
        <v>40940</v>
      </c>
      <c r="F91" s="261" t="s">
        <v>1183</v>
      </c>
      <c r="G91" s="273" t="s">
        <v>1452</v>
      </c>
      <c r="H91" s="261" t="s">
        <v>1184</v>
      </c>
      <c r="I91" s="278" t="s">
        <v>2438</v>
      </c>
      <c r="J91" s="263">
        <v>173000</v>
      </c>
      <c r="K91" s="263">
        <v>6188106</v>
      </c>
      <c r="L91" s="257">
        <v>2418937</v>
      </c>
      <c r="M91" s="257">
        <v>2242841</v>
      </c>
      <c r="N91" s="256">
        <f t="shared" si="5"/>
        <v>12.964398843930637</v>
      </c>
      <c r="O91" s="264">
        <v>39</v>
      </c>
      <c r="P91" s="263">
        <v>46500</v>
      </c>
      <c r="Q91" s="263">
        <v>46500</v>
      </c>
      <c r="R91" s="263">
        <v>46500</v>
      </c>
      <c r="S91" s="264" t="s">
        <v>2</v>
      </c>
      <c r="T91" s="264">
        <v>105</v>
      </c>
      <c r="U91" s="264"/>
      <c r="V91" s="263">
        <v>48000</v>
      </c>
      <c r="W91" s="263">
        <v>23948</v>
      </c>
      <c r="X91" s="349">
        <f>W91/R91</f>
        <v>0.51501075268817209</v>
      </c>
      <c r="Y91" s="263"/>
      <c r="Z91" s="263"/>
      <c r="AA91" s="263">
        <v>46500</v>
      </c>
      <c r="AB91" s="263"/>
      <c r="AC91" s="263"/>
      <c r="AD91" s="263"/>
      <c r="AE91" s="263">
        <v>3500</v>
      </c>
      <c r="AF91" s="263"/>
      <c r="AG91" s="263"/>
      <c r="AH91" s="263"/>
      <c r="AI91" s="264"/>
      <c r="AJ91" s="254">
        <f t="shared" si="7"/>
        <v>46500</v>
      </c>
      <c r="AK91" s="263">
        <v>204534</v>
      </c>
      <c r="AL91" s="263">
        <v>123799</v>
      </c>
      <c r="AM91" s="264"/>
      <c r="AN91" s="264"/>
      <c r="AO91" s="264"/>
      <c r="AP91" s="264"/>
      <c r="AQ91" s="264"/>
      <c r="AR91" s="264"/>
      <c r="AS91" s="264"/>
      <c r="AT91" s="264"/>
      <c r="AU91" s="264" t="s">
        <v>1290</v>
      </c>
    </row>
    <row r="92" spans="1:47" s="254" customFormat="1" ht="13.5" customHeight="1">
      <c r="A92" s="260">
        <v>90</v>
      </c>
      <c r="B92" s="261" t="s">
        <v>1</v>
      </c>
      <c r="C92" s="261" t="s">
        <v>1299</v>
      </c>
      <c r="D92" s="262">
        <v>40848</v>
      </c>
      <c r="E92" s="262">
        <v>40940</v>
      </c>
      <c r="F92" s="261" t="s">
        <v>168</v>
      </c>
      <c r="G92" s="252" t="s">
        <v>1449</v>
      </c>
      <c r="H92" s="261" t="s">
        <v>1086</v>
      </c>
      <c r="I92" s="278" t="s">
        <v>2438</v>
      </c>
      <c r="J92" s="263">
        <v>200000</v>
      </c>
      <c r="K92" s="263">
        <v>1854041</v>
      </c>
      <c r="L92" s="257">
        <f>0.74*K92</f>
        <v>1371990.34</v>
      </c>
      <c r="M92" s="294">
        <f>0.74*L92</f>
        <v>1015272.8516000001</v>
      </c>
      <c r="N92" s="256">
        <f t="shared" si="5"/>
        <v>5.0763642579999999</v>
      </c>
      <c r="O92" s="264">
        <v>74</v>
      </c>
      <c r="P92" s="263">
        <v>80000</v>
      </c>
      <c r="Q92" s="263">
        <v>1500</v>
      </c>
      <c r="R92" s="263">
        <v>80000</v>
      </c>
      <c r="S92" s="264"/>
      <c r="T92" s="264">
        <v>400</v>
      </c>
      <c r="U92" s="264">
        <v>200000</v>
      </c>
      <c r="V92" s="263"/>
      <c r="W92" s="263"/>
      <c r="X92" s="349">
        <f>W92/R92</f>
        <v>0</v>
      </c>
      <c r="Y92" s="263"/>
      <c r="Z92" s="263"/>
      <c r="AA92" s="263">
        <v>200000</v>
      </c>
      <c r="AB92" s="263"/>
      <c r="AC92" s="263"/>
      <c r="AD92" s="263"/>
      <c r="AE92" s="263"/>
      <c r="AF92" s="263"/>
      <c r="AG92" s="263"/>
      <c r="AH92" s="263"/>
      <c r="AI92" s="264"/>
      <c r="AJ92" s="259">
        <f t="shared" si="7"/>
        <v>200000</v>
      </c>
      <c r="AK92" s="263"/>
      <c r="AL92" s="263"/>
      <c r="AM92" s="264"/>
      <c r="AN92" s="264"/>
      <c r="AO92" s="264"/>
      <c r="AP92" s="264"/>
      <c r="AQ92" s="264"/>
      <c r="AR92" s="264">
        <v>1</v>
      </c>
      <c r="AS92" s="264"/>
      <c r="AT92" s="264"/>
      <c r="AU92" s="264" t="s">
        <v>1085</v>
      </c>
    </row>
    <row r="93" spans="1:47" s="287" customFormat="1" ht="14.25" customHeight="1">
      <c r="A93" s="260">
        <v>91</v>
      </c>
      <c r="B93" s="261" t="s">
        <v>493</v>
      </c>
      <c r="C93" s="261" t="s">
        <v>1299</v>
      </c>
      <c r="D93" s="262">
        <v>40544</v>
      </c>
      <c r="E93" s="262">
        <v>40634</v>
      </c>
      <c r="F93" s="261" t="s">
        <v>494</v>
      </c>
      <c r="G93" s="252" t="s">
        <v>1449</v>
      </c>
      <c r="H93" s="261" t="s">
        <v>495</v>
      </c>
      <c r="I93" s="254" t="s">
        <v>2331</v>
      </c>
      <c r="J93" s="263">
        <v>226395</v>
      </c>
      <c r="K93" s="263">
        <v>73659</v>
      </c>
      <c r="L93" s="257">
        <v>73601</v>
      </c>
      <c r="M93" s="263">
        <v>73601</v>
      </c>
      <c r="N93" s="256">
        <f t="shared" si="5"/>
        <v>0.32509993595264913</v>
      </c>
      <c r="O93" s="264">
        <v>100</v>
      </c>
      <c r="P93" s="263" t="s">
        <v>75</v>
      </c>
      <c r="Q93" s="263" t="s">
        <v>75</v>
      </c>
      <c r="R93" s="263" t="s">
        <v>75</v>
      </c>
      <c r="S93" s="264" t="s">
        <v>75</v>
      </c>
      <c r="T93" s="264" t="s">
        <v>75</v>
      </c>
      <c r="U93" s="264" t="s">
        <v>75</v>
      </c>
      <c r="V93" s="263" t="s">
        <v>75</v>
      </c>
      <c r="W93" s="263" t="s">
        <v>75</v>
      </c>
      <c r="X93" s="263"/>
      <c r="Y93" s="263">
        <v>226395</v>
      </c>
      <c r="Z93" s="263" t="s">
        <v>75</v>
      </c>
      <c r="AA93" s="263">
        <v>226395</v>
      </c>
      <c r="AB93" s="263">
        <v>658</v>
      </c>
      <c r="AC93" s="263">
        <v>320</v>
      </c>
      <c r="AD93" s="263">
        <v>338</v>
      </c>
      <c r="AE93" s="263" t="s">
        <v>233</v>
      </c>
      <c r="AF93" s="263" t="s">
        <v>233</v>
      </c>
      <c r="AG93" s="263" t="s">
        <v>233</v>
      </c>
      <c r="AH93" s="263"/>
      <c r="AI93" s="264"/>
      <c r="AJ93" s="259">
        <f t="shared" si="7"/>
        <v>226395</v>
      </c>
      <c r="AK93" s="263">
        <v>0</v>
      </c>
      <c r="AL93" s="263">
        <v>0</v>
      </c>
      <c r="AM93" s="264"/>
      <c r="AN93" s="264"/>
      <c r="AO93" s="264"/>
      <c r="AP93" s="264"/>
      <c r="AQ93" s="264"/>
      <c r="AR93" s="264"/>
      <c r="AS93" s="264" t="s">
        <v>75</v>
      </c>
      <c r="AT93" s="264" t="s">
        <v>233</v>
      </c>
      <c r="AU93" s="265" t="s">
        <v>496</v>
      </c>
    </row>
    <row r="94" spans="1:47" s="287" customFormat="1" ht="14.25" customHeight="1">
      <c r="A94" s="260">
        <v>92</v>
      </c>
      <c r="B94" s="259" t="s">
        <v>148</v>
      </c>
      <c r="C94" s="259" t="s">
        <v>1299</v>
      </c>
      <c r="D94" s="351">
        <v>40695</v>
      </c>
      <c r="E94" s="351">
        <v>40787</v>
      </c>
      <c r="F94" s="252" t="s">
        <v>1146</v>
      </c>
      <c r="G94" s="252" t="s">
        <v>1449</v>
      </c>
      <c r="H94" s="252" t="s">
        <v>1145</v>
      </c>
      <c r="I94" s="254" t="s">
        <v>2331</v>
      </c>
      <c r="J94" s="298">
        <v>280000</v>
      </c>
      <c r="K94" s="298">
        <v>175028</v>
      </c>
      <c r="L94" s="298">
        <v>175028</v>
      </c>
      <c r="M94" s="298">
        <v>175027</v>
      </c>
      <c r="N94" s="256">
        <f t="shared" si="5"/>
        <v>0.62509642857142855</v>
      </c>
      <c r="O94" s="298">
        <v>100</v>
      </c>
      <c r="P94" s="298">
        <v>40859</v>
      </c>
      <c r="Q94" s="298">
        <v>4520</v>
      </c>
      <c r="R94" s="298">
        <v>40859</v>
      </c>
      <c r="S94" s="298" t="s">
        <v>2</v>
      </c>
      <c r="T94" s="298">
        <v>300</v>
      </c>
      <c r="U94" s="298">
        <v>322000</v>
      </c>
      <c r="V94" s="298">
        <v>18230</v>
      </c>
      <c r="W94" s="298">
        <v>18230</v>
      </c>
      <c r="X94" s="349">
        <f>W94/R94</f>
        <v>0.44616853080104751</v>
      </c>
      <c r="Y94" s="298"/>
      <c r="Z94" s="298"/>
      <c r="AA94" s="298">
        <v>153063</v>
      </c>
      <c r="AB94" s="298"/>
      <c r="AC94" s="298"/>
      <c r="AD94" s="256">
        <v>300</v>
      </c>
      <c r="AE94" s="298"/>
      <c r="AF94" s="298"/>
      <c r="AG94" s="298"/>
      <c r="AH94" s="298">
        <v>103</v>
      </c>
      <c r="AI94" s="259"/>
      <c r="AJ94" s="259">
        <f t="shared" si="7"/>
        <v>153166</v>
      </c>
      <c r="AK94" s="298">
        <v>3394</v>
      </c>
      <c r="AL94" s="298">
        <v>3394</v>
      </c>
      <c r="AM94" s="259"/>
      <c r="AN94" s="259"/>
      <c r="AO94" s="259"/>
      <c r="AP94" s="259"/>
      <c r="AQ94" s="259"/>
      <c r="AR94" s="259"/>
      <c r="AS94" s="259"/>
      <c r="AT94" s="259"/>
      <c r="AU94" s="252" t="s">
        <v>1144</v>
      </c>
    </row>
    <row r="95" spans="1:47" s="261" customFormat="1" ht="14.25" customHeight="1">
      <c r="A95" s="260">
        <v>93</v>
      </c>
      <c r="B95" s="254" t="s">
        <v>97</v>
      </c>
      <c r="C95" s="288" t="s">
        <v>1299</v>
      </c>
      <c r="D95" s="255">
        <v>40878</v>
      </c>
      <c r="E95" s="255">
        <v>41183</v>
      </c>
      <c r="F95" s="254" t="s">
        <v>1216</v>
      </c>
      <c r="G95" s="252" t="s">
        <v>1452</v>
      </c>
      <c r="H95" s="254" t="s">
        <v>1375</v>
      </c>
      <c r="I95" s="278" t="s">
        <v>2438</v>
      </c>
      <c r="J95" s="288">
        <v>350000</v>
      </c>
      <c r="K95" s="288">
        <v>3756836</v>
      </c>
      <c r="L95" s="289">
        <v>126768</v>
      </c>
      <c r="M95" s="288">
        <v>126768</v>
      </c>
      <c r="N95" s="256">
        <f t="shared" si="5"/>
        <v>0.36219428571428569</v>
      </c>
      <c r="O95" s="288"/>
      <c r="P95" s="288">
        <v>5000</v>
      </c>
      <c r="Q95" s="288">
        <v>8000</v>
      </c>
      <c r="R95" s="256">
        <v>8000</v>
      </c>
      <c r="S95" s="288" t="s">
        <v>2</v>
      </c>
      <c r="T95" s="288">
        <v>80</v>
      </c>
      <c r="U95" s="288">
        <v>15000</v>
      </c>
      <c r="V95" s="288"/>
      <c r="W95" s="288"/>
      <c r="X95" s="349">
        <f>W95/R95</f>
        <v>0</v>
      </c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88"/>
      <c r="AJ95" s="259">
        <f t="shared" si="7"/>
        <v>0</v>
      </c>
      <c r="AK95" s="288"/>
      <c r="AL95" s="288"/>
      <c r="AM95" s="288"/>
      <c r="AN95" s="288"/>
      <c r="AO95" s="288"/>
      <c r="AP95" s="288"/>
      <c r="AQ95" s="288"/>
      <c r="AR95" s="288"/>
      <c r="AS95" s="288"/>
      <c r="AT95" s="288"/>
      <c r="AU95" s="291" t="s">
        <v>1376</v>
      </c>
    </row>
    <row r="96" spans="1:47" s="261" customFormat="1" ht="14.25" customHeight="1">
      <c r="A96" s="260">
        <v>94</v>
      </c>
      <c r="B96" s="254" t="s">
        <v>244</v>
      </c>
      <c r="C96" s="254" t="s">
        <v>1299</v>
      </c>
      <c r="D96" s="255">
        <v>40878</v>
      </c>
      <c r="E96" s="255">
        <v>41000</v>
      </c>
      <c r="F96" s="254" t="s">
        <v>1325</v>
      </c>
      <c r="G96" s="252" t="s">
        <v>1449</v>
      </c>
      <c r="H96" s="254" t="s">
        <v>1326</v>
      </c>
      <c r="I96" s="254" t="s">
        <v>2331</v>
      </c>
      <c r="J96" s="256">
        <v>421000</v>
      </c>
      <c r="K96" s="256">
        <v>129083</v>
      </c>
      <c r="L96" s="256">
        <v>129083</v>
      </c>
      <c r="M96" s="256">
        <v>129083</v>
      </c>
      <c r="N96" s="256">
        <f t="shared" si="5"/>
        <v>0.30661045130641329</v>
      </c>
      <c r="O96" s="257" t="s">
        <v>66</v>
      </c>
      <c r="P96" s="256"/>
      <c r="Q96" s="256"/>
      <c r="R96" s="256"/>
      <c r="S96" s="254" t="s">
        <v>233</v>
      </c>
      <c r="T96" s="254"/>
      <c r="U96" s="254"/>
      <c r="V96" s="256">
        <v>250</v>
      </c>
      <c r="W96" s="256"/>
      <c r="X96" s="256"/>
      <c r="Y96" s="256"/>
      <c r="Z96" s="256"/>
      <c r="AA96" s="256"/>
      <c r="AB96" s="256"/>
      <c r="AC96" s="256">
        <v>150</v>
      </c>
      <c r="AD96" s="256">
        <v>150</v>
      </c>
      <c r="AE96" s="256"/>
      <c r="AF96" s="256"/>
      <c r="AG96" s="256"/>
      <c r="AH96" s="256"/>
      <c r="AI96" s="254"/>
      <c r="AJ96" s="259">
        <f t="shared" si="7"/>
        <v>0</v>
      </c>
      <c r="AK96" s="256"/>
      <c r="AL96" s="256"/>
      <c r="AM96" s="254"/>
      <c r="AN96" s="254"/>
      <c r="AO96" s="254"/>
      <c r="AP96" s="254"/>
      <c r="AQ96" s="254"/>
      <c r="AR96" s="254"/>
      <c r="AS96" s="254"/>
      <c r="AT96" s="254"/>
      <c r="AU96" s="254" t="s">
        <v>1327</v>
      </c>
    </row>
    <row r="97" spans="1:47" s="254" customFormat="1" ht="14.25" customHeight="1">
      <c r="A97" s="260">
        <v>95</v>
      </c>
      <c r="B97" s="261" t="s">
        <v>2368</v>
      </c>
      <c r="C97" s="264" t="s">
        <v>1278</v>
      </c>
      <c r="D97" s="262">
        <v>40575</v>
      </c>
      <c r="E97" s="262">
        <v>41153</v>
      </c>
      <c r="F97" s="261" t="s">
        <v>1161</v>
      </c>
      <c r="G97" s="252" t="s">
        <v>1452</v>
      </c>
      <c r="H97" s="261" t="s">
        <v>1307</v>
      </c>
      <c r="I97" s="278" t="s">
        <v>2438</v>
      </c>
      <c r="J97" s="298">
        <v>435000</v>
      </c>
      <c r="K97" s="263">
        <v>18673301</v>
      </c>
      <c r="L97" s="257">
        <v>13252916</v>
      </c>
      <c r="M97" s="263">
        <v>8974755</v>
      </c>
      <c r="N97" s="256">
        <f t="shared" si="5"/>
        <v>20.631620689655172</v>
      </c>
      <c r="O97" s="264">
        <v>71</v>
      </c>
      <c r="P97" s="263" t="s">
        <v>75</v>
      </c>
      <c r="Q97" s="263" t="s">
        <v>75</v>
      </c>
      <c r="R97" s="263" t="s">
        <v>75</v>
      </c>
      <c r="S97" s="264"/>
      <c r="T97" s="264"/>
      <c r="U97" s="264"/>
      <c r="V97" s="261">
        <v>352362</v>
      </c>
      <c r="W97" s="263">
        <v>358484</v>
      </c>
      <c r="X97" s="263"/>
      <c r="Y97" s="263"/>
      <c r="Z97" s="263"/>
      <c r="AA97" s="263"/>
      <c r="AB97" s="263"/>
      <c r="AC97" s="263"/>
      <c r="AD97" s="263"/>
      <c r="AE97" s="263"/>
      <c r="AF97" s="263"/>
      <c r="AG97" s="263"/>
      <c r="AH97" s="263"/>
      <c r="AI97" s="264"/>
      <c r="AJ97" s="259">
        <f t="shared" si="7"/>
        <v>0</v>
      </c>
      <c r="AK97" s="263">
        <v>434079</v>
      </c>
      <c r="AL97" s="263">
        <v>113579</v>
      </c>
      <c r="AM97" s="264"/>
      <c r="AN97" s="264"/>
      <c r="AO97" s="264"/>
      <c r="AP97" s="264"/>
      <c r="AQ97" s="264"/>
      <c r="AR97" s="264"/>
      <c r="AS97" s="264"/>
      <c r="AT97" s="264"/>
      <c r="AU97" s="275" t="s">
        <v>1308</v>
      </c>
    </row>
    <row r="98" spans="1:47" s="254" customFormat="1" ht="14.25" customHeight="1">
      <c r="A98" s="260">
        <v>96</v>
      </c>
      <c r="B98" s="261" t="s">
        <v>1</v>
      </c>
      <c r="C98" s="261" t="s">
        <v>1299</v>
      </c>
      <c r="D98" s="262">
        <v>40634</v>
      </c>
      <c r="E98" s="262">
        <v>40725</v>
      </c>
      <c r="F98" s="261" t="s">
        <v>489</v>
      </c>
      <c r="G98" s="252" t="s">
        <v>1449</v>
      </c>
      <c r="H98" s="261" t="s">
        <v>490</v>
      </c>
      <c r="I98" s="254" t="s">
        <v>2331</v>
      </c>
      <c r="J98" s="263">
        <v>650000</v>
      </c>
      <c r="K98" s="263">
        <v>73950</v>
      </c>
      <c r="L98" s="257">
        <v>73950</v>
      </c>
      <c r="M98" s="263">
        <v>72416</v>
      </c>
      <c r="N98" s="256">
        <f t="shared" si="5"/>
        <v>0.11140923076923077</v>
      </c>
      <c r="O98" s="264">
        <v>100</v>
      </c>
      <c r="P98" s="263" t="s">
        <v>75</v>
      </c>
      <c r="Q98" s="263" t="s">
        <v>75</v>
      </c>
      <c r="R98" s="263" t="s">
        <v>75</v>
      </c>
      <c r="S98" s="264" t="s">
        <v>75</v>
      </c>
      <c r="T98" s="264" t="s">
        <v>75</v>
      </c>
      <c r="U98" s="264" t="s">
        <v>75</v>
      </c>
      <c r="V98" s="263">
        <v>0</v>
      </c>
      <c r="W98" s="263">
        <v>0</v>
      </c>
      <c r="X98" s="263"/>
      <c r="Y98" s="263">
        <v>641000</v>
      </c>
      <c r="Z98" s="263" t="s">
        <v>75</v>
      </c>
      <c r="AA98" s="263">
        <v>641000</v>
      </c>
      <c r="AB98" s="263">
        <v>100</v>
      </c>
      <c r="AC98" s="263" t="s">
        <v>233</v>
      </c>
      <c r="AD98" s="263" t="s">
        <v>233</v>
      </c>
      <c r="AE98" s="263" t="s">
        <v>233</v>
      </c>
      <c r="AF98" s="263" t="s">
        <v>233</v>
      </c>
      <c r="AG98" s="263"/>
      <c r="AH98" s="263"/>
      <c r="AI98" s="264"/>
      <c r="AJ98" s="259">
        <f t="shared" si="7"/>
        <v>641000</v>
      </c>
      <c r="AK98" s="263">
        <v>0</v>
      </c>
      <c r="AL98" s="263">
        <v>0</v>
      </c>
      <c r="AM98" s="264"/>
      <c r="AN98" s="264"/>
      <c r="AO98" s="264"/>
      <c r="AP98" s="264"/>
      <c r="AQ98" s="264"/>
      <c r="AR98" s="264"/>
      <c r="AS98" s="264"/>
      <c r="AT98" s="264"/>
      <c r="AU98" s="265" t="s">
        <v>491</v>
      </c>
    </row>
    <row r="99" spans="1:47" s="254" customFormat="1" ht="14.25" customHeight="1">
      <c r="A99" s="260">
        <v>97</v>
      </c>
      <c r="B99" s="261" t="s">
        <v>120</v>
      </c>
      <c r="C99" s="264" t="s">
        <v>1299</v>
      </c>
      <c r="D99" s="262">
        <v>40756</v>
      </c>
      <c r="E99" s="262">
        <v>40848</v>
      </c>
      <c r="F99" s="261" t="s">
        <v>620</v>
      </c>
      <c r="G99" s="252" t="s">
        <v>1449</v>
      </c>
      <c r="H99" s="261" t="s">
        <v>1365</v>
      </c>
      <c r="I99" s="254" t="s">
        <v>2331</v>
      </c>
      <c r="J99" s="264">
        <v>699100</v>
      </c>
      <c r="K99" s="264"/>
      <c r="L99" s="268">
        <v>150010</v>
      </c>
      <c r="M99" s="268">
        <v>150010</v>
      </c>
      <c r="N99" s="256">
        <f t="shared" ref="N99:N110" si="8">M99/J99</f>
        <v>0.21457588327850094</v>
      </c>
      <c r="O99" s="264"/>
      <c r="P99" s="264"/>
      <c r="Q99" s="264"/>
      <c r="R99" s="264"/>
      <c r="S99" s="264"/>
      <c r="T99" s="264">
        <v>385</v>
      </c>
      <c r="U99" s="264"/>
      <c r="V99" s="264"/>
      <c r="W99" s="264"/>
      <c r="X99" s="264"/>
      <c r="Y99" s="263"/>
      <c r="Z99" s="263"/>
      <c r="AA99" s="263"/>
      <c r="AB99" s="263"/>
      <c r="AC99" s="263"/>
      <c r="AD99" s="263" t="s">
        <v>2</v>
      </c>
      <c r="AE99" s="263"/>
      <c r="AF99" s="263"/>
      <c r="AG99" s="263"/>
      <c r="AH99" s="263">
        <v>600</v>
      </c>
      <c r="AI99" s="264"/>
      <c r="AJ99" s="259">
        <f t="shared" ref="AJ99:AJ113" si="9">SUM(Z99,AA99,AH99)</f>
        <v>600</v>
      </c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264" t="s">
        <v>1364</v>
      </c>
    </row>
    <row r="100" spans="1:47" s="254" customFormat="1" ht="14.25" customHeight="1">
      <c r="A100" s="260">
        <v>98</v>
      </c>
      <c r="B100" s="261" t="s">
        <v>170</v>
      </c>
      <c r="C100" s="264" t="s">
        <v>1299</v>
      </c>
      <c r="D100" s="262">
        <v>40817</v>
      </c>
      <c r="E100" s="262">
        <v>40909</v>
      </c>
      <c r="F100" s="261" t="s">
        <v>243</v>
      </c>
      <c r="G100" s="252" t="s">
        <v>1449</v>
      </c>
      <c r="H100" s="261" t="s">
        <v>1321</v>
      </c>
      <c r="I100" s="254" t="s">
        <v>2331</v>
      </c>
      <c r="J100" s="263">
        <v>750000</v>
      </c>
      <c r="K100" s="263">
        <v>188083</v>
      </c>
      <c r="L100" s="263">
        <v>188083</v>
      </c>
      <c r="M100" s="263">
        <v>188083</v>
      </c>
      <c r="N100" s="256">
        <f t="shared" si="8"/>
        <v>0.25077733333333335</v>
      </c>
      <c r="O100" s="257" t="s">
        <v>66</v>
      </c>
      <c r="P100" s="263" t="s">
        <v>134</v>
      </c>
      <c r="Q100" s="263" t="s">
        <v>134</v>
      </c>
      <c r="R100" s="263" t="s">
        <v>134</v>
      </c>
      <c r="S100" s="264" t="s">
        <v>233</v>
      </c>
      <c r="T100" s="261">
        <v>360</v>
      </c>
      <c r="U100" s="264">
        <v>68492</v>
      </c>
      <c r="V100" s="257" t="s">
        <v>66</v>
      </c>
      <c r="W100" s="257" t="s">
        <v>66</v>
      </c>
      <c r="X100" s="257"/>
      <c r="Y100" s="263"/>
      <c r="Z100" s="263"/>
      <c r="AA100" s="263">
        <v>68492</v>
      </c>
      <c r="AB100" s="263">
        <v>360</v>
      </c>
      <c r="AC100" s="263"/>
      <c r="AD100" s="263">
        <v>25</v>
      </c>
      <c r="AE100" s="263"/>
      <c r="AF100" s="263"/>
      <c r="AG100" s="263"/>
      <c r="AH100" s="263"/>
      <c r="AI100" s="261"/>
      <c r="AJ100" s="259">
        <f t="shared" si="9"/>
        <v>68492</v>
      </c>
      <c r="AK100" s="257" t="s">
        <v>66</v>
      </c>
      <c r="AL100" s="257" t="s">
        <v>66</v>
      </c>
      <c r="AM100" s="261"/>
      <c r="AN100" s="261"/>
      <c r="AO100" s="261"/>
      <c r="AP100" s="261"/>
      <c r="AQ100" s="261"/>
      <c r="AR100" s="261"/>
      <c r="AS100" s="261" t="s">
        <v>204</v>
      </c>
      <c r="AT100" s="261"/>
      <c r="AU100" s="261" t="s">
        <v>1320</v>
      </c>
    </row>
    <row r="101" spans="1:47" s="254" customFormat="1" ht="14.25" customHeight="1">
      <c r="A101" s="260">
        <v>99</v>
      </c>
      <c r="B101" s="261" t="s">
        <v>12</v>
      </c>
      <c r="C101" s="261" t="s">
        <v>1299</v>
      </c>
      <c r="D101" s="262">
        <v>40634</v>
      </c>
      <c r="E101" s="262">
        <v>40725</v>
      </c>
      <c r="F101" s="261" t="s">
        <v>505</v>
      </c>
      <c r="G101" s="252" t="s">
        <v>1449</v>
      </c>
      <c r="H101" s="261" t="s">
        <v>506</v>
      </c>
      <c r="I101" s="254" t="s">
        <v>2331</v>
      </c>
      <c r="J101" s="263">
        <v>814904</v>
      </c>
      <c r="K101" s="263">
        <v>299869</v>
      </c>
      <c r="L101" s="257">
        <v>299869</v>
      </c>
      <c r="M101" s="263">
        <v>299869</v>
      </c>
      <c r="N101" s="256">
        <f t="shared" si="8"/>
        <v>0.36798076828681658</v>
      </c>
      <c r="O101" s="264">
        <v>100</v>
      </c>
      <c r="P101" s="263" t="s">
        <v>75</v>
      </c>
      <c r="Q101" s="263" t="s">
        <v>75</v>
      </c>
      <c r="R101" s="263" t="s">
        <v>75</v>
      </c>
      <c r="S101" s="264" t="s">
        <v>233</v>
      </c>
      <c r="T101" s="264" t="s">
        <v>75</v>
      </c>
      <c r="U101" s="264" t="s">
        <v>75</v>
      </c>
      <c r="V101" s="263" t="s">
        <v>75</v>
      </c>
      <c r="W101" s="263" t="s">
        <v>75</v>
      </c>
      <c r="X101" s="263"/>
      <c r="Y101" s="263"/>
      <c r="Z101" s="263"/>
      <c r="AA101" s="263">
        <v>585136</v>
      </c>
      <c r="AB101" s="263">
        <v>1295</v>
      </c>
      <c r="AC101" s="263"/>
      <c r="AD101" s="263"/>
      <c r="AE101" s="263"/>
      <c r="AF101" s="263"/>
      <c r="AG101" s="263"/>
      <c r="AH101" s="263"/>
      <c r="AI101" s="264"/>
      <c r="AJ101" s="259">
        <f t="shared" si="9"/>
        <v>585136</v>
      </c>
      <c r="AK101" s="263" t="s">
        <v>134</v>
      </c>
      <c r="AL101" s="263" t="s">
        <v>134</v>
      </c>
      <c r="AM101" s="264"/>
      <c r="AN101" s="264"/>
      <c r="AO101" s="264"/>
      <c r="AP101" s="264"/>
      <c r="AQ101" s="264"/>
      <c r="AR101" s="264"/>
      <c r="AS101" s="264" t="s">
        <v>75</v>
      </c>
      <c r="AT101" s="264"/>
      <c r="AU101" s="265" t="s">
        <v>507</v>
      </c>
    </row>
    <row r="102" spans="1:47" s="254" customFormat="1" ht="14.25" customHeight="1">
      <c r="A102" s="260">
        <v>100</v>
      </c>
      <c r="B102" s="259" t="s">
        <v>170</v>
      </c>
      <c r="C102" s="259" t="s">
        <v>1299</v>
      </c>
      <c r="D102" s="351">
        <v>40695</v>
      </c>
      <c r="E102" s="351">
        <v>40817</v>
      </c>
      <c r="F102" s="252" t="s">
        <v>1153</v>
      </c>
      <c r="G102" s="252" t="s">
        <v>1449</v>
      </c>
      <c r="H102" s="252" t="s">
        <v>1155</v>
      </c>
      <c r="I102" s="254" t="s">
        <v>2331</v>
      </c>
      <c r="J102" s="298">
        <v>985335</v>
      </c>
      <c r="K102" s="298">
        <v>56281</v>
      </c>
      <c r="L102" s="298">
        <v>48615</v>
      </c>
      <c r="M102" s="298">
        <v>48615</v>
      </c>
      <c r="N102" s="256">
        <f t="shared" si="8"/>
        <v>4.9338549833305427E-2</v>
      </c>
      <c r="O102" s="298">
        <v>86</v>
      </c>
      <c r="P102" s="298" t="s">
        <v>75</v>
      </c>
      <c r="Q102" s="298" t="s">
        <v>75</v>
      </c>
      <c r="R102" s="298" t="s">
        <v>75</v>
      </c>
      <c r="S102" s="298" t="s">
        <v>233</v>
      </c>
      <c r="T102" s="298" t="s">
        <v>75</v>
      </c>
      <c r="U102" s="298" t="s">
        <v>75</v>
      </c>
      <c r="V102" s="298" t="s">
        <v>66</v>
      </c>
      <c r="W102" s="298" t="s">
        <v>66</v>
      </c>
      <c r="X102" s="256"/>
      <c r="Y102" s="298"/>
      <c r="Z102" s="298"/>
      <c r="AA102" s="298">
        <v>985335</v>
      </c>
      <c r="AB102" s="298"/>
      <c r="AC102" s="298"/>
      <c r="AD102" s="256">
        <v>150</v>
      </c>
      <c r="AE102" s="298"/>
      <c r="AF102" s="298"/>
      <c r="AG102" s="298"/>
      <c r="AH102" s="298"/>
      <c r="AI102" s="259"/>
      <c r="AJ102" s="259">
        <f t="shared" si="9"/>
        <v>985335</v>
      </c>
      <c r="AK102" s="298" t="s">
        <v>66</v>
      </c>
      <c r="AL102" s="298" t="s">
        <v>66</v>
      </c>
      <c r="AM102" s="259"/>
      <c r="AN102" s="259"/>
      <c r="AO102" s="259"/>
      <c r="AP102" s="259"/>
      <c r="AQ102" s="259"/>
      <c r="AR102" s="259"/>
      <c r="AS102" s="259"/>
      <c r="AT102" s="259"/>
      <c r="AU102" s="252" t="s">
        <v>1154</v>
      </c>
    </row>
    <row r="103" spans="1:47" s="254" customFormat="1" ht="14.25" customHeight="1">
      <c r="A103" s="260">
        <v>101</v>
      </c>
      <c r="B103" s="278" t="s">
        <v>12</v>
      </c>
      <c r="C103" s="261" t="s">
        <v>1299</v>
      </c>
      <c r="D103" s="272">
        <v>40544</v>
      </c>
      <c r="E103" s="272">
        <v>41183</v>
      </c>
      <c r="F103" s="278" t="s">
        <v>79</v>
      </c>
      <c r="G103" s="273" t="s">
        <v>1453</v>
      </c>
      <c r="H103" s="278" t="s">
        <v>11</v>
      </c>
      <c r="I103" s="278" t="s">
        <v>2438</v>
      </c>
      <c r="J103" s="279">
        <v>1000000</v>
      </c>
      <c r="K103" s="279">
        <v>30438354</v>
      </c>
      <c r="L103" s="279">
        <v>9682005</v>
      </c>
      <c r="M103" s="378">
        <v>9234574</v>
      </c>
      <c r="N103" s="256">
        <f t="shared" si="8"/>
        <v>9.2345740000000003</v>
      </c>
      <c r="O103" s="280">
        <v>32</v>
      </c>
      <c r="P103" s="279">
        <v>22400</v>
      </c>
      <c r="Q103" s="279"/>
      <c r="R103" s="279">
        <v>22400</v>
      </c>
      <c r="S103" s="280" t="s">
        <v>94</v>
      </c>
      <c r="T103" s="280">
        <v>20</v>
      </c>
      <c r="U103" s="280">
        <v>69085</v>
      </c>
      <c r="V103" s="279">
        <v>7037895</v>
      </c>
      <c r="W103" s="279">
        <v>233901</v>
      </c>
      <c r="X103" s="349">
        <f>W103/R103</f>
        <v>10.442008928571429</v>
      </c>
      <c r="Y103" s="279">
        <v>35052</v>
      </c>
      <c r="Z103" s="279"/>
      <c r="AA103" s="279">
        <v>914904</v>
      </c>
      <c r="AB103" s="279"/>
      <c r="AC103" s="279"/>
      <c r="AD103" s="279"/>
      <c r="AE103" s="279"/>
      <c r="AF103" s="279"/>
      <c r="AG103" s="279"/>
      <c r="AH103" s="279">
        <v>8458</v>
      </c>
      <c r="AI103" s="280"/>
      <c r="AJ103" s="254">
        <f t="shared" si="9"/>
        <v>923362</v>
      </c>
      <c r="AK103" s="279">
        <v>1072843</v>
      </c>
      <c r="AL103" s="279">
        <v>107804</v>
      </c>
      <c r="AM103" s="280"/>
      <c r="AN103" s="280"/>
      <c r="AO103" s="280"/>
      <c r="AP103" s="280"/>
      <c r="AQ103" s="280"/>
      <c r="AR103" s="280"/>
      <c r="AS103" s="280"/>
      <c r="AT103" s="280"/>
      <c r="AU103" s="299" t="s">
        <v>70</v>
      </c>
    </row>
    <row r="104" spans="1:47" s="254" customFormat="1" ht="14.25" customHeight="1">
      <c r="A104" s="260">
        <v>102</v>
      </c>
      <c r="B104" s="261" t="s">
        <v>270</v>
      </c>
      <c r="C104" s="264" t="s">
        <v>1299</v>
      </c>
      <c r="D104" s="262">
        <v>40725</v>
      </c>
      <c r="E104" s="262">
        <v>40787</v>
      </c>
      <c r="F104" s="261" t="s">
        <v>168</v>
      </c>
      <c r="G104" s="252" t="s">
        <v>1449</v>
      </c>
      <c r="H104" s="261" t="s">
        <v>1306</v>
      </c>
      <c r="I104" s="254" t="s">
        <v>2331</v>
      </c>
      <c r="J104" s="263">
        <v>1150000</v>
      </c>
      <c r="K104" s="263">
        <v>227511</v>
      </c>
      <c r="L104" s="263">
        <v>227511</v>
      </c>
      <c r="M104" s="263">
        <v>227511</v>
      </c>
      <c r="N104" s="256">
        <f t="shared" si="8"/>
        <v>0.19783565217391305</v>
      </c>
      <c r="O104" s="257" t="s">
        <v>66</v>
      </c>
      <c r="P104" s="263">
        <v>9200</v>
      </c>
      <c r="Q104" s="263">
        <v>4240</v>
      </c>
      <c r="R104" s="263">
        <v>9200</v>
      </c>
      <c r="S104" s="264" t="s">
        <v>233</v>
      </c>
      <c r="T104" s="264">
        <v>230</v>
      </c>
      <c r="U104" s="264">
        <v>733000</v>
      </c>
      <c r="V104" s="257" t="s">
        <v>66</v>
      </c>
      <c r="W104" s="257" t="s">
        <v>66</v>
      </c>
      <c r="X104" s="349"/>
      <c r="Y104" s="263"/>
      <c r="Z104" s="263"/>
      <c r="AA104" s="263">
        <v>317000</v>
      </c>
      <c r="AB104" s="263">
        <v>683</v>
      </c>
      <c r="AC104" s="263"/>
      <c r="AD104" s="263"/>
      <c r="AE104" s="263"/>
      <c r="AF104" s="263"/>
      <c r="AG104" s="263"/>
      <c r="AH104" s="263"/>
      <c r="AI104" s="264"/>
      <c r="AJ104" s="259">
        <f t="shared" si="9"/>
        <v>317000</v>
      </c>
      <c r="AK104" s="257" t="s">
        <v>66</v>
      </c>
      <c r="AL104" s="257" t="s">
        <v>66</v>
      </c>
      <c r="AM104" s="264"/>
      <c r="AN104" s="264"/>
      <c r="AO104" s="264"/>
      <c r="AP104" s="264"/>
      <c r="AQ104" s="264"/>
      <c r="AR104" s="264"/>
      <c r="AS104" s="264"/>
      <c r="AT104" s="264"/>
      <c r="AU104" s="275" t="s">
        <v>1309</v>
      </c>
    </row>
    <row r="105" spans="1:47" s="254" customFormat="1" ht="14.25" customHeight="1">
      <c r="A105" s="260">
        <v>103</v>
      </c>
      <c r="B105" s="259" t="s">
        <v>170</v>
      </c>
      <c r="C105" s="259" t="s">
        <v>1299</v>
      </c>
      <c r="D105" s="351">
        <v>40695</v>
      </c>
      <c r="E105" s="351">
        <v>40940</v>
      </c>
      <c r="F105" s="252" t="s">
        <v>1112</v>
      </c>
      <c r="G105" s="252" t="s">
        <v>1449</v>
      </c>
      <c r="H105" s="252" t="s">
        <v>1111</v>
      </c>
      <c r="I105" s="254" t="s">
        <v>2331</v>
      </c>
      <c r="J105" s="298">
        <v>1500000</v>
      </c>
      <c r="K105" s="298">
        <v>292511</v>
      </c>
      <c r="L105" s="298">
        <v>292511</v>
      </c>
      <c r="M105" s="298">
        <v>253659</v>
      </c>
      <c r="N105" s="256">
        <f t="shared" si="8"/>
        <v>0.16910600000000001</v>
      </c>
      <c r="O105" s="263">
        <v>100</v>
      </c>
      <c r="P105" s="298" t="s">
        <v>75</v>
      </c>
      <c r="Q105" s="298" t="s">
        <v>75</v>
      </c>
      <c r="R105" s="298" t="s">
        <v>75</v>
      </c>
      <c r="S105" s="298" t="s">
        <v>233</v>
      </c>
      <c r="T105" s="298">
        <v>300</v>
      </c>
      <c r="U105" s="298">
        <v>1440000</v>
      </c>
      <c r="V105" s="298">
        <v>33498</v>
      </c>
      <c r="W105" s="298">
        <v>28337</v>
      </c>
      <c r="X105" s="256"/>
      <c r="Y105" s="298"/>
      <c r="Z105" s="298"/>
      <c r="AA105" s="298">
        <v>1440000</v>
      </c>
      <c r="AB105" s="298"/>
      <c r="AC105" s="298">
        <v>300</v>
      </c>
      <c r="AD105" s="256"/>
      <c r="AE105" s="383">
        <v>6000</v>
      </c>
      <c r="AF105" s="298"/>
      <c r="AG105" s="298"/>
      <c r="AH105" s="298"/>
      <c r="AI105" s="259"/>
      <c r="AJ105" s="259">
        <f t="shared" si="9"/>
        <v>1440000</v>
      </c>
      <c r="AK105" s="298">
        <v>3960</v>
      </c>
      <c r="AL105" s="298">
        <v>4329</v>
      </c>
      <c r="AM105" s="259"/>
      <c r="AN105" s="259"/>
      <c r="AO105" s="259"/>
      <c r="AP105" s="259"/>
      <c r="AQ105" s="259"/>
      <c r="AR105" s="259"/>
      <c r="AS105" s="259" t="s">
        <v>1288</v>
      </c>
      <c r="AT105" s="259"/>
      <c r="AU105" s="277" t="s">
        <v>1110</v>
      </c>
    </row>
    <row r="106" spans="1:47" s="254" customFormat="1" ht="14.25" customHeight="1">
      <c r="A106" s="260">
        <v>104</v>
      </c>
      <c r="B106" s="261" t="s">
        <v>353</v>
      </c>
      <c r="C106" s="264" t="s">
        <v>1299</v>
      </c>
      <c r="D106" s="262">
        <v>40817</v>
      </c>
      <c r="E106" s="262">
        <v>40878</v>
      </c>
      <c r="F106" s="261" t="s">
        <v>1316</v>
      </c>
      <c r="G106" s="252" t="s">
        <v>1449</v>
      </c>
      <c r="H106" s="261" t="s">
        <v>1315</v>
      </c>
      <c r="I106" s="254" t="s">
        <v>2331</v>
      </c>
      <c r="J106" s="263">
        <v>1500000</v>
      </c>
      <c r="K106" s="263">
        <v>238333</v>
      </c>
      <c r="L106" s="263">
        <v>238333</v>
      </c>
      <c r="M106" s="263">
        <v>238333</v>
      </c>
      <c r="N106" s="256">
        <f t="shared" si="8"/>
        <v>0.15888866666666668</v>
      </c>
      <c r="O106" s="257" t="s">
        <v>66</v>
      </c>
      <c r="P106" s="263" t="s">
        <v>134</v>
      </c>
      <c r="Q106" s="263" t="s">
        <v>75</v>
      </c>
      <c r="R106" s="263" t="s">
        <v>134</v>
      </c>
      <c r="S106" s="264" t="s">
        <v>233</v>
      </c>
      <c r="T106" s="264">
        <v>500</v>
      </c>
      <c r="U106" s="264">
        <v>759790</v>
      </c>
      <c r="V106" s="257" t="s">
        <v>66</v>
      </c>
      <c r="W106" s="257" t="s">
        <v>66</v>
      </c>
      <c r="X106" s="257"/>
      <c r="Y106" s="263"/>
      <c r="Z106" s="263"/>
      <c r="AA106" s="263">
        <v>759790</v>
      </c>
      <c r="AB106" s="263">
        <v>500</v>
      </c>
      <c r="AC106" s="263"/>
      <c r="AD106" s="263">
        <v>50</v>
      </c>
      <c r="AE106" s="263"/>
      <c r="AF106" s="263"/>
      <c r="AG106" s="263"/>
      <c r="AH106" s="263"/>
      <c r="AI106" s="264"/>
      <c r="AJ106" s="259">
        <f t="shared" si="9"/>
        <v>759790</v>
      </c>
      <c r="AK106" s="257" t="s">
        <v>66</v>
      </c>
      <c r="AL106" s="257" t="s">
        <v>66</v>
      </c>
      <c r="AM106" s="264"/>
      <c r="AN106" s="264"/>
      <c r="AO106" s="264"/>
      <c r="AP106" s="264"/>
      <c r="AQ106" s="264"/>
      <c r="AR106" s="264"/>
      <c r="AS106" s="264"/>
      <c r="AT106" s="264"/>
      <c r="AU106" s="264" t="s">
        <v>1314</v>
      </c>
    </row>
    <row r="107" spans="1:47" s="254" customFormat="1" ht="14.25" customHeight="1">
      <c r="A107" s="260">
        <v>105</v>
      </c>
      <c r="B107" s="261" t="s">
        <v>148</v>
      </c>
      <c r="C107" s="261" t="s">
        <v>1299</v>
      </c>
      <c r="D107" s="262">
        <v>40664</v>
      </c>
      <c r="E107" s="262">
        <v>40756</v>
      </c>
      <c r="F107" s="261" t="s">
        <v>925</v>
      </c>
      <c r="G107" s="252" t="s">
        <v>1449</v>
      </c>
      <c r="H107" s="261" t="s">
        <v>924</v>
      </c>
      <c r="I107" s="254" t="s">
        <v>2331</v>
      </c>
      <c r="J107" s="263">
        <v>1731900</v>
      </c>
      <c r="K107" s="263">
        <v>133744</v>
      </c>
      <c r="L107" s="257">
        <v>130549</v>
      </c>
      <c r="M107" s="257">
        <v>130549</v>
      </c>
      <c r="N107" s="256">
        <f t="shared" si="8"/>
        <v>7.5379063456319645E-2</v>
      </c>
      <c r="O107" s="264">
        <v>97.75</v>
      </c>
      <c r="P107" s="263" t="s">
        <v>75</v>
      </c>
      <c r="Q107" s="263" t="s">
        <v>75</v>
      </c>
      <c r="R107" s="263" t="s">
        <v>75</v>
      </c>
      <c r="S107" s="264" t="s">
        <v>233</v>
      </c>
      <c r="T107" s="264" t="s">
        <v>75</v>
      </c>
      <c r="U107" s="264" t="s">
        <v>75</v>
      </c>
      <c r="V107" s="263"/>
      <c r="W107" s="263"/>
      <c r="X107" s="263"/>
      <c r="Y107" s="263">
        <v>1731900</v>
      </c>
      <c r="Z107" s="263"/>
      <c r="AA107" s="263">
        <v>1731900</v>
      </c>
      <c r="AB107" s="263">
        <v>200</v>
      </c>
      <c r="AC107" s="263" t="s">
        <v>75</v>
      </c>
      <c r="AD107" s="263" t="s">
        <v>75</v>
      </c>
      <c r="AE107" s="263"/>
      <c r="AF107" s="263" t="s">
        <v>75</v>
      </c>
      <c r="AG107" s="263" t="s">
        <v>75</v>
      </c>
      <c r="AH107" s="263" t="s">
        <v>75</v>
      </c>
      <c r="AI107" s="264" t="s">
        <v>75</v>
      </c>
      <c r="AJ107" s="259">
        <f t="shared" si="9"/>
        <v>1731900</v>
      </c>
      <c r="AK107" s="263"/>
      <c r="AL107" s="263"/>
      <c r="AM107" s="264"/>
      <c r="AN107" s="264"/>
      <c r="AO107" s="264"/>
      <c r="AP107" s="264"/>
      <c r="AQ107" s="264"/>
      <c r="AR107" s="264"/>
      <c r="AS107" s="264" t="s">
        <v>75</v>
      </c>
      <c r="AT107" s="264" t="s">
        <v>75</v>
      </c>
      <c r="AU107" s="264" t="s">
        <v>480</v>
      </c>
    </row>
    <row r="108" spans="1:47" s="254" customFormat="1" ht="14.25" customHeight="1">
      <c r="A108" s="260">
        <v>106</v>
      </c>
      <c r="B108" s="254" t="s">
        <v>12</v>
      </c>
      <c r="C108" s="254" t="s">
        <v>1299</v>
      </c>
      <c r="D108" s="255">
        <v>40848</v>
      </c>
      <c r="E108" s="255">
        <v>40878</v>
      </c>
      <c r="F108" s="254" t="s">
        <v>863</v>
      </c>
      <c r="G108" s="252" t="s">
        <v>1449</v>
      </c>
      <c r="H108" s="254" t="s">
        <v>1354</v>
      </c>
      <c r="I108" s="254" t="s">
        <v>2331</v>
      </c>
      <c r="J108" s="256">
        <v>2122964</v>
      </c>
      <c r="K108" s="256">
        <v>314019</v>
      </c>
      <c r="L108" s="256">
        <v>314019</v>
      </c>
      <c r="M108" s="256">
        <v>314019</v>
      </c>
      <c r="N108" s="256">
        <f t="shared" si="8"/>
        <v>0.14791536738258398</v>
      </c>
      <c r="O108" s="257" t="s">
        <v>66</v>
      </c>
      <c r="P108" s="256"/>
      <c r="Q108" s="256"/>
      <c r="R108" s="256"/>
      <c r="V108" s="256"/>
      <c r="W108" s="256"/>
      <c r="X108" s="256"/>
      <c r="Y108" s="256"/>
      <c r="Z108" s="256"/>
      <c r="AA108" s="256">
        <v>2122964</v>
      </c>
      <c r="AB108" s="256">
        <v>3542</v>
      </c>
      <c r="AC108" s="256"/>
      <c r="AD108" s="256"/>
      <c r="AE108" s="256"/>
      <c r="AF108" s="256"/>
      <c r="AG108" s="256"/>
      <c r="AH108" s="256"/>
      <c r="AJ108" s="259">
        <f t="shared" si="9"/>
        <v>2122964</v>
      </c>
      <c r="AK108" s="256"/>
      <c r="AL108" s="256"/>
      <c r="AU108" s="254" t="s">
        <v>1353</v>
      </c>
    </row>
    <row r="109" spans="1:47" s="254" customFormat="1" ht="14.25" customHeight="1">
      <c r="A109" s="260">
        <v>107</v>
      </c>
      <c r="B109" s="261" t="s">
        <v>148</v>
      </c>
      <c r="C109" s="261" t="s">
        <v>1299</v>
      </c>
      <c r="D109" s="262">
        <v>40544</v>
      </c>
      <c r="E109" s="262">
        <v>40634</v>
      </c>
      <c r="F109" s="261" t="s">
        <v>866</v>
      </c>
      <c r="G109" s="252" t="s">
        <v>1449</v>
      </c>
      <c r="H109" s="261" t="s">
        <v>867</v>
      </c>
      <c r="I109" s="254" t="s">
        <v>2331</v>
      </c>
      <c r="J109" s="263">
        <v>2135700</v>
      </c>
      <c r="K109" s="263">
        <v>195182</v>
      </c>
      <c r="L109" s="257">
        <v>194658</v>
      </c>
      <c r="M109" s="263">
        <v>194658</v>
      </c>
      <c r="N109" s="256">
        <f t="shared" si="8"/>
        <v>9.1144823711195394E-2</v>
      </c>
      <c r="O109" s="264">
        <v>100</v>
      </c>
      <c r="P109" s="263"/>
      <c r="Q109" s="263"/>
      <c r="R109" s="263"/>
      <c r="S109" s="264"/>
      <c r="T109" s="264"/>
      <c r="U109" s="264"/>
      <c r="V109" s="263"/>
      <c r="W109" s="263"/>
      <c r="X109" s="263"/>
      <c r="Y109" s="263">
        <v>727255</v>
      </c>
      <c r="Z109" s="263"/>
      <c r="AA109" s="263">
        <v>727255</v>
      </c>
      <c r="AB109" s="263">
        <v>590</v>
      </c>
      <c r="AC109" s="263"/>
      <c r="AD109" s="263" t="s">
        <v>94</v>
      </c>
      <c r="AE109" s="263"/>
      <c r="AF109" s="263"/>
      <c r="AG109" s="263"/>
      <c r="AH109" s="263"/>
      <c r="AI109" s="264"/>
      <c r="AJ109" s="259">
        <f t="shared" si="9"/>
        <v>727255</v>
      </c>
      <c r="AK109" s="263"/>
      <c r="AL109" s="263"/>
      <c r="AM109" s="264"/>
      <c r="AN109" s="264"/>
      <c r="AO109" s="264"/>
      <c r="AP109" s="264"/>
      <c r="AQ109" s="264"/>
      <c r="AR109" s="264"/>
      <c r="AS109" s="264"/>
      <c r="AT109" s="264"/>
      <c r="AU109" s="265" t="s">
        <v>868</v>
      </c>
    </row>
    <row r="110" spans="1:47" s="254" customFormat="1" ht="14.25" customHeight="1">
      <c r="A110" s="260">
        <v>108</v>
      </c>
      <c r="B110" s="278" t="s">
        <v>6</v>
      </c>
      <c r="C110" s="261" t="s">
        <v>1261</v>
      </c>
      <c r="D110" s="272">
        <v>40725</v>
      </c>
      <c r="E110" s="272">
        <v>40878</v>
      </c>
      <c r="F110" s="278" t="s">
        <v>7</v>
      </c>
      <c r="G110" s="252" t="s">
        <v>1451</v>
      </c>
      <c r="H110" s="278" t="s">
        <v>434</v>
      </c>
      <c r="I110" s="278" t="s">
        <v>2438</v>
      </c>
      <c r="J110" s="279">
        <v>7300000</v>
      </c>
      <c r="K110" s="279">
        <v>2148592</v>
      </c>
      <c r="L110" s="279">
        <v>1866876</v>
      </c>
      <c r="M110" s="279">
        <v>1690166</v>
      </c>
      <c r="N110" s="256">
        <f t="shared" si="8"/>
        <v>0.23152958904109588</v>
      </c>
      <c r="O110" s="280">
        <v>86.8</v>
      </c>
      <c r="P110" s="279">
        <v>4750</v>
      </c>
      <c r="Q110" s="279">
        <v>2275</v>
      </c>
      <c r="R110" s="279">
        <v>4750</v>
      </c>
      <c r="S110" s="280" t="s">
        <v>94</v>
      </c>
      <c r="T110" s="280"/>
      <c r="U110" s="280">
        <v>2275</v>
      </c>
      <c r="V110" s="279">
        <v>53063</v>
      </c>
      <c r="W110" s="279">
        <v>44568</v>
      </c>
      <c r="X110" s="349">
        <f>W110/R110</f>
        <v>9.3827368421052633</v>
      </c>
      <c r="Y110" s="279">
        <v>150000</v>
      </c>
      <c r="Z110" s="279"/>
      <c r="AA110" s="279">
        <v>60000</v>
      </c>
      <c r="AB110" s="279"/>
      <c r="AC110" s="279"/>
      <c r="AD110" s="279"/>
      <c r="AE110" s="279"/>
      <c r="AF110" s="279"/>
      <c r="AG110" s="279"/>
      <c r="AH110" s="279" t="s">
        <v>2</v>
      </c>
      <c r="AI110" s="280"/>
      <c r="AJ110" s="259">
        <f t="shared" si="9"/>
        <v>60000</v>
      </c>
      <c r="AK110" s="279">
        <v>4730</v>
      </c>
      <c r="AL110" s="279">
        <v>2008</v>
      </c>
      <c r="AM110" s="280"/>
      <c r="AN110" s="280"/>
      <c r="AO110" s="280"/>
      <c r="AP110" s="280"/>
      <c r="AQ110" s="280"/>
      <c r="AR110" s="280"/>
      <c r="AS110" s="280"/>
      <c r="AT110" s="280"/>
      <c r="AU110" s="281" t="s">
        <v>68</v>
      </c>
    </row>
    <row r="111" spans="1:47" s="254" customFormat="1" ht="14.25" customHeight="1">
      <c r="A111" s="260">
        <v>109</v>
      </c>
      <c r="B111" s="254" t="s">
        <v>871</v>
      </c>
      <c r="C111" s="254" t="s">
        <v>1260</v>
      </c>
      <c r="D111" s="375">
        <v>40695</v>
      </c>
      <c r="E111" s="375">
        <v>40725</v>
      </c>
      <c r="F111" s="285" t="s">
        <v>1482</v>
      </c>
      <c r="G111" s="252" t="s">
        <v>1453</v>
      </c>
      <c r="H111" s="285" t="s">
        <v>1483</v>
      </c>
      <c r="I111" s="254" t="s">
        <v>2331</v>
      </c>
      <c r="J111" s="298" t="s">
        <v>134</v>
      </c>
      <c r="K111" s="490">
        <v>33015</v>
      </c>
      <c r="L111" s="490">
        <v>33015</v>
      </c>
      <c r="M111" s="490">
        <v>33015</v>
      </c>
      <c r="N111" s="256"/>
      <c r="O111" s="491">
        <v>100</v>
      </c>
      <c r="P111" s="298"/>
      <c r="Q111" s="298"/>
      <c r="R111" s="298"/>
      <c r="S111" s="490"/>
      <c r="T111" s="490"/>
      <c r="U111" s="490"/>
      <c r="V111" s="491" t="s">
        <v>66</v>
      </c>
      <c r="W111" s="491" t="s">
        <v>66</v>
      </c>
      <c r="X111" s="491"/>
      <c r="Y111" s="490"/>
      <c r="Z111" s="490"/>
      <c r="AA111" s="490"/>
      <c r="AB111" s="490"/>
      <c r="AC111" s="490"/>
      <c r="AD111" s="491"/>
      <c r="AE111" s="490"/>
      <c r="AF111" s="490"/>
      <c r="AG111" s="490"/>
      <c r="AH111" s="490"/>
      <c r="AI111" s="374"/>
      <c r="AJ111" s="259">
        <f t="shared" si="9"/>
        <v>0</v>
      </c>
      <c r="AK111" s="491" t="s">
        <v>66</v>
      </c>
      <c r="AL111" s="491" t="s">
        <v>66</v>
      </c>
      <c r="AM111" s="374"/>
      <c r="AN111" s="374"/>
      <c r="AO111" s="374"/>
      <c r="AP111" s="374"/>
      <c r="AQ111" s="374"/>
      <c r="AR111" s="374"/>
      <c r="AS111" s="374"/>
      <c r="AT111" s="374"/>
      <c r="AU111" s="285" t="s">
        <v>1481</v>
      </c>
    </row>
    <row r="112" spans="1:47" s="254" customFormat="1" ht="14.25" customHeight="1">
      <c r="A112" s="260">
        <v>110</v>
      </c>
      <c r="B112" s="261" t="s">
        <v>466</v>
      </c>
      <c r="C112" s="261" t="s">
        <v>1261</v>
      </c>
      <c r="D112" s="262">
        <v>40725</v>
      </c>
      <c r="E112" s="262">
        <v>40817</v>
      </c>
      <c r="F112" s="261" t="s">
        <v>914</v>
      </c>
      <c r="G112" s="252" t="s">
        <v>1449</v>
      </c>
      <c r="H112" s="261" t="s">
        <v>928</v>
      </c>
      <c r="I112" s="254" t="s">
        <v>2331</v>
      </c>
      <c r="J112" s="263" t="s">
        <v>134</v>
      </c>
      <c r="K112" s="263">
        <v>42600</v>
      </c>
      <c r="L112" s="263">
        <v>42600</v>
      </c>
      <c r="M112" s="263">
        <v>42438</v>
      </c>
      <c r="N112" s="256"/>
      <c r="O112" s="264">
        <v>100</v>
      </c>
      <c r="P112" s="263" t="s">
        <v>134</v>
      </c>
      <c r="Q112" s="263" t="s">
        <v>75</v>
      </c>
      <c r="R112" s="263" t="s">
        <v>134</v>
      </c>
      <c r="S112" s="264" t="s">
        <v>233</v>
      </c>
      <c r="T112" s="264" t="s">
        <v>75</v>
      </c>
      <c r="U112" s="264" t="s">
        <v>75</v>
      </c>
      <c r="V112" s="263" t="s">
        <v>66</v>
      </c>
      <c r="W112" s="263" t="s">
        <v>66</v>
      </c>
      <c r="X112" s="263"/>
      <c r="Y112" s="263" t="s">
        <v>134</v>
      </c>
      <c r="Z112" s="263" t="s">
        <v>75</v>
      </c>
      <c r="AA112" s="263" t="s">
        <v>134</v>
      </c>
      <c r="AB112" s="263">
        <v>17</v>
      </c>
      <c r="AC112" s="263" t="s">
        <v>75</v>
      </c>
      <c r="AD112" s="263" t="s">
        <v>75</v>
      </c>
      <c r="AE112" s="263" t="s">
        <v>75</v>
      </c>
      <c r="AF112" s="263" t="s">
        <v>75</v>
      </c>
      <c r="AG112" s="263" t="s">
        <v>75</v>
      </c>
      <c r="AH112" s="263" t="s">
        <v>75</v>
      </c>
      <c r="AI112" s="264" t="s">
        <v>75</v>
      </c>
      <c r="AJ112" s="259">
        <f t="shared" si="9"/>
        <v>0</v>
      </c>
      <c r="AK112" s="263" t="s">
        <v>66</v>
      </c>
      <c r="AL112" s="263" t="s">
        <v>66</v>
      </c>
      <c r="AM112" s="264"/>
      <c r="AN112" s="264"/>
      <c r="AO112" s="264"/>
      <c r="AP112" s="264"/>
      <c r="AQ112" s="264"/>
      <c r="AR112" s="264"/>
      <c r="AS112" s="264" t="s">
        <v>75</v>
      </c>
      <c r="AT112" s="264" t="s">
        <v>75</v>
      </c>
      <c r="AU112" s="275" t="s">
        <v>467</v>
      </c>
    </row>
    <row r="113" spans="1:47" s="284" customFormat="1" ht="14.25" customHeight="1">
      <c r="A113" s="260">
        <v>111</v>
      </c>
      <c r="B113" s="261" t="s">
        <v>270</v>
      </c>
      <c r="C113" s="264" t="s">
        <v>1299</v>
      </c>
      <c r="D113" s="262">
        <v>40848</v>
      </c>
      <c r="E113" s="262"/>
      <c r="F113" s="261" t="s">
        <v>1313</v>
      </c>
      <c r="G113" s="273" t="s">
        <v>1452</v>
      </c>
      <c r="H113" s="261" t="s">
        <v>1311</v>
      </c>
      <c r="I113" s="254" t="s">
        <v>2331</v>
      </c>
      <c r="J113" s="263" t="s">
        <v>134</v>
      </c>
      <c r="K113" s="263">
        <v>67867</v>
      </c>
      <c r="L113" s="263">
        <v>67867</v>
      </c>
      <c r="M113" s="263">
        <v>66014</v>
      </c>
      <c r="N113" s="256"/>
      <c r="O113" s="257">
        <v>100</v>
      </c>
      <c r="P113" s="263" t="s">
        <v>75</v>
      </c>
      <c r="Q113" s="263" t="s">
        <v>75</v>
      </c>
      <c r="R113" s="263" t="s">
        <v>75</v>
      </c>
      <c r="S113" s="264" t="s">
        <v>233</v>
      </c>
      <c r="T113" s="264" t="s">
        <v>75</v>
      </c>
      <c r="U113" s="264" t="s">
        <v>75</v>
      </c>
      <c r="V113" s="257" t="s">
        <v>66</v>
      </c>
      <c r="W113" s="257" t="s">
        <v>66</v>
      </c>
      <c r="X113" s="257"/>
      <c r="Y113" s="263"/>
      <c r="Z113" s="263"/>
      <c r="AA113" s="263"/>
      <c r="AB113" s="263">
        <v>250</v>
      </c>
      <c r="AC113" s="263">
        <v>180</v>
      </c>
      <c r="AD113" s="263"/>
      <c r="AE113" s="263"/>
      <c r="AF113" s="263"/>
      <c r="AG113" s="263"/>
      <c r="AH113" s="263"/>
      <c r="AI113" s="264"/>
      <c r="AJ113" s="254">
        <f t="shared" si="9"/>
        <v>0</v>
      </c>
      <c r="AK113" s="263">
        <v>18500</v>
      </c>
      <c r="AL113" s="263">
        <v>12514</v>
      </c>
      <c r="AM113" s="264"/>
      <c r="AN113" s="264"/>
      <c r="AO113" s="264"/>
      <c r="AP113" s="264"/>
      <c r="AQ113" s="264"/>
      <c r="AR113" s="264"/>
      <c r="AS113" s="264"/>
      <c r="AT113" s="264"/>
      <c r="AU113" s="275" t="s">
        <v>1312</v>
      </c>
    </row>
    <row r="114" spans="1:47">
      <c r="A114" s="52"/>
    </row>
    <row r="115" spans="1:47" s="1" customFormat="1">
      <c r="A115" s="511" t="s">
        <v>1521</v>
      </c>
      <c r="B115" s="511"/>
      <c r="C115" s="511"/>
      <c r="D115" s="511"/>
      <c r="E115" s="511"/>
      <c r="F115" s="511"/>
      <c r="G115" s="511"/>
      <c r="H115" s="511"/>
      <c r="I115" s="511"/>
      <c r="J115" s="511">
        <f t="shared" ref="J115:L115" si="10">SUBTOTAL(9,J3:J113)</f>
        <v>27446633</v>
      </c>
      <c r="K115" s="511">
        <f t="shared" si="10"/>
        <v>191149439</v>
      </c>
      <c r="L115" s="511">
        <f t="shared" si="10"/>
        <v>84214822.039999992</v>
      </c>
      <c r="M115" s="511">
        <f>SUBTOTAL(9,M3:M113)</f>
        <v>68778362.911599994</v>
      </c>
      <c r="N115" s="511">
        <f>SUBTOTAL(1,N3:N113)</f>
        <v>24.92891097980781</v>
      </c>
      <c r="O115" s="511">
        <f>SUBTOTAL(1,O3:O113)</f>
        <v>88.359962555264147</v>
      </c>
      <c r="P115" s="511">
        <f>SUBTOTAL(9,P3:P113)</f>
        <v>1348195</v>
      </c>
      <c r="Q115" s="511">
        <f t="shared" ref="Q115:W115" si="11">SUBTOTAL(9,Q3:Q113)</f>
        <v>567823</v>
      </c>
      <c r="R115" s="511">
        <f t="shared" si="11"/>
        <v>1422918</v>
      </c>
      <c r="S115" s="511">
        <f>COUNTIF(S3:S113,S19)</f>
        <v>24</v>
      </c>
      <c r="T115" s="511">
        <f t="shared" si="11"/>
        <v>11639</v>
      </c>
      <c r="U115" s="511">
        <f t="shared" si="11"/>
        <v>4997039</v>
      </c>
      <c r="V115" s="511">
        <f t="shared" si="11"/>
        <v>24844043</v>
      </c>
      <c r="W115" s="511">
        <f t="shared" si="11"/>
        <v>5053991.51</v>
      </c>
      <c r="X115" s="511">
        <f>SUBTOTAL(1,X3:X113)</f>
        <v>5.0891433275642175</v>
      </c>
      <c r="Y115" s="511">
        <f>SUBTOTAL(9,Y3:Y114)</f>
        <v>3854482</v>
      </c>
      <c r="Z115" s="511">
        <f>SUBTOTAL(9,Z3:Z114)</f>
        <v>149426</v>
      </c>
      <c r="AA115" s="511">
        <f>SUBTOTAL(9,AA3:AA114)</f>
        <v>16756696</v>
      </c>
      <c r="AB115" s="511">
        <f t="shared" ref="AB115" si="12">SUBTOTAL(9,AB3:AB114)</f>
        <v>20139</v>
      </c>
      <c r="AC115" s="511">
        <f>COUNTIF(AC3:AC113,AC88)+ COUNT(AC3:AC113)</f>
        <v>15</v>
      </c>
      <c r="AD115" s="511">
        <f>COUNTIF(AD3:AD113,AD88)+ COUNT(AD3:AD113)</f>
        <v>22</v>
      </c>
      <c r="AE115" s="511">
        <f t="shared" ref="AE115" si="13">SUBTOTAL(9,AE3:AE114)</f>
        <v>157210.6</v>
      </c>
      <c r="AF115" s="511">
        <f t="shared" ref="AF115" si="14">SUBTOTAL(9,AF3:AF114)</f>
        <v>0</v>
      </c>
      <c r="AG115" s="511">
        <f t="shared" ref="AG115" si="15">SUBTOTAL(9,AG3:AG114)</f>
        <v>0</v>
      </c>
      <c r="AH115" s="511">
        <f t="shared" ref="AH115" si="16">SUBTOTAL(9,AH3:AH114)</f>
        <v>14305</v>
      </c>
      <c r="AI115" s="511">
        <f t="shared" ref="AI115" si="17">SUBTOTAL(9,AI3:AI114)</f>
        <v>201</v>
      </c>
      <c r="AJ115" s="511">
        <f t="shared" ref="AJ115:AL115" si="18">SUBTOTAL(9,AJ3:AJ113)</f>
        <v>16920427</v>
      </c>
      <c r="AK115" s="511">
        <f t="shared" si="18"/>
        <v>3096847</v>
      </c>
      <c r="AL115" s="511">
        <f t="shared" si="18"/>
        <v>970721.39</v>
      </c>
      <c r="AM115" s="511"/>
      <c r="AN115" s="511"/>
      <c r="AO115" s="511"/>
      <c r="AP115" s="511"/>
      <c r="AQ115" s="511"/>
      <c r="AR115" s="511"/>
      <c r="AS115" s="511"/>
      <c r="AT115" s="511"/>
      <c r="AU115" s="511"/>
    </row>
  </sheetData>
  <autoFilter ref="A2:AU113"/>
  <mergeCells count="9">
    <mergeCell ref="AN1:AR1"/>
    <mergeCell ref="AS1:AT1"/>
    <mergeCell ref="AU1:AU2"/>
    <mergeCell ref="J1:O1"/>
    <mergeCell ref="P1:R1"/>
    <mergeCell ref="S1:U1"/>
    <mergeCell ref="V1:X1"/>
    <mergeCell ref="Y1:AI1"/>
    <mergeCell ref="AK1:AL1"/>
  </mergeCells>
  <hyperlinks>
    <hyperlink ref="AU24" r:id="rId1"/>
    <hyperlink ref="AU33" r:id="rId2"/>
    <hyperlink ref="AU85" r:id="rId3"/>
    <hyperlink ref="AU87" r:id="rId4"/>
    <hyperlink ref="AU105" r:id="rId5"/>
    <hyperlink ref="AU51" r:id="rId6"/>
    <hyperlink ref="AU16" r:id="rId7"/>
    <hyperlink ref="AU60" r:id="rId8" display=" http://reliefweb.int/sites/reliefweb.int/files/resources/33F4463834FE9B8F8525784D006EDF1A-Full_Report.pdf"/>
    <hyperlink ref="AU21" r:id="rId9"/>
    <hyperlink ref="AU103" r:id="rId10"/>
    <hyperlink ref="AU77" r:id="rId11"/>
    <hyperlink ref="AU17" r:id="rId12"/>
    <hyperlink ref="AU110" r:id="rId13"/>
    <hyperlink ref="AU44" r:id="rId14"/>
    <hyperlink ref="AU45" r:id="rId15"/>
    <hyperlink ref="AU41" r:id="rId16"/>
    <hyperlink ref="AU14" r:id="rId17"/>
    <hyperlink ref="AU12" r:id="rId18"/>
    <hyperlink ref="AU56" r:id="rId19"/>
    <hyperlink ref="AU58" r:id="rId20"/>
    <hyperlink ref="AU98" r:id="rId21"/>
    <hyperlink ref="AU93" r:id="rId22"/>
    <hyperlink ref="AU19" r:id="rId23"/>
    <hyperlink ref="AU101" r:id="rId24"/>
    <hyperlink ref="AU25" r:id="rId25"/>
    <hyperlink ref="AU8" r:id="rId26"/>
    <hyperlink ref="AU4" r:id="rId27"/>
    <hyperlink ref="AU9" r:id="rId28"/>
    <hyperlink ref="AU50" r:id="rId29"/>
    <hyperlink ref="AU55" r:id="rId30"/>
    <hyperlink ref="AU109" r:id="rId31"/>
    <hyperlink ref="AU15" r:id="rId32"/>
    <hyperlink ref="AU36" r:id="rId33"/>
    <hyperlink ref="AU64" r:id="rId34"/>
    <hyperlink ref="AU97" r:id="rId35"/>
    <hyperlink ref="AU32" r:id="rId36"/>
    <hyperlink ref="AU10" r:id="rId37"/>
    <hyperlink ref="AU104" r:id="rId38"/>
    <hyperlink ref="AU113" r:id="rId39"/>
    <hyperlink ref="AU37" r:id="rId40"/>
    <hyperlink ref="AU84" r:id="rId41"/>
    <hyperlink ref="AU95" r:id="rId42"/>
    <hyperlink ref="AU73" r:id="rId43"/>
    <hyperlink ref="AU11" r:id="rId44"/>
    <hyperlink ref="AU18" r:id="rId45"/>
    <hyperlink ref="AU30" r:id="rId46"/>
    <hyperlink ref="AU38" r:id="rId47"/>
    <hyperlink ref="AU76" r:id="rId48"/>
    <hyperlink ref="AU86" r:id="rId49"/>
    <hyperlink ref="AU82" r:id="rId50"/>
    <hyperlink ref="AU48" r:id="rId51"/>
    <hyperlink ref="AU78" r:id="rId52"/>
    <hyperlink ref="AU90" r:id="rId53"/>
    <hyperlink ref="AU20" r:id="rId54"/>
    <hyperlink ref="AU79" r:id="rId55"/>
    <hyperlink ref="AU54" r:id="rId56"/>
    <hyperlink ref="AU49" r:id="rId57"/>
    <hyperlink ref="AU47" r:id="rId58"/>
    <hyperlink ref="AU52" r:id="rId59"/>
    <hyperlink ref="AU65" r:id="rId60"/>
    <hyperlink ref="AU71" r:id="rId61"/>
    <hyperlink ref="AU80" r:id="rId62"/>
    <hyperlink ref="AU81" r:id="rId63"/>
    <hyperlink ref="AU3" r:id="rId64"/>
    <hyperlink ref="AU112" r:id="rId65"/>
  </hyperlinks>
  <pageMargins left="0.7" right="0.7" top="0.75" bottom="0.75" header="0.3" footer="0.3"/>
  <pageSetup paperSize="9" orientation="portrait" verticalDpi="0" r:id="rId66"/>
  <ignoredErrors>
    <ignoredError sqref="S115" formula="1"/>
  </ignoredErrors>
  <legacyDrawing r:id="rId67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132"/>
  <sheetViews>
    <sheetView workbookViewId="0">
      <pane ySplit="1" topLeftCell="A2" activePane="bottomLeft" state="frozen"/>
      <selection pane="bottomLeft" activeCell="AD133" sqref="AD133"/>
    </sheetView>
  </sheetViews>
  <sheetFormatPr defaultRowHeight="12.75"/>
  <cols>
    <col min="10" max="10" width="10.140625" bestFit="1" customWidth="1"/>
    <col min="11" max="11" width="11.7109375" customWidth="1"/>
    <col min="12" max="12" width="11.85546875" customWidth="1"/>
    <col min="13" max="13" width="10.85546875" customWidth="1"/>
    <col min="22" max="22" width="10.28515625" customWidth="1"/>
    <col min="23" max="23" width="10.42578125" customWidth="1"/>
    <col min="40" max="40" width="11.140625" customWidth="1"/>
    <col min="41" max="41" width="11.7109375" customWidth="1"/>
  </cols>
  <sheetData>
    <row r="1" spans="1:47" s="495" customFormat="1" ht="60" customHeight="1">
      <c r="D1" s="493" t="s">
        <v>41</v>
      </c>
      <c r="E1" s="493"/>
      <c r="J1" s="1050" t="s">
        <v>1505</v>
      </c>
      <c r="K1" s="1051"/>
      <c r="L1" s="1051"/>
      <c r="M1" s="1051"/>
      <c r="N1" s="1051"/>
      <c r="O1" s="1052"/>
      <c r="P1" s="1053" t="s">
        <v>2442</v>
      </c>
      <c r="Q1" s="1054"/>
      <c r="R1" s="1055"/>
      <c r="S1" s="1053" t="s">
        <v>2445</v>
      </c>
      <c r="T1" s="1054"/>
      <c r="U1" s="1056"/>
      <c r="V1" s="1057" t="s">
        <v>2434</v>
      </c>
      <c r="W1" s="1058"/>
      <c r="X1" s="1059"/>
      <c r="Y1" s="1060" t="s">
        <v>31</v>
      </c>
      <c r="Z1" s="1061"/>
      <c r="AA1" s="1061"/>
      <c r="AB1" s="1061"/>
      <c r="AC1" s="1061"/>
      <c r="AD1" s="1061"/>
      <c r="AE1" s="1061"/>
      <c r="AF1" s="1061"/>
      <c r="AG1" s="1061"/>
      <c r="AH1" s="1061"/>
      <c r="AI1" s="1062"/>
      <c r="AJ1" s="959"/>
      <c r="AK1" s="1063" t="s">
        <v>2435</v>
      </c>
      <c r="AL1" s="1064"/>
      <c r="AM1" s="494"/>
      <c r="AN1" s="1044" t="s">
        <v>35</v>
      </c>
      <c r="AO1" s="1045"/>
      <c r="AP1" s="1045"/>
      <c r="AQ1" s="1045"/>
      <c r="AR1" s="1046"/>
      <c r="AS1" s="1047" t="s">
        <v>112</v>
      </c>
      <c r="AT1" s="1046"/>
      <c r="AU1" s="1048" t="s">
        <v>51</v>
      </c>
    </row>
    <row r="2" spans="1:47" s="496" customFormat="1" ht="48" customHeight="1">
      <c r="A2" s="497" t="s">
        <v>3</v>
      </c>
      <c r="B2" s="497" t="s">
        <v>46</v>
      </c>
      <c r="C2" s="498" t="s">
        <v>1038</v>
      </c>
      <c r="D2" s="247" t="s">
        <v>108</v>
      </c>
      <c r="E2" s="247" t="s">
        <v>107</v>
      </c>
      <c r="F2" s="492" t="s">
        <v>42</v>
      </c>
      <c r="G2" s="497" t="s">
        <v>1448</v>
      </c>
      <c r="H2" s="497" t="s">
        <v>2436</v>
      </c>
      <c r="I2" s="499" t="s">
        <v>2439</v>
      </c>
      <c r="J2" s="246" t="s">
        <v>13</v>
      </c>
      <c r="K2" s="246" t="s">
        <v>45</v>
      </c>
      <c r="L2" s="250" t="s">
        <v>111</v>
      </c>
      <c r="M2" s="246" t="s">
        <v>67</v>
      </c>
      <c r="N2" s="500" t="s">
        <v>2299</v>
      </c>
      <c r="O2" s="246" t="s">
        <v>115</v>
      </c>
      <c r="P2" s="478" t="s">
        <v>2443</v>
      </c>
      <c r="Q2" s="249" t="s">
        <v>2444</v>
      </c>
      <c r="R2" s="249" t="s">
        <v>50</v>
      </c>
      <c r="S2" s="248" t="s">
        <v>93</v>
      </c>
      <c r="T2" s="248" t="s">
        <v>92</v>
      </c>
      <c r="U2" s="248" t="s">
        <v>91</v>
      </c>
      <c r="V2" s="249" t="s">
        <v>48</v>
      </c>
      <c r="W2" s="249" t="s">
        <v>49</v>
      </c>
      <c r="X2" s="501" t="s">
        <v>2360</v>
      </c>
      <c r="Y2" s="471" t="s">
        <v>38</v>
      </c>
      <c r="Z2" s="471" t="s">
        <v>76</v>
      </c>
      <c r="AA2" s="471" t="s">
        <v>77</v>
      </c>
      <c r="AB2" s="471" t="s">
        <v>82</v>
      </c>
      <c r="AC2" s="471" t="s">
        <v>109</v>
      </c>
      <c r="AD2" s="471" t="s">
        <v>110</v>
      </c>
      <c r="AE2" s="471" t="s">
        <v>81</v>
      </c>
      <c r="AF2" s="471" t="s">
        <v>33</v>
      </c>
      <c r="AG2" s="471" t="s">
        <v>34</v>
      </c>
      <c r="AH2" s="471" t="s">
        <v>32</v>
      </c>
      <c r="AI2" s="472" t="s">
        <v>86</v>
      </c>
      <c r="AJ2" s="960" t="s">
        <v>1557</v>
      </c>
      <c r="AK2" s="477" t="s">
        <v>47</v>
      </c>
      <c r="AL2" s="477" t="s">
        <v>74</v>
      </c>
      <c r="AM2" s="479" t="s">
        <v>0</v>
      </c>
      <c r="AN2" s="480" t="s">
        <v>57</v>
      </c>
      <c r="AO2" s="480" t="s">
        <v>39</v>
      </c>
      <c r="AP2" s="480" t="s">
        <v>40</v>
      </c>
      <c r="AQ2" s="480" t="s">
        <v>37</v>
      </c>
      <c r="AR2" s="480" t="s">
        <v>36</v>
      </c>
      <c r="AS2" s="480" t="s">
        <v>113</v>
      </c>
      <c r="AT2" s="479" t="s">
        <v>114</v>
      </c>
      <c r="AU2" s="1049"/>
    </row>
    <row r="3" spans="1:47" s="252" customFormat="1" ht="17.25" customHeight="1">
      <c r="A3" s="260">
        <v>112</v>
      </c>
      <c r="B3" s="488" t="s">
        <v>1073</v>
      </c>
      <c r="C3" s="259" t="s">
        <v>1286</v>
      </c>
      <c r="D3" s="351">
        <v>40330</v>
      </c>
      <c r="E3" s="351">
        <v>40664</v>
      </c>
      <c r="F3" s="300" t="s">
        <v>1074</v>
      </c>
      <c r="G3" s="252" t="s">
        <v>1450</v>
      </c>
      <c r="H3" s="252" t="s">
        <v>1077</v>
      </c>
      <c r="I3" s="278" t="s">
        <v>2438</v>
      </c>
      <c r="J3" s="298">
        <v>7500</v>
      </c>
      <c r="K3" s="298">
        <v>1286382</v>
      </c>
      <c r="L3" s="298">
        <v>1327946</v>
      </c>
      <c r="M3" s="298">
        <v>1210308</v>
      </c>
      <c r="N3" s="256">
        <f t="shared" ref="N3:N34" si="0">M3/J3</f>
        <v>161.37440000000001</v>
      </c>
      <c r="O3" s="298">
        <v>103</v>
      </c>
      <c r="P3" s="298">
        <v>3371</v>
      </c>
      <c r="Q3" s="298">
        <v>7500</v>
      </c>
      <c r="R3" s="298">
        <v>7500</v>
      </c>
      <c r="S3" s="298" t="s">
        <v>2</v>
      </c>
      <c r="T3" s="298">
        <v>54</v>
      </c>
      <c r="U3" s="298">
        <v>1449</v>
      </c>
      <c r="V3" s="298">
        <v>182022</v>
      </c>
      <c r="W3" s="298">
        <v>172592</v>
      </c>
      <c r="X3" s="349">
        <f>W3/R3</f>
        <v>23.012266666666665</v>
      </c>
      <c r="Y3" s="298">
        <v>2500</v>
      </c>
      <c r="Z3" s="298">
        <v>927</v>
      </c>
      <c r="AA3" s="298">
        <v>2658</v>
      </c>
      <c r="AB3" s="298"/>
      <c r="AC3" s="298"/>
      <c r="AD3" s="256"/>
      <c r="AE3" s="298">
        <v>3000</v>
      </c>
      <c r="AF3" s="298"/>
      <c r="AG3" s="298"/>
      <c r="AH3" s="298"/>
      <c r="AI3" s="298"/>
      <c r="AJ3" s="301">
        <f t="shared" ref="AJ3:AJ31" si="1">SUM(Z3,AA3,AH3)</f>
        <v>3585</v>
      </c>
      <c r="AK3" s="298">
        <v>5793</v>
      </c>
      <c r="AL3" s="298">
        <v>7379</v>
      </c>
      <c r="AM3" s="259"/>
      <c r="AN3" s="259"/>
      <c r="AO3" s="259"/>
      <c r="AP3" s="259"/>
      <c r="AQ3" s="259"/>
      <c r="AR3" s="259"/>
      <c r="AS3" s="259"/>
      <c r="AT3" s="259"/>
      <c r="AU3" s="277" t="s">
        <v>1097</v>
      </c>
    </row>
    <row r="4" spans="1:47" s="252" customFormat="1" ht="19.5" customHeight="1">
      <c r="A4" s="260">
        <v>113</v>
      </c>
      <c r="B4" s="488" t="s">
        <v>170</v>
      </c>
      <c r="C4" s="259" t="s">
        <v>1299</v>
      </c>
      <c r="D4" s="351">
        <v>40483</v>
      </c>
      <c r="E4" s="351">
        <v>40756</v>
      </c>
      <c r="F4" s="300" t="s">
        <v>1076</v>
      </c>
      <c r="G4" s="252" t="s">
        <v>1449</v>
      </c>
      <c r="H4" s="252" t="s">
        <v>1079</v>
      </c>
      <c r="I4" s="278" t="s">
        <v>2438</v>
      </c>
      <c r="J4" s="298">
        <v>3000000</v>
      </c>
      <c r="K4" s="298">
        <v>1505011</v>
      </c>
      <c r="L4" s="298">
        <v>419748</v>
      </c>
      <c r="M4" s="298">
        <v>419748</v>
      </c>
      <c r="N4" s="256">
        <f t="shared" si="0"/>
        <v>0.13991600000000001</v>
      </c>
      <c r="O4" s="263">
        <v>28</v>
      </c>
      <c r="P4" s="298" t="s">
        <v>75</v>
      </c>
      <c r="Q4" s="298" t="s">
        <v>75</v>
      </c>
      <c r="R4" s="298" t="s">
        <v>75</v>
      </c>
      <c r="S4" s="298" t="s">
        <v>233</v>
      </c>
      <c r="T4" s="298">
        <v>512</v>
      </c>
      <c r="U4" s="298">
        <v>265852</v>
      </c>
      <c r="V4" s="298">
        <v>14021</v>
      </c>
      <c r="W4" s="298">
        <v>869</v>
      </c>
      <c r="X4" s="256"/>
      <c r="Y4" s="298"/>
      <c r="Z4" s="298"/>
      <c r="AA4" s="298">
        <v>265852</v>
      </c>
      <c r="AB4" s="298">
        <v>512</v>
      </c>
      <c r="AC4" s="298">
        <v>280</v>
      </c>
      <c r="AD4" s="256">
        <v>280</v>
      </c>
      <c r="AE4" s="298"/>
      <c r="AF4" s="298"/>
      <c r="AG4" s="298"/>
      <c r="AH4" s="298"/>
      <c r="AI4" s="298"/>
      <c r="AJ4" s="301">
        <f t="shared" si="1"/>
        <v>265852</v>
      </c>
      <c r="AK4" s="298">
        <v>75318</v>
      </c>
      <c r="AL4" s="298">
        <v>21089</v>
      </c>
      <c r="AM4" s="259"/>
      <c r="AN4" s="259"/>
      <c r="AO4" s="259"/>
      <c r="AP4" s="259"/>
      <c r="AQ4" s="259"/>
      <c r="AR4" s="259"/>
      <c r="AS4" s="259"/>
      <c r="AT4" s="259"/>
      <c r="AU4" s="277" t="s">
        <v>1099</v>
      </c>
    </row>
    <row r="5" spans="1:47" s="252" customFormat="1" ht="14.1" customHeight="1">
      <c r="A5" s="260">
        <v>114</v>
      </c>
      <c r="B5" s="488" t="s">
        <v>15</v>
      </c>
      <c r="C5" s="259" t="s">
        <v>1286</v>
      </c>
      <c r="D5" s="351">
        <v>40483</v>
      </c>
      <c r="E5" s="351">
        <v>40695</v>
      </c>
      <c r="F5" s="300" t="s">
        <v>5</v>
      </c>
      <c r="G5" s="252" t="s">
        <v>1451</v>
      </c>
      <c r="H5" s="252" t="s">
        <v>1080</v>
      </c>
      <c r="I5" s="278" t="s">
        <v>2438</v>
      </c>
      <c r="J5" s="298">
        <v>12725</v>
      </c>
      <c r="K5" s="298">
        <v>701023</v>
      </c>
      <c r="L5" s="298">
        <v>327541</v>
      </c>
      <c r="M5" s="298">
        <v>327514</v>
      </c>
      <c r="N5" s="256">
        <f t="shared" si="0"/>
        <v>25.737838899803535</v>
      </c>
      <c r="O5" s="263">
        <v>47</v>
      </c>
      <c r="P5" s="298">
        <v>2000</v>
      </c>
      <c r="Q5" s="298" t="s">
        <v>75</v>
      </c>
      <c r="R5" s="298">
        <v>2000</v>
      </c>
      <c r="S5" s="298" t="s">
        <v>233</v>
      </c>
      <c r="T5" s="298" t="s">
        <v>134</v>
      </c>
      <c r="U5" s="298">
        <v>1922</v>
      </c>
      <c r="V5" s="298">
        <v>48960</v>
      </c>
      <c r="W5" s="298">
        <v>103425</v>
      </c>
      <c r="X5" s="349">
        <f t="shared" ref="X5:X15" si="2">W5/R5</f>
        <v>51.712499999999999</v>
      </c>
      <c r="Y5" s="298"/>
      <c r="Z5" s="298"/>
      <c r="AA5" s="298"/>
      <c r="AB5" s="298">
        <v>353</v>
      </c>
      <c r="AC5" s="298"/>
      <c r="AD5" s="256"/>
      <c r="AE5" s="298">
        <v>4410</v>
      </c>
      <c r="AF5" s="298"/>
      <c r="AG5" s="298"/>
      <c r="AH5" s="298"/>
      <c r="AI5" s="298"/>
      <c r="AJ5" s="301">
        <f t="shared" si="1"/>
        <v>0</v>
      </c>
      <c r="AK5" s="298" t="s">
        <v>66</v>
      </c>
      <c r="AL5" s="298" t="s">
        <v>66</v>
      </c>
      <c r="AM5" s="259"/>
      <c r="AN5" s="259"/>
      <c r="AO5" s="259"/>
      <c r="AP5" s="259"/>
      <c r="AQ5" s="259"/>
      <c r="AR5" s="259"/>
      <c r="AS5" s="259"/>
      <c r="AT5" s="259"/>
      <c r="AU5" s="277" t="s">
        <v>1100</v>
      </c>
    </row>
    <row r="6" spans="1:47" s="273" customFormat="1" ht="16.5" customHeight="1">
      <c r="A6" s="260">
        <v>115</v>
      </c>
      <c r="B6" s="315" t="s">
        <v>259</v>
      </c>
      <c r="C6" s="254" t="s">
        <v>1261</v>
      </c>
      <c r="D6" s="255">
        <v>40452</v>
      </c>
      <c r="E6" s="255">
        <v>40787</v>
      </c>
      <c r="F6" s="302" t="s">
        <v>5</v>
      </c>
      <c r="G6" s="252" t="s">
        <v>1451</v>
      </c>
      <c r="H6" s="273" t="s">
        <v>1081</v>
      </c>
      <c r="I6" s="278" t="s">
        <v>2438</v>
      </c>
      <c r="J6" s="256">
        <v>28500</v>
      </c>
      <c r="K6" s="256">
        <v>1070620</v>
      </c>
      <c r="L6" s="256">
        <v>1057923</v>
      </c>
      <c r="M6" s="256">
        <v>1021022</v>
      </c>
      <c r="N6" s="256">
        <f t="shared" si="0"/>
        <v>35.825333333333333</v>
      </c>
      <c r="O6" s="256">
        <v>99</v>
      </c>
      <c r="P6" s="256">
        <v>24360</v>
      </c>
      <c r="Q6" s="256" t="s">
        <v>75</v>
      </c>
      <c r="R6" s="256">
        <v>24360</v>
      </c>
      <c r="S6" s="298" t="s">
        <v>233</v>
      </c>
      <c r="T6" s="256">
        <v>49</v>
      </c>
      <c r="U6" s="256"/>
      <c r="V6" s="256">
        <v>85040</v>
      </c>
      <c r="W6" s="256">
        <v>61236</v>
      </c>
      <c r="X6" s="349">
        <f t="shared" si="2"/>
        <v>2.5137931034482759</v>
      </c>
      <c r="Y6" s="256"/>
      <c r="Z6" s="256">
        <v>605</v>
      </c>
      <c r="AA6" s="256"/>
      <c r="AB6" s="256">
        <v>126</v>
      </c>
      <c r="AC6" s="256"/>
      <c r="AD6" s="256"/>
      <c r="AE6" s="256"/>
      <c r="AF6" s="256"/>
      <c r="AG6" s="256"/>
      <c r="AH6" s="256"/>
      <c r="AI6" s="256"/>
      <c r="AJ6" s="301">
        <f t="shared" si="1"/>
        <v>605</v>
      </c>
      <c r="AK6" s="256" t="s">
        <v>66</v>
      </c>
      <c r="AL6" s="256" t="s">
        <v>66</v>
      </c>
      <c r="AM6" s="254"/>
      <c r="AN6" s="254"/>
      <c r="AO6" s="254"/>
      <c r="AP6" s="254"/>
      <c r="AQ6" s="254"/>
      <c r="AR6" s="254"/>
      <c r="AS6" s="254"/>
      <c r="AT6" s="254"/>
      <c r="AU6" s="303" t="s">
        <v>1101</v>
      </c>
    </row>
    <row r="7" spans="1:47" s="287" customFormat="1" ht="14.25" customHeight="1">
      <c r="A7" s="260">
        <v>116</v>
      </c>
      <c r="B7" s="278" t="s">
        <v>15</v>
      </c>
      <c r="C7" s="261" t="s">
        <v>1286</v>
      </c>
      <c r="D7" s="272">
        <v>40483</v>
      </c>
      <c r="E7" s="262">
        <v>40544</v>
      </c>
      <c r="F7" s="278" t="s">
        <v>5</v>
      </c>
      <c r="G7" s="273" t="s">
        <v>1451</v>
      </c>
      <c r="H7" s="278" t="s">
        <v>17</v>
      </c>
      <c r="I7" s="278" t="s">
        <v>2438</v>
      </c>
      <c r="J7" s="279">
        <v>12725</v>
      </c>
      <c r="K7" s="279">
        <v>701023</v>
      </c>
      <c r="L7" s="279">
        <v>327541</v>
      </c>
      <c r="M7" s="279">
        <v>327514</v>
      </c>
      <c r="N7" s="256">
        <f t="shared" si="0"/>
        <v>25.737838899803535</v>
      </c>
      <c r="O7" s="279">
        <v>46.7</v>
      </c>
      <c r="P7" s="279">
        <v>5000</v>
      </c>
      <c r="Q7" s="279"/>
      <c r="R7" s="279">
        <v>5000</v>
      </c>
      <c r="S7" s="280"/>
      <c r="T7" s="280"/>
      <c r="U7" s="280">
        <v>500</v>
      </c>
      <c r="V7" s="279">
        <v>48960</v>
      </c>
      <c r="W7" s="279">
        <v>103425</v>
      </c>
      <c r="X7" s="349">
        <f t="shared" si="2"/>
        <v>20.684999999999999</v>
      </c>
      <c r="Y7" s="279">
        <v>250000</v>
      </c>
      <c r="Z7" s="279">
        <v>750</v>
      </c>
      <c r="AA7" s="279">
        <v>1922</v>
      </c>
      <c r="AB7" s="279">
        <v>1015</v>
      </c>
      <c r="AC7" s="279"/>
      <c r="AD7" s="279"/>
      <c r="AE7" s="279">
        <v>4410</v>
      </c>
      <c r="AF7" s="279"/>
      <c r="AG7" s="279"/>
      <c r="AH7" s="279"/>
      <c r="AI7" s="279"/>
      <c r="AJ7" s="301">
        <f t="shared" si="1"/>
        <v>2672</v>
      </c>
      <c r="AK7" s="279" t="s">
        <v>66</v>
      </c>
      <c r="AL7" s="279" t="s">
        <v>66</v>
      </c>
      <c r="AM7" s="280"/>
      <c r="AN7" s="280"/>
      <c r="AO7" s="280"/>
      <c r="AP7" s="280"/>
      <c r="AQ7" s="280"/>
      <c r="AR7" s="280"/>
      <c r="AS7" s="280" t="s">
        <v>2</v>
      </c>
      <c r="AT7" s="280"/>
      <c r="AU7" s="281" t="s">
        <v>572</v>
      </c>
    </row>
    <row r="8" spans="1:47" s="287" customFormat="1" ht="19.5" customHeight="1">
      <c r="A8" s="260">
        <v>117</v>
      </c>
      <c r="B8" s="278" t="s">
        <v>1523</v>
      </c>
      <c r="C8" s="261" t="s">
        <v>1286</v>
      </c>
      <c r="D8" s="272">
        <v>40513</v>
      </c>
      <c r="E8" s="272">
        <v>40940</v>
      </c>
      <c r="F8" s="304" t="s">
        <v>1447</v>
      </c>
      <c r="G8" s="273" t="s">
        <v>1449</v>
      </c>
      <c r="H8" s="278" t="s">
        <v>60</v>
      </c>
      <c r="I8" s="278" t="s">
        <v>2438</v>
      </c>
      <c r="J8" s="279">
        <v>650000</v>
      </c>
      <c r="K8" s="279">
        <v>11486804</v>
      </c>
      <c r="L8" s="279">
        <v>9318581</v>
      </c>
      <c r="M8" s="305">
        <v>7327264</v>
      </c>
      <c r="N8" s="256">
        <f t="shared" si="0"/>
        <v>11.272713846153847</v>
      </c>
      <c r="O8" s="279">
        <v>81</v>
      </c>
      <c r="P8" s="279">
        <v>50000</v>
      </c>
      <c r="Q8" s="283">
        <v>50000</v>
      </c>
      <c r="R8" s="279">
        <v>50000</v>
      </c>
      <c r="S8" s="280" t="s">
        <v>94</v>
      </c>
      <c r="T8" s="280">
        <v>500</v>
      </c>
      <c r="U8" s="280">
        <v>50000</v>
      </c>
      <c r="V8" s="279">
        <v>2386797</v>
      </c>
      <c r="W8" s="305">
        <v>1736253</v>
      </c>
      <c r="X8" s="349">
        <f t="shared" si="2"/>
        <v>34.725059999999999</v>
      </c>
      <c r="Y8" s="279"/>
      <c r="Z8" s="279"/>
      <c r="AA8" s="279">
        <v>250000</v>
      </c>
      <c r="AB8" s="279">
        <v>500</v>
      </c>
      <c r="AC8" s="279">
        <v>216</v>
      </c>
      <c r="AD8" s="279">
        <v>1000</v>
      </c>
      <c r="AE8" s="279"/>
      <c r="AF8" s="279"/>
      <c r="AG8" s="279"/>
      <c r="AH8" s="279">
        <v>2597</v>
      </c>
      <c r="AI8" s="279"/>
      <c r="AJ8" s="301">
        <f t="shared" si="1"/>
        <v>252597</v>
      </c>
      <c r="AK8" s="279">
        <v>1139014</v>
      </c>
      <c r="AL8" s="279">
        <v>1066188</v>
      </c>
      <c r="AM8" s="280"/>
      <c r="AN8" s="280"/>
      <c r="AO8" s="280"/>
      <c r="AP8" s="280"/>
      <c r="AQ8" s="280"/>
      <c r="AR8" s="280">
        <v>3</v>
      </c>
      <c r="AS8" s="280"/>
      <c r="AT8" s="280"/>
      <c r="AU8" s="299" t="s">
        <v>1544</v>
      </c>
    </row>
    <row r="9" spans="1:47" s="287" customFormat="1" ht="14.25" customHeight="1">
      <c r="A9" s="260">
        <v>118</v>
      </c>
      <c r="B9" s="278" t="s">
        <v>20</v>
      </c>
      <c r="C9" s="261" t="s">
        <v>1286</v>
      </c>
      <c r="D9" s="272">
        <v>40513</v>
      </c>
      <c r="E9" s="272">
        <v>40756</v>
      </c>
      <c r="F9" s="278" t="s">
        <v>5</v>
      </c>
      <c r="G9" s="273" t="s">
        <v>1451</v>
      </c>
      <c r="H9" s="278" t="s">
        <v>21</v>
      </c>
      <c r="I9" s="278" t="s">
        <v>2438</v>
      </c>
      <c r="J9" s="279">
        <v>1719707</v>
      </c>
      <c r="K9" s="279">
        <v>1320879</v>
      </c>
      <c r="L9" s="279">
        <v>1114007</v>
      </c>
      <c r="M9" s="279">
        <v>932872</v>
      </c>
      <c r="N9" s="256">
        <f t="shared" si="0"/>
        <v>0.54245984926502011</v>
      </c>
      <c r="O9" s="279">
        <v>84.33</v>
      </c>
      <c r="P9" s="279">
        <v>26646</v>
      </c>
      <c r="Q9" s="279"/>
      <c r="R9" s="279">
        <v>26646</v>
      </c>
      <c r="S9" s="280"/>
      <c r="T9" s="280"/>
      <c r="U9" s="280">
        <v>42500</v>
      </c>
      <c r="V9" s="279">
        <v>363038</v>
      </c>
      <c r="W9" s="279">
        <v>228077</v>
      </c>
      <c r="X9" s="349">
        <f t="shared" si="2"/>
        <v>8.5595211288748771</v>
      </c>
      <c r="Y9" s="279"/>
      <c r="Z9" s="279">
        <v>3135</v>
      </c>
      <c r="AA9" s="279">
        <v>3135</v>
      </c>
      <c r="AB9" s="279"/>
      <c r="AC9" s="279"/>
      <c r="AD9" s="279"/>
      <c r="AE9" s="279">
        <v>3271</v>
      </c>
      <c r="AF9" s="279"/>
      <c r="AG9" s="279"/>
      <c r="AH9" s="279">
        <v>0</v>
      </c>
      <c r="AI9" s="279"/>
      <c r="AJ9" s="301">
        <f t="shared" si="1"/>
        <v>6270</v>
      </c>
      <c r="AK9" s="279">
        <v>41000</v>
      </c>
      <c r="AL9" s="279">
        <v>9591</v>
      </c>
      <c r="AM9" s="280"/>
      <c r="AN9" s="280"/>
      <c r="AO9" s="280"/>
      <c r="AP9" s="280"/>
      <c r="AQ9" s="280"/>
      <c r="AR9" s="280">
        <v>1</v>
      </c>
      <c r="AS9" s="280"/>
      <c r="AT9" s="280"/>
      <c r="AU9" s="281" t="s">
        <v>72</v>
      </c>
    </row>
    <row r="10" spans="1:47" s="287" customFormat="1" ht="14.25" customHeight="1">
      <c r="A10" s="260">
        <v>119</v>
      </c>
      <c r="B10" s="278" t="s">
        <v>22</v>
      </c>
      <c r="C10" s="261" t="s">
        <v>1286</v>
      </c>
      <c r="D10" s="272">
        <v>40452</v>
      </c>
      <c r="E10" s="272">
        <v>40725</v>
      </c>
      <c r="F10" s="278" t="s">
        <v>23</v>
      </c>
      <c r="G10" s="273" t="s">
        <v>1450</v>
      </c>
      <c r="H10" s="278" t="s">
        <v>61</v>
      </c>
      <c r="I10" s="278" t="s">
        <v>2438</v>
      </c>
      <c r="J10" s="279">
        <v>10000</v>
      </c>
      <c r="K10" s="279">
        <v>1045054</v>
      </c>
      <c r="L10" s="279">
        <v>694800</v>
      </c>
      <c r="M10" s="279">
        <v>651645</v>
      </c>
      <c r="N10" s="256">
        <f t="shared" si="0"/>
        <v>65.164500000000004</v>
      </c>
      <c r="O10" s="279">
        <v>66</v>
      </c>
      <c r="P10" s="279">
        <v>10000</v>
      </c>
      <c r="Q10" s="279"/>
      <c r="R10" s="279">
        <v>10000</v>
      </c>
      <c r="S10" s="280"/>
      <c r="T10" s="280"/>
      <c r="U10" s="280"/>
      <c r="V10" s="279">
        <v>133150</v>
      </c>
      <c r="W10" s="279">
        <v>143406</v>
      </c>
      <c r="X10" s="349">
        <f t="shared" si="2"/>
        <v>14.3406</v>
      </c>
      <c r="Y10" s="279"/>
      <c r="Z10" s="279">
        <v>0</v>
      </c>
      <c r="AA10" s="279">
        <v>0</v>
      </c>
      <c r="AB10" s="279"/>
      <c r="AC10" s="279"/>
      <c r="AD10" s="279"/>
      <c r="AE10" s="279">
        <v>4000</v>
      </c>
      <c r="AF10" s="279"/>
      <c r="AG10" s="279"/>
      <c r="AH10" s="279">
        <v>0</v>
      </c>
      <c r="AI10" s="279"/>
      <c r="AJ10" s="301">
        <f t="shared" si="1"/>
        <v>0</v>
      </c>
      <c r="AK10" s="279" t="s">
        <v>66</v>
      </c>
      <c r="AL10" s="279" t="s">
        <v>66</v>
      </c>
      <c r="AM10" s="280"/>
      <c r="AN10" s="280"/>
      <c r="AO10" s="280"/>
      <c r="AP10" s="280"/>
      <c r="AQ10" s="280"/>
      <c r="AR10" s="280"/>
      <c r="AS10" s="280"/>
      <c r="AT10" s="280"/>
      <c r="AU10" s="281" t="s">
        <v>52</v>
      </c>
    </row>
    <row r="11" spans="1:47" s="287" customFormat="1" ht="14.25" customHeight="1">
      <c r="A11" s="260">
        <v>120</v>
      </c>
      <c r="B11" s="278" t="s">
        <v>25</v>
      </c>
      <c r="C11" s="261" t="s">
        <v>1260</v>
      </c>
      <c r="D11" s="272">
        <v>40483</v>
      </c>
      <c r="E11" s="272">
        <v>40695</v>
      </c>
      <c r="F11" s="278" t="s">
        <v>24</v>
      </c>
      <c r="G11" s="252" t="s">
        <v>1454</v>
      </c>
      <c r="H11" s="278" t="s">
        <v>62</v>
      </c>
      <c r="I11" s="278" t="s">
        <v>2438</v>
      </c>
      <c r="J11" s="279">
        <v>8000</v>
      </c>
      <c r="K11" s="279">
        <v>409759</v>
      </c>
      <c r="L11" s="279">
        <v>180379</v>
      </c>
      <c r="M11" s="279">
        <v>141863</v>
      </c>
      <c r="N11" s="256">
        <f t="shared" si="0"/>
        <v>17.732875</v>
      </c>
      <c r="O11" s="279">
        <v>44</v>
      </c>
      <c r="P11" s="279">
        <v>2000</v>
      </c>
      <c r="Q11" s="279"/>
      <c r="R11" s="279">
        <v>2000</v>
      </c>
      <c r="S11" s="280"/>
      <c r="T11" s="280"/>
      <c r="U11" s="280">
        <v>1200</v>
      </c>
      <c r="V11" s="279">
        <v>15000</v>
      </c>
      <c r="W11" s="279">
        <v>16377</v>
      </c>
      <c r="X11" s="349">
        <f t="shared" si="2"/>
        <v>8.1884999999999994</v>
      </c>
      <c r="Y11" s="279"/>
      <c r="Z11" s="279">
        <v>2000</v>
      </c>
      <c r="AA11" s="279"/>
      <c r="AB11" s="279">
        <v>50</v>
      </c>
      <c r="AC11" s="279"/>
      <c r="AD11" s="279"/>
      <c r="AE11" s="279"/>
      <c r="AF11" s="279"/>
      <c r="AG11" s="279"/>
      <c r="AH11" s="279"/>
      <c r="AI11" s="279"/>
      <c r="AJ11" s="301">
        <f t="shared" si="1"/>
        <v>2000</v>
      </c>
      <c r="AK11" s="279" t="s">
        <v>66</v>
      </c>
      <c r="AL11" s="279" t="s">
        <v>66</v>
      </c>
      <c r="AM11" s="280"/>
      <c r="AN11" s="280"/>
      <c r="AO11" s="280"/>
      <c r="AP11" s="280"/>
      <c r="AQ11" s="280"/>
      <c r="AR11" s="280"/>
      <c r="AS11" s="280"/>
      <c r="AT11" s="280"/>
      <c r="AU11" s="281" t="s">
        <v>53</v>
      </c>
    </row>
    <row r="12" spans="1:47" s="287" customFormat="1" ht="14.25" customHeight="1">
      <c r="A12" s="260">
        <v>121</v>
      </c>
      <c r="B12" s="278" t="s">
        <v>26</v>
      </c>
      <c r="C12" s="261" t="s">
        <v>1299</v>
      </c>
      <c r="D12" s="272">
        <v>40513</v>
      </c>
      <c r="E12" s="272">
        <v>40544</v>
      </c>
      <c r="F12" s="278" t="s">
        <v>80</v>
      </c>
      <c r="G12" s="252" t="s">
        <v>1452</v>
      </c>
      <c r="H12" s="278" t="s">
        <v>64</v>
      </c>
      <c r="I12" s="278" t="s">
        <v>2438</v>
      </c>
      <c r="J12" s="279">
        <v>105000</v>
      </c>
      <c r="K12" s="279">
        <v>3030275</v>
      </c>
      <c r="L12" s="279">
        <v>1340351</v>
      </c>
      <c r="M12" s="279">
        <v>391364</v>
      </c>
      <c r="N12" s="256">
        <f t="shared" si="0"/>
        <v>3.7272761904761906</v>
      </c>
      <c r="O12" s="279">
        <v>44</v>
      </c>
      <c r="P12" s="279">
        <v>60000</v>
      </c>
      <c r="Q12" s="279"/>
      <c r="R12" s="279">
        <v>60000</v>
      </c>
      <c r="S12" s="280"/>
      <c r="T12" s="280"/>
      <c r="U12" s="280">
        <v>60000</v>
      </c>
      <c r="V12" s="279">
        <v>238038</v>
      </c>
      <c r="W12" s="279">
        <f>238038*0.44</f>
        <v>104736.72</v>
      </c>
      <c r="X12" s="349">
        <f t="shared" si="2"/>
        <v>1.7456119999999999</v>
      </c>
      <c r="Y12" s="279"/>
      <c r="Z12" s="279"/>
      <c r="AA12" s="279"/>
      <c r="AB12" s="279"/>
      <c r="AC12" s="279"/>
      <c r="AD12" s="279"/>
      <c r="AE12" s="279"/>
      <c r="AF12" s="279"/>
      <c r="AG12" s="279"/>
      <c r="AH12" s="279"/>
      <c r="AI12" s="279"/>
      <c r="AJ12" s="301">
        <f t="shared" si="1"/>
        <v>0</v>
      </c>
      <c r="AK12" s="305">
        <v>351839</v>
      </c>
      <c r="AL12" s="279">
        <v>72168</v>
      </c>
      <c r="AM12" s="280"/>
      <c r="AN12" s="280"/>
      <c r="AO12" s="280"/>
      <c r="AP12" s="280"/>
      <c r="AQ12" s="280"/>
      <c r="AR12" s="280"/>
      <c r="AS12" s="280"/>
      <c r="AT12" s="280"/>
      <c r="AU12" s="281" t="s">
        <v>73</v>
      </c>
    </row>
    <row r="13" spans="1:47" s="287" customFormat="1" ht="15" customHeight="1">
      <c r="A13" s="260">
        <v>122</v>
      </c>
      <c r="B13" s="278" t="s">
        <v>27</v>
      </c>
      <c r="C13" s="261" t="s">
        <v>1299</v>
      </c>
      <c r="D13" s="272">
        <v>40422</v>
      </c>
      <c r="E13" s="272">
        <v>40634</v>
      </c>
      <c r="F13" s="278" t="s">
        <v>5</v>
      </c>
      <c r="G13" s="252" t="s">
        <v>1451</v>
      </c>
      <c r="H13" s="278" t="s">
        <v>63</v>
      </c>
      <c r="I13" s="278" t="s">
        <v>2438</v>
      </c>
      <c r="J13" s="279">
        <v>5000</v>
      </c>
      <c r="K13" s="279">
        <v>287261</v>
      </c>
      <c r="L13" s="279">
        <v>287261</v>
      </c>
      <c r="M13" s="279">
        <v>284774</v>
      </c>
      <c r="N13" s="256">
        <f t="shared" si="0"/>
        <v>56.954799999999999</v>
      </c>
      <c r="O13" s="279">
        <v>100</v>
      </c>
      <c r="P13" s="279">
        <v>5000</v>
      </c>
      <c r="Q13" s="279">
        <v>5000</v>
      </c>
      <c r="R13" s="279">
        <v>5000</v>
      </c>
      <c r="S13" s="280"/>
      <c r="T13" s="280"/>
      <c r="U13" s="280">
        <v>5000</v>
      </c>
      <c r="V13" s="279">
        <v>44200</v>
      </c>
      <c r="W13" s="279">
        <v>35675</v>
      </c>
      <c r="X13" s="349">
        <f t="shared" si="2"/>
        <v>7.1349999999999998</v>
      </c>
      <c r="Y13" s="279"/>
      <c r="Z13" s="279"/>
      <c r="AA13" s="279">
        <v>48070</v>
      </c>
      <c r="AB13" s="279"/>
      <c r="AC13" s="279"/>
      <c r="AD13" s="279"/>
      <c r="AE13" s="279">
        <v>2160</v>
      </c>
      <c r="AF13" s="279"/>
      <c r="AG13" s="279"/>
      <c r="AH13" s="279"/>
      <c r="AI13" s="279"/>
      <c r="AJ13" s="301">
        <f t="shared" si="1"/>
        <v>48070</v>
      </c>
      <c r="AK13" s="279" t="s">
        <v>66</v>
      </c>
      <c r="AL13" s="279" t="s">
        <v>66</v>
      </c>
      <c r="AM13" s="280"/>
      <c r="AN13" s="280"/>
      <c r="AO13" s="280"/>
      <c r="AP13" s="280"/>
      <c r="AQ13" s="280"/>
      <c r="AR13" s="280"/>
      <c r="AS13" s="280"/>
      <c r="AT13" s="280"/>
      <c r="AU13" s="281" t="s">
        <v>54</v>
      </c>
    </row>
    <row r="14" spans="1:47" s="287" customFormat="1" ht="14.25" customHeight="1">
      <c r="A14" s="260">
        <v>123</v>
      </c>
      <c r="B14" s="278" t="s">
        <v>8</v>
      </c>
      <c r="C14" s="261" t="s">
        <v>1261</v>
      </c>
      <c r="D14" s="272">
        <v>40452</v>
      </c>
      <c r="E14" s="272">
        <v>40725</v>
      </c>
      <c r="F14" s="278" t="s">
        <v>29</v>
      </c>
      <c r="G14" s="273" t="s">
        <v>1450</v>
      </c>
      <c r="H14" s="278" t="s">
        <v>65</v>
      </c>
      <c r="I14" s="278" t="s">
        <v>2438</v>
      </c>
      <c r="J14" s="279">
        <v>60000</v>
      </c>
      <c r="K14" s="279">
        <v>4183640</v>
      </c>
      <c r="L14" s="279">
        <v>2765622</v>
      </c>
      <c r="M14" s="279">
        <v>2753528</v>
      </c>
      <c r="N14" s="256">
        <f t="shared" si="0"/>
        <v>45.892133333333334</v>
      </c>
      <c r="O14" s="279">
        <v>67</v>
      </c>
      <c r="P14" s="279">
        <v>50000</v>
      </c>
      <c r="Q14" s="279"/>
      <c r="R14" s="279">
        <v>50000</v>
      </c>
      <c r="S14" s="280"/>
      <c r="T14" s="280"/>
      <c r="U14" s="280">
        <v>50000</v>
      </c>
      <c r="V14" s="279">
        <v>0</v>
      </c>
      <c r="W14" s="279">
        <v>121036</v>
      </c>
      <c r="X14" s="349">
        <f t="shared" si="2"/>
        <v>2.4207200000000002</v>
      </c>
      <c r="Y14" s="279">
        <v>51250</v>
      </c>
      <c r="Z14" s="279"/>
      <c r="AA14" s="279" t="s">
        <v>2</v>
      </c>
      <c r="AB14" s="279"/>
      <c r="AC14" s="279"/>
      <c r="AD14" s="279"/>
      <c r="AE14" s="279">
        <v>20500</v>
      </c>
      <c r="AF14" s="279"/>
      <c r="AG14" s="279"/>
      <c r="AH14" s="279"/>
      <c r="AI14" s="279"/>
      <c r="AJ14" s="301">
        <f t="shared" si="1"/>
        <v>0</v>
      </c>
      <c r="AK14" s="279">
        <v>0</v>
      </c>
      <c r="AL14" s="279">
        <v>21</v>
      </c>
      <c r="AM14" s="280"/>
      <c r="AN14" s="280"/>
      <c r="AO14" s="280"/>
      <c r="AP14" s="280"/>
      <c r="AQ14" s="280"/>
      <c r="AR14" s="280"/>
      <c r="AS14" s="280"/>
      <c r="AT14" s="280"/>
      <c r="AU14" s="281" t="s">
        <v>55</v>
      </c>
    </row>
    <row r="15" spans="1:47" s="287" customFormat="1" ht="14.25" customHeight="1">
      <c r="A15" s="260">
        <v>124</v>
      </c>
      <c r="B15" s="278" t="s">
        <v>26</v>
      </c>
      <c r="C15" s="261" t="s">
        <v>1299</v>
      </c>
      <c r="D15" s="272">
        <v>40452</v>
      </c>
      <c r="E15" s="272">
        <v>40603</v>
      </c>
      <c r="F15" s="278" t="s">
        <v>5</v>
      </c>
      <c r="G15" s="273" t="s">
        <v>1451</v>
      </c>
      <c r="H15" s="278" t="s">
        <v>30</v>
      </c>
      <c r="I15" s="278" t="s">
        <v>2438</v>
      </c>
      <c r="J15" s="279">
        <v>51354</v>
      </c>
      <c r="K15" s="279">
        <v>2318438</v>
      </c>
      <c r="L15" s="279">
        <v>550738</v>
      </c>
      <c r="M15" s="279">
        <v>547975</v>
      </c>
      <c r="N15" s="256">
        <f t="shared" si="0"/>
        <v>10.670541729952877</v>
      </c>
      <c r="O15" s="279">
        <v>24</v>
      </c>
      <c r="P15" s="279">
        <v>15406</v>
      </c>
      <c r="Q15" s="283">
        <v>15406</v>
      </c>
      <c r="R15" s="279">
        <v>15406</v>
      </c>
      <c r="S15" s="280"/>
      <c r="T15" s="280"/>
      <c r="U15" s="280">
        <v>51354</v>
      </c>
      <c r="V15" s="279">
        <v>93276</v>
      </c>
      <c r="W15" s="279">
        <v>9915</v>
      </c>
      <c r="X15" s="349">
        <f t="shared" si="2"/>
        <v>0.6435804232117357</v>
      </c>
      <c r="Y15" s="279"/>
      <c r="Z15" s="279"/>
      <c r="AA15" s="279">
        <v>24030</v>
      </c>
      <c r="AB15" s="279"/>
      <c r="AC15" s="279"/>
      <c r="AD15" s="279"/>
      <c r="AE15" s="279">
        <v>6434</v>
      </c>
      <c r="AF15" s="279"/>
      <c r="AG15" s="279"/>
      <c r="AH15" s="279"/>
      <c r="AI15" s="279"/>
      <c r="AJ15" s="301">
        <f t="shared" si="1"/>
        <v>24030</v>
      </c>
      <c r="AK15" s="279">
        <v>58400</v>
      </c>
      <c r="AL15" s="279">
        <v>131061</v>
      </c>
      <c r="AM15" s="280"/>
      <c r="AN15" s="280"/>
      <c r="AO15" s="280"/>
      <c r="AP15" s="280"/>
      <c r="AQ15" s="280"/>
      <c r="AR15" s="280"/>
      <c r="AS15" s="280"/>
      <c r="AT15" s="280"/>
      <c r="AU15" s="281" t="s">
        <v>56</v>
      </c>
    </row>
    <row r="16" spans="1:47" s="287" customFormat="1" ht="14.25" customHeight="1">
      <c r="A16" s="260">
        <v>125</v>
      </c>
      <c r="B16" s="278" t="s">
        <v>97</v>
      </c>
      <c r="C16" s="261" t="s">
        <v>1299</v>
      </c>
      <c r="D16" s="262">
        <v>40238</v>
      </c>
      <c r="E16" s="262">
        <v>40695</v>
      </c>
      <c r="F16" s="278" t="s">
        <v>96</v>
      </c>
      <c r="G16" s="252" t="s">
        <v>1452</v>
      </c>
      <c r="H16" s="261" t="s">
        <v>437</v>
      </c>
      <c r="I16" s="278" t="s">
        <v>2438</v>
      </c>
      <c r="J16" s="279">
        <v>29890</v>
      </c>
      <c r="K16" s="279">
        <v>3670686</v>
      </c>
      <c r="L16" s="279">
        <v>1976563</v>
      </c>
      <c r="M16" s="279">
        <v>1974453</v>
      </c>
      <c r="N16" s="256">
        <f t="shared" si="0"/>
        <v>66.057310137169623</v>
      </c>
      <c r="O16" s="279">
        <v>54</v>
      </c>
      <c r="P16" s="279"/>
      <c r="Q16" s="279"/>
      <c r="R16" s="279"/>
      <c r="S16" s="280"/>
      <c r="T16" s="280"/>
      <c r="U16" s="280"/>
      <c r="V16" s="279">
        <v>10000</v>
      </c>
      <c r="W16" s="279">
        <v>4292</v>
      </c>
      <c r="X16" s="279"/>
      <c r="Y16" s="279"/>
      <c r="Z16" s="279"/>
      <c r="AA16" s="279"/>
      <c r="AB16" s="279"/>
      <c r="AC16" s="279"/>
      <c r="AD16" s="279"/>
      <c r="AE16" s="279"/>
      <c r="AF16" s="279"/>
      <c r="AG16" s="279"/>
      <c r="AH16" s="263"/>
      <c r="AI16" s="263"/>
      <c r="AJ16" s="301">
        <f t="shared" si="1"/>
        <v>0</v>
      </c>
      <c r="AK16" s="279">
        <v>3122</v>
      </c>
      <c r="AL16" s="279">
        <v>24029</v>
      </c>
      <c r="AM16" s="280"/>
      <c r="AN16" s="280"/>
      <c r="AO16" s="280"/>
      <c r="AP16" s="280"/>
      <c r="AQ16" s="280"/>
      <c r="AR16" s="280"/>
      <c r="AS16" s="280"/>
      <c r="AT16" s="280"/>
      <c r="AU16" s="281" t="s">
        <v>103</v>
      </c>
    </row>
    <row r="17" spans="1:47" s="287" customFormat="1" ht="14.25" customHeight="1">
      <c r="A17" s="260">
        <v>126</v>
      </c>
      <c r="B17" s="278" t="s">
        <v>98</v>
      </c>
      <c r="C17" s="261" t="s">
        <v>1299</v>
      </c>
      <c r="D17" s="272">
        <v>40391</v>
      </c>
      <c r="E17" s="262">
        <v>40634</v>
      </c>
      <c r="F17" s="278" t="s">
        <v>5</v>
      </c>
      <c r="G17" s="273" t="s">
        <v>1451</v>
      </c>
      <c r="H17" s="261" t="s">
        <v>438</v>
      </c>
      <c r="I17" s="278" t="s">
        <v>2438</v>
      </c>
      <c r="J17" s="263">
        <v>80000</v>
      </c>
      <c r="K17" s="263">
        <v>2803535</v>
      </c>
      <c r="L17" s="279">
        <v>561629</v>
      </c>
      <c r="M17" s="263">
        <v>530818</v>
      </c>
      <c r="N17" s="256">
        <f t="shared" si="0"/>
        <v>6.6352250000000002</v>
      </c>
      <c r="O17" s="263">
        <v>20</v>
      </c>
      <c r="P17" s="263">
        <v>1500</v>
      </c>
      <c r="Q17" s="263">
        <v>3100</v>
      </c>
      <c r="R17" s="263">
        <v>3100</v>
      </c>
      <c r="S17" s="264" t="s">
        <v>94</v>
      </c>
      <c r="T17" s="264">
        <v>20</v>
      </c>
      <c r="U17" s="264">
        <v>14418</v>
      </c>
      <c r="V17" s="263">
        <v>603669</v>
      </c>
      <c r="W17" s="263">
        <v>45788</v>
      </c>
      <c r="X17" s="349">
        <f>W17/R17</f>
        <v>14.770322580645161</v>
      </c>
      <c r="Y17" s="263"/>
      <c r="Z17" s="263"/>
      <c r="AA17" s="263"/>
      <c r="AB17" s="263"/>
      <c r="AC17" s="263"/>
      <c r="AD17" s="263"/>
      <c r="AE17" s="263"/>
      <c r="AF17" s="263"/>
      <c r="AG17" s="263"/>
      <c r="AH17" s="263"/>
      <c r="AI17" s="263"/>
      <c r="AJ17" s="301">
        <f t="shared" si="1"/>
        <v>0</v>
      </c>
      <c r="AK17" s="263">
        <v>2600</v>
      </c>
      <c r="AL17" s="263">
        <v>15</v>
      </c>
      <c r="AM17" s="264"/>
      <c r="AN17" s="264"/>
      <c r="AO17" s="264"/>
      <c r="AP17" s="264"/>
      <c r="AQ17" s="264"/>
      <c r="AR17" s="264"/>
      <c r="AS17" s="264"/>
      <c r="AT17" s="264"/>
      <c r="AU17" s="265" t="s">
        <v>102</v>
      </c>
    </row>
    <row r="18" spans="1:47" s="287" customFormat="1" ht="14.25" customHeight="1">
      <c r="A18" s="260">
        <v>127</v>
      </c>
      <c r="B18" s="278" t="s">
        <v>85</v>
      </c>
      <c r="C18" s="261" t="s">
        <v>1261</v>
      </c>
      <c r="D18" s="262">
        <v>40452</v>
      </c>
      <c r="E18" s="262">
        <v>40695</v>
      </c>
      <c r="F18" s="278" t="s">
        <v>104</v>
      </c>
      <c r="G18" s="273" t="s">
        <v>1454</v>
      </c>
      <c r="H18" s="261" t="s">
        <v>440</v>
      </c>
      <c r="I18" s="278" t="s">
        <v>2438</v>
      </c>
      <c r="J18" s="263">
        <v>103750</v>
      </c>
      <c r="K18" s="263">
        <v>5038981</v>
      </c>
      <c r="L18" s="279">
        <v>3091118</v>
      </c>
      <c r="M18" s="263">
        <v>2814292</v>
      </c>
      <c r="N18" s="256">
        <f t="shared" si="0"/>
        <v>27.125706024096385</v>
      </c>
      <c r="O18" s="263">
        <v>61</v>
      </c>
      <c r="P18" s="263">
        <v>100000</v>
      </c>
      <c r="Q18" s="263"/>
      <c r="R18" s="263">
        <v>100000</v>
      </c>
      <c r="S18" s="264"/>
      <c r="T18" s="264"/>
      <c r="U18" s="264">
        <v>100000</v>
      </c>
      <c r="V18" s="263">
        <v>528646</v>
      </c>
      <c r="W18" s="263">
        <v>518081</v>
      </c>
      <c r="X18" s="349">
        <f>W18/R18</f>
        <v>5.1808100000000001</v>
      </c>
      <c r="Y18" s="263">
        <v>10000</v>
      </c>
      <c r="Z18" s="263">
        <v>3358</v>
      </c>
      <c r="AA18" s="263">
        <v>10000</v>
      </c>
      <c r="AB18" s="263">
        <v>161</v>
      </c>
      <c r="AC18" s="263"/>
      <c r="AD18" s="263"/>
      <c r="AE18" s="263"/>
      <c r="AF18" s="263"/>
      <c r="AG18" s="263"/>
      <c r="AH18" s="263"/>
      <c r="AI18" s="263"/>
      <c r="AJ18" s="301">
        <f t="shared" si="1"/>
        <v>13358</v>
      </c>
      <c r="AK18" s="263">
        <v>105233</v>
      </c>
      <c r="AL18" s="263">
        <v>5821</v>
      </c>
      <c r="AM18" s="264"/>
      <c r="AN18" s="264"/>
      <c r="AO18" s="264"/>
      <c r="AP18" s="264"/>
      <c r="AQ18" s="264"/>
      <c r="AR18" s="264"/>
      <c r="AS18" s="264"/>
      <c r="AT18" s="264"/>
      <c r="AU18" s="265" t="s">
        <v>105</v>
      </c>
    </row>
    <row r="19" spans="1:47" s="287" customFormat="1" ht="14.25" customHeight="1">
      <c r="A19" s="260">
        <v>128</v>
      </c>
      <c r="B19" s="278" t="s">
        <v>1</v>
      </c>
      <c r="C19" s="261" t="s">
        <v>1299</v>
      </c>
      <c r="D19" s="262">
        <v>40452</v>
      </c>
      <c r="E19" s="272">
        <v>40603</v>
      </c>
      <c r="F19" s="278" t="s">
        <v>1459</v>
      </c>
      <c r="G19" s="252" t="s">
        <v>1460</v>
      </c>
      <c r="H19" s="261" t="s">
        <v>441</v>
      </c>
      <c r="I19" s="278" t="s">
        <v>2438</v>
      </c>
      <c r="J19" s="263">
        <v>31675</v>
      </c>
      <c r="K19" s="263">
        <v>1283953</v>
      </c>
      <c r="L19" s="279">
        <v>374131</v>
      </c>
      <c r="M19" s="263">
        <v>342180</v>
      </c>
      <c r="N19" s="256">
        <f t="shared" si="0"/>
        <v>10.80284135753749</v>
      </c>
      <c r="O19" s="263">
        <v>27</v>
      </c>
      <c r="P19" s="263"/>
      <c r="Q19" s="263"/>
      <c r="R19" s="263"/>
      <c r="S19" s="264"/>
      <c r="T19" s="264"/>
      <c r="U19" s="264"/>
      <c r="V19" s="263">
        <v>374131</v>
      </c>
      <c r="W19" s="263">
        <v>14347</v>
      </c>
      <c r="X19" s="263"/>
      <c r="Y19" s="263"/>
      <c r="Z19" s="263">
        <v>0</v>
      </c>
      <c r="AA19" s="263">
        <v>0</v>
      </c>
      <c r="AB19" s="263"/>
      <c r="AC19" s="263"/>
      <c r="AD19" s="263"/>
      <c r="AE19" s="263"/>
      <c r="AF19" s="263"/>
      <c r="AG19" s="263"/>
      <c r="AH19" s="263">
        <v>0</v>
      </c>
      <c r="AI19" s="263"/>
      <c r="AJ19" s="301">
        <f t="shared" si="1"/>
        <v>0</v>
      </c>
      <c r="AK19" s="263">
        <v>3500</v>
      </c>
      <c r="AL19" s="263">
        <v>280</v>
      </c>
      <c r="AM19" s="264"/>
      <c r="AN19" s="264"/>
      <c r="AO19" s="264"/>
      <c r="AP19" s="264"/>
      <c r="AQ19" s="264"/>
      <c r="AR19" s="264"/>
      <c r="AS19" s="264"/>
      <c r="AT19" s="264"/>
      <c r="AU19" s="275" t="s">
        <v>442</v>
      </c>
    </row>
    <row r="20" spans="1:47" s="287" customFormat="1" ht="14.25" customHeight="1">
      <c r="A20" s="260">
        <v>129</v>
      </c>
      <c r="B20" s="278" t="s">
        <v>12</v>
      </c>
      <c r="C20" s="261" t="s">
        <v>1299</v>
      </c>
      <c r="D20" s="262">
        <v>40238</v>
      </c>
      <c r="E20" s="262">
        <v>40634</v>
      </c>
      <c r="F20" s="278" t="s">
        <v>79</v>
      </c>
      <c r="G20" s="252" t="s">
        <v>1453</v>
      </c>
      <c r="H20" s="261" t="s">
        <v>443</v>
      </c>
      <c r="I20" s="278" t="s">
        <v>2438</v>
      </c>
      <c r="J20" s="263">
        <v>293000</v>
      </c>
      <c r="K20" s="263">
        <v>2056046</v>
      </c>
      <c r="L20" s="279">
        <v>2047020</v>
      </c>
      <c r="M20" s="263">
        <v>2043224</v>
      </c>
      <c r="N20" s="256">
        <f t="shared" si="0"/>
        <v>6.973460750853242</v>
      </c>
      <c r="O20" s="263">
        <v>99.5</v>
      </c>
      <c r="P20" s="263">
        <v>41665</v>
      </c>
      <c r="Q20" s="263">
        <v>17650</v>
      </c>
      <c r="R20" s="263">
        <v>41665</v>
      </c>
      <c r="S20" s="264" t="s">
        <v>94</v>
      </c>
      <c r="T20" s="264">
        <v>59</v>
      </c>
      <c r="U20" s="264">
        <v>17650</v>
      </c>
      <c r="V20" s="263">
        <v>184656</v>
      </c>
      <c r="W20" s="263">
        <v>184656</v>
      </c>
      <c r="X20" s="349">
        <f>W20/R20</f>
        <v>4.4319212768510736</v>
      </c>
      <c r="Y20" s="263">
        <v>60000</v>
      </c>
      <c r="Z20" s="263"/>
      <c r="AA20" s="263">
        <v>60000</v>
      </c>
      <c r="AB20" s="263"/>
      <c r="AC20" s="263"/>
      <c r="AD20" s="263"/>
      <c r="AE20" s="263"/>
      <c r="AF20" s="263"/>
      <c r="AG20" s="263"/>
      <c r="AH20" s="263"/>
      <c r="AI20" s="263"/>
      <c r="AJ20" s="301">
        <f t="shared" si="1"/>
        <v>60000</v>
      </c>
      <c r="AK20" s="263">
        <v>69926</v>
      </c>
      <c r="AL20" s="263">
        <v>69926</v>
      </c>
      <c r="AM20" s="264"/>
      <c r="AN20" s="264"/>
      <c r="AO20" s="264"/>
      <c r="AP20" s="264"/>
      <c r="AQ20" s="264"/>
      <c r="AR20" s="264"/>
      <c r="AS20" s="264"/>
      <c r="AT20" s="264"/>
      <c r="AU20" s="265" t="s">
        <v>106</v>
      </c>
    </row>
    <row r="21" spans="1:47" s="287" customFormat="1" ht="20.25" customHeight="1">
      <c r="A21" s="260">
        <v>130</v>
      </c>
      <c r="B21" s="261" t="s">
        <v>1180</v>
      </c>
      <c r="C21" s="261" t="s">
        <v>1261</v>
      </c>
      <c r="D21" s="272">
        <v>40391</v>
      </c>
      <c r="E21" s="272">
        <v>40575</v>
      </c>
      <c r="F21" s="278" t="s">
        <v>5</v>
      </c>
      <c r="G21" s="273" t="s">
        <v>1451</v>
      </c>
      <c r="H21" s="261" t="s">
        <v>444</v>
      </c>
      <c r="I21" s="278" t="s">
        <v>2438</v>
      </c>
      <c r="J21" s="263">
        <v>16000</v>
      </c>
      <c r="K21" s="263">
        <v>378714</v>
      </c>
      <c r="L21" s="257">
        <v>378714</v>
      </c>
      <c r="M21" s="263">
        <v>308055</v>
      </c>
      <c r="N21" s="256">
        <f t="shared" si="0"/>
        <v>19.2534375</v>
      </c>
      <c r="O21" s="263">
        <v>100</v>
      </c>
      <c r="P21" s="263">
        <v>16000</v>
      </c>
      <c r="Q21" s="263"/>
      <c r="R21" s="263">
        <v>16000</v>
      </c>
      <c r="S21" s="264"/>
      <c r="T21" s="264"/>
      <c r="U21" s="264"/>
      <c r="V21" s="263">
        <v>44653</v>
      </c>
      <c r="W21" s="263">
        <v>34162</v>
      </c>
      <c r="X21" s="349">
        <f>W21/R21</f>
        <v>2.1351249999999999</v>
      </c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301">
        <f t="shared" si="1"/>
        <v>0</v>
      </c>
      <c r="AK21" s="263">
        <v>0</v>
      </c>
      <c r="AL21" s="263">
        <v>0</v>
      </c>
      <c r="AM21" s="264"/>
      <c r="AN21" s="264"/>
      <c r="AO21" s="264"/>
      <c r="AP21" s="264"/>
      <c r="AQ21" s="264"/>
      <c r="AR21" s="264"/>
      <c r="AS21" s="264"/>
      <c r="AT21" s="264"/>
      <c r="AU21" s="265" t="s">
        <v>445</v>
      </c>
    </row>
    <row r="22" spans="1:47" s="287" customFormat="1" ht="14.25" customHeight="1">
      <c r="A22" s="260">
        <v>131</v>
      </c>
      <c r="B22" s="278" t="s">
        <v>446</v>
      </c>
      <c r="C22" s="261" t="s">
        <v>1261</v>
      </c>
      <c r="D22" s="262">
        <v>40299</v>
      </c>
      <c r="E22" s="262">
        <v>40575</v>
      </c>
      <c r="F22" s="278" t="s">
        <v>447</v>
      </c>
      <c r="G22" s="252" t="s">
        <v>1449</v>
      </c>
      <c r="H22" s="261" t="s">
        <v>448</v>
      </c>
      <c r="I22" s="278" t="s">
        <v>2438</v>
      </c>
      <c r="J22" s="263">
        <v>312000</v>
      </c>
      <c r="K22" s="263">
        <v>738960</v>
      </c>
      <c r="L22" s="257">
        <v>436858</v>
      </c>
      <c r="M22" s="263">
        <v>436858</v>
      </c>
      <c r="N22" s="256">
        <f t="shared" si="0"/>
        <v>1.4001858974358974</v>
      </c>
      <c r="O22" s="263">
        <v>59</v>
      </c>
      <c r="P22" s="263">
        <v>189000</v>
      </c>
      <c r="Q22" s="263"/>
      <c r="R22" s="263">
        <v>189000</v>
      </c>
      <c r="S22" s="264"/>
      <c r="T22" s="264"/>
      <c r="U22" s="264">
        <v>189000</v>
      </c>
      <c r="V22" s="263">
        <v>137551</v>
      </c>
      <c r="W22" s="263">
        <v>19115</v>
      </c>
      <c r="X22" s="349">
        <f>W22/R22</f>
        <v>0.10113756613756614</v>
      </c>
      <c r="Y22" s="263"/>
      <c r="Z22" s="263"/>
      <c r="AA22" s="263"/>
      <c r="AB22" s="263"/>
      <c r="AC22" s="263"/>
      <c r="AD22" s="263">
        <v>25</v>
      </c>
      <c r="AE22" s="263"/>
      <c r="AF22" s="263"/>
      <c r="AG22" s="263"/>
      <c r="AH22" s="263"/>
      <c r="AI22" s="263"/>
      <c r="AJ22" s="301">
        <f t="shared" si="1"/>
        <v>0</v>
      </c>
      <c r="AK22" s="263">
        <v>181911</v>
      </c>
      <c r="AL22" s="263">
        <v>107327.49</v>
      </c>
      <c r="AM22" s="264"/>
      <c r="AN22" s="264"/>
      <c r="AO22" s="264"/>
      <c r="AP22" s="264"/>
      <c r="AQ22" s="264"/>
      <c r="AR22" s="264"/>
      <c r="AS22" s="264"/>
      <c r="AT22" s="264"/>
      <c r="AU22" s="265" t="s">
        <v>449</v>
      </c>
    </row>
    <row r="23" spans="1:47" s="287" customFormat="1" ht="14.25" customHeight="1">
      <c r="A23" s="260">
        <v>132</v>
      </c>
      <c r="B23" s="278" t="s">
        <v>171</v>
      </c>
      <c r="C23" s="261" t="s">
        <v>1299</v>
      </c>
      <c r="D23" s="262">
        <v>40179</v>
      </c>
      <c r="E23" s="262">
        <v>40878</v>
      </c>
      <c r="F23" s="278" t="s">
        <v>5</v>
      </c>
      <c r="G23" s="252" t="s">
        <v>1451</v>
      </c>
      <c r="H23" s="261" t="s">
        <v>450</v>
      </c>
      <c r="I23" s="278" t="s">
        <v>2438</v>
      </c>
      <c r="J23" s="263">
        <v>23000</v>
      </c>
      <c r="K23" s="263">
        <v>923594</v>
      </c>
      <c r="L23" s="257">
        <v>829794</v>
      </c>
      <c r="M23" s="263">
        <v>829794</v>
      </c>
      <c r="N23" s="256">
        <f t="shared" si="0"/>
        <v>36.078000000000003</v>
      </c>
      <c r="O23" s="263">
        <v>90</v>
      </c>
      <c r="P23" s="263">
        <v>10000</v>
      </c>
      <c r="Q23" s="263"/>
      <c r="R23" s="263">
        <v>10000</v>
      </c>
      <c r="S23" s="264" t="s">
        <v>2</v>
      </c>
      <c r="T23" s="264">
        <v>21</v>
      </c>
      <c r="U23" s="264">
        <v>5419</v>
      </c>
      <c r="V23" s="263">
        <v>188574</v>
      </c>
      <c r="W23" s="263">
        <v>197133</v>
      </c>
      <c r="X23" s="349">
        <f>W23/R23</f>
        <v>19.7133</v>
      </c>
      <c r="Y23" s="263"/>
      <c r="Z23" s="263"/>
      <c r="AA23" s="263"/>
      <c r="AB23" s="263"/>
      <c r="AC23" s="263"/>
      <c r="AD23" s="263"/>
      <c r="AE23" s="263"/>
      <c r="AF23" s="263"/>
      <c r="AG23" s="263"/>
      <c r="AH23" s="263"/>
      <c r="AI23" s="263"/>
      <c r="AJ23" s="301">
        <f t="shared" si="1"/>
        <v>0</v>
      </c>
      <c r="AK23" s="263">
        <v>2400</v>
      </c>
      <c r="AL23" s="263">
        <v>19707</v>
      </c>
      <c r="AM23" s="264"/>
      <c r="AN23" s="264"/>
      <c r="AO23" s="264"/>
      <c r="AP23" s="264"/>
      <c r="AQ23" s="264"/>
      <c r="AR23" s="264"/>
      <c r="AS23" s="264"/>
      <c r="AT23" s="264"/>
      <c r="AU23" s="265" t="s">
        <v>451</v>
      </c>
    </row>
    <row r="24" spans="1:47" s="287" customFormat="1" ht="14.25" customHeight="1">
      <c r="A24" s="260">
        <v>133</v>
      </c>
      <c r="B24" s="278" t="s">
        <v>456</v>
      </c>
      <c r="C24" s="261" t="s">
        <v>1278</v>
      </c>
      <c r="D24" s="272">
        <v>40513</v>
      </c>
      <c r="E24" s="272">
        <v>40695</v>
      </c>
      <c r="F24" s="306" t="s">
        <v>5</v>
      </c>
      <c r="G24" s="252" t="s">
        <v>1451</v>
      </c>
      <c r="H24" s="278" t="s">
        <v>457</v>
      </c>
      <c r="I24" s="254" t="s">
        <v>2331</v>
      </c>
      <c r="J24" s="307">
        <v>5000</v>
      </c>
      <c r="K24" s="308">
        <v>195002</v>
      </c>
      <c r="L24" s="308">
        <v>195002</v>
      </c>
      <c r="M24" s="307">
        <v>167162.63999999998</v>
      </c>
      <c r="N24" s="256">
        <f t="shared" si="0"/>
        <v>33.432527999999998</v>
      </c>
      <c r="O24" s="279">
        <v>100</v>
      </c>
      <c r="P24" s="279"/>
      <c r="Q24" s="279"/>
      <c r="R24" s="279"/>
      <c r="S24" s="280"/>
      <c r="T24" s="280"/>
      <c r="U24" s="280">
        <v>1000</v>
      </c>
      <c r="V24" s="279"/>
      <c r="W24" s="279"/>
      <c r="X24" s="279"/>
      <c r="Y24" s="279">
        <v>5043</v>
      </c>
      <c r="Z24" s="279"/>
      <c r="AA24" s="279"/>
      <c r="AB24" s="279"/>
      <c r="AC24" s="279">
        <v>200</v>
      </c>
      <c r="AD24" s="279"/>
      <c r="AE24" s="279"/>
      <c r="AF24" s="279"/>
      <c r="AG24" s="279"/>
      <c r="AH24" s="279"/>
      <c r="AI24" s="279"/>
      <c r="AJ24" s="301"/>
      <c r="AK24" s="279">
        <v>32000</v>
      </c>
      <c r="AL24" s="279">
        <v>32000</v>
      </c>
      <c r="AM24" s="280"/>
      <c r="AN24" s="280"/>
      <c r="AO24" s="280"/>
      <c r="AP24" s="280"/>
      <c r="AQ24" s="280"/>
      <c r="AR24" s="280"/>
      <c r="AS24" s="280"/>
      <c r="AT24" s="280"/>
      <c r="AU24" s="281" t="s">
        <v>458</v>
      </c>
    </row>
    <row r="25" spans="1:47" s="287" customFormat="1" ht="14.25" customHeight="1">
      <c r="A25" s="260">
        <v>134</v>
      </c>
      <c r="B25" s="278" t="s">
        <v>477</v>
      </c>
      <c r="C25" s="261" t="s">
        <v>1299</v>
      </c>
      <c r="D25" s="262">
        <v>40452</v>
      </c>
      <c r="E25" s="262">
        <v>40544</v>
      </c>
      <c r="F25" s="278" t="s">
        <v>5</v>
      </c>
      <c r="G25" s="252" t="s">
        <v>1451</v>
      </c>
      <c r="H25" s="261" t="s">
        <v>478</v>
      </c>
      <c r="I25" s="254" t="s">
        <v>2331</v>
      </c>
      <c r="J25" s="263">
        <v>10000</v>
      </c>
      <c r="K25" s="263">
        <v>183673</v>
      </c>
      <c r="L25" s="257">
        <v>183673</v>
      </c>
      <c r="M25" s="263">
        <v>131301</v>
      </c>
      <c r="N25" s="256">
        <f t="shared" si="0"/>
        <v>13.130100000000001</v>
      </c>
      <c r="O25" s="263">
        <v>100</v>
      </c>
      <c r="P25" s="263">
        <v>10000</v>
      </c>
      <c r="Q25" s="263"/>
      <c r="R25" s="263">
        <v>10000</v>
      </c>
      <c r="S25" s="264" t="s">
        <v>94</v>
      </c>
      <c r="T25" s="264">
        <v>30</v>
      </c>
      <c r="U25" s="264">
        <v>10000</v>
      </c>
      <c r="V25" s="263">
        <v>6500</v>
      </c>
      <c r="W25" s="263">
        <v>5835</v>
      </c>
      <c r="X25" s="349">
        <f>W25/R25</f>
        <v>0.58350000000000002</v>
      </c>
      <c r="Y25" s="263"/>
      <c r="Z25" s="263"/>
      <c r="AA25" s="263">
        <v>7500</v>
      </c>
      <c r="AB25" s="263">
        <v>50</v>
      </c>
      <c r="AC25" s="263"/>
      <c r="AD25" s="263"/>
      <c r="AE25" s="263"/>
      <c r="AF25" s="263"/>
      <c r="AG25" s="263"/>
      <c r="AH25" s="263"/>
      <c r="AI25" s="263"/>
      <c r="AJ25" s="301">
        <f t="shared" si="1"/>
        <v>7500</v>
      </c>
      <c r="AK25" s="263" t="s">
        <v>75</v>
      </c>
      <c r="AL25" s="263" t="s">
        <v>75</v>
      </c>
      <c r="AM25" s="264"/>
      <c r="AN25" s="264"/>
      <c r="AO25" s="264"/>
      <c r="AP25" s="264"/>
      <c r="AQ25" s="264"/>
      <c r="AR25" s="264"/>
      <c r="AS25" s="264"/>
      <c r="AT25" s="264"/>
      <c r="AU25" s="265" t="s">
        <v>479</v>
      </c>
    </row>
    <row r="26" spans="1:47" s="287" customFormat="1" ht="14.25" customHeight="1">
      <c r="A26" s="260">
        <v>135</v>
      </c>
      <c r="B26" s="278" t="s">
        <v>291</v>
      </c>
      <c r="C26" s="261" t="s">
        <v>1299</v>
      </c>
      <c r="D26" s="262">
        <v>40452</v>
      </c>
      <c r="E26" s="262">
        <v>40544</v>
      </c>
      <c r="F26" s="278" t="s">
        <v>5</v>
      </c>
      <c r="G26" s="252" t="s">
        <v>1451</v>
      </c>
      <c r="H26" s="261" t="s">
        <v>500</v>
      </c>
      <c r="I26" s="254" t="s">
        <v>2331</v>
      </c>
      <c r="J26" s="263">
        <v>7500</v>
      </c>
      <c r="K26" s="263">
        <v>122297</v>
      </c>
      <c r="L26" s="257">
        <v>122297</v>
      </c>
      <c r="M26" s="263">
        <v>122049</v>
      </c>
      <c r="N26" s="256">
        <f t="shared" si="0"/>
        <v>16.273199999999999</v>
      </c>
      <c r="O26" s="263">
        <v>100</v>
      </c>
      <c r="P26" s="263">
        <v>7500</v>
      </c>
      <c r="Q26" s="263"/>
      <c r="R26" s="263">
        <v>7500</v>
      </c>
      <c r="S26" s="264" t="s">
        <v>233</v>
      </c>
      <c r="T26" s="264">
        <v>90</v>
      </c>
      <c r="U26" s="264"/>
      <c r="V26" s="263">
        <v>0</v>
      </c>
      <c r="W26" s="263">
        <v>3296</v>
      </c>
      <c r="X26" s="349">
        <f>W26/R26</f>
        <v>0.43946666666666667</v>
      </c>
      <c r="Y26" s="263" t="s">
        <v>75</v>
      </c>
      <c r="Z26" s="263" t="s">
        <v>75</v>
      </c>
      <c r="AA26" s="263"/>
      <c r="AB26" s="263"/>
      <c r="AC26" s="263"/>
      <c r="AD26" s="263"/>
      <c r="AE26" s="263">
        <v>1500</v>
      </c>
      <c r="AF26" s="263" t="s">
        <v>75</v>
      </c>
      <c r="AG26" s="263" t="s">
        <v>75</v>
      </c>
      <c r="AH26" s="263" t="s">
        <v>75</v>
      </c>
      <c r="AI26" s="263" t="s">
        <v>75</v>
      </c>
      <c r="AJ26" s="301">
        <f t="shared" si="1"/>
        <v>0</v>
      </c>
      <c r="AK26" s="263" t="s">
        <v>75</v>
      </c>
      <c r="AL26" s="263" t="s">
        <v>75</v>
      </c>
      <c r="AM26" s="264"/>
      <c r="AN26" s="264"/>
      <c r="AO26" s="264"/>
      <c r="AP26" s="264"/>
      <c r="AQ26" s="264"/>
      <c r="AR26" s="264"/>
      <c r="AS26" s="264" t="s">
        <v>95</v>
      </c>
      <c r="AT26" s="264" t="s">
        <v>95</v>
      </c>
      <c r="AU26" s="265" t="s">
        <v>501</v>
      </c>
    </row>
    <row r="27" spans="1:47" s="287" customFormat="1" ht="14.25" customHeight="1">
      <c r="A27" s="260">
        <v>136</v>
      </c>
      <c r="B27" s="278" t="s">
        <v>502</v>
      </c>
      <c r="C27" s="261" t="s">
        <v>1299</v>
      </c>
      <c r="D27" s="262">
        <v>40452</v>
      </c>
      <c r="E27" s="262">
        <v>40544</v>
      </c>
      <c r="F27" s="278" t="s">
        <v>338</v>
      </c>
      <c r="G27" s="252" t="s">
        <v>1451</v>
      </c>
      <c r="H27" s="261" t="s">
        <v>503</v>
      </c>
      <c r="I27" s="254" t="s">
        <v>2331</v>
      </c>
      <c r="J27" s="263">
        <v>8750</v>
      </c>
      <c r="K27" s="263">
        <v>244001</v>
      </c>
      <c r="L27" s="257">
        <v>244001</v>
      </c>
      <c r="M27" s="263">
        <v>215166</v>
      </c>
      <c r="N27" s="256">
        <f t="shared" si="0"/>
        <v>24.590399999999999</v>
      </c>
      <c r="O27" s="263">
        <v>100</v>
      </c>
      <c r="P27" s="263"/>
      <c r="Q27" s="263"/>
      <c r="R27" s="263"/>
      <c r="S27" s="264" t="s">
        <v>233</v>
      </c>
      <c r="T27" s="264">
        <v>50</v>
      </c>
      <c r="U27" s="264">
        <v>7500</v>
      </c>
      <c r="V27" s="263">
        <v>12250</v>
      </c>
      <c r="W27" s="263">
        <v>10136</v>
      </c>
      <c r="X27" s="263"/>
      <c r="Y27" s="263">
        <v>7500</v>
      </c>
      <c r="Z27" s="263" t="s">
        <v>75</v>
      </c>
      <c r="AA27" s="263">
        <v>7500</v>
      </c>
      <c r="AB27" s="263">
        <v>20</v>
      </c>
      <c r="AC27" s="263" t="s">
        <v>233</v>
      </c>
      <c r="AD27" s="263" t="s">
        <v>233</v>
      </c>
      <c r="AE27" s="263">
        <v>3000</v>
      </c>
      <c r="AF27" s="263" t="s">
        <v>233</v>
      </c>
      <c r="AG27" s="263" t="s">
        <v>233</v>
      </c>
      <c r="AH27" s="263" t="s">
        <v>233</v>
      </c>
      <c r="AI27" s="263" t="s">
        <v>233</v>
      </c>
      <c r="AJ27" s="301">
        <f t="shared" si="1"/>
        <v>7500</v>
      </c>
      <c r="AK27" s="263">
        <v>0</v>
      </c>
      <c r="AL27" s="263">
        <v>0</v>
      </c>
      <c r="AM27" s="264"/>
      <c r="AN27" s="264"/>
      <c r="AO27" s="264"/>
      <c r="AP27" s="264"/>
      <c r="AQ27" s="264"/>
      <c r="AR27" s="264"/>
      <c r="AS27" s="264" t="s">
        <v>233</v>
      </c>
      <c r="AT27" s="264" t="s">
        <v>233</v>
      </c>
      <c r="AU27" s="265" t="s">
        <v>504</v>
      </c>
    </row>
    <row r="28" spans="1:47" s="287" customFormat="1" ht="14.25" customHeight="1">
      <c r="A28" s="260">
        <v>137</v>
      </c>
      <c r="B28" s="278" t="s">
        <v>248</v>
      </c>
      <c r="C28" s="261" t="s">
        <v>1299</v>
      </c>
      <c r="D28" s="272">
        <v>40391</v>
      </c>
      <c r="E28" s="262">
        <v>40483</v>
      </c>
      <c r="F28" s="278" t="s">
        <v>5</v>
      </c>
      <c r="G28" s="252" t="s">
        <v>1451</v>
      </c>
      <c r="H28" s="261" t="s">
        <v>524</v>
      </c>
      <c r="I28" s="254" t="s">
        <v>2331</v>
      </c>
      <c r="J28" s="263">
        <v>7500</v>
      </c>
      <c r="K28" s="263">
        <v>180396</v>
      </c>
      <c r="L28" s="257">
        <v>180396</v>
      </c>
      <c r="M28" s="263">
        <v>157770</v>
      </c>
      <c r="N28" s="256">
        <f t="shared" si="0"/>
        <v>21.036000000000001</v>
      </c>
      <c r="O28" s="263">
        <v>100</v>
      </c>
      <c r="P28" s="263">
        <v>7500</v>
      </c>
      <c r="Q28" s="263">
        <v>125</v>
      </c>
      <c r="R28" s="263">
        <v>7500</v>
      </c>
      <c r="S28" s="264" t="s">
        <v>2</v>
      </c>
      <c r="T28" s="264">
        <v>50</v>
      </c>
      <c r="U28" s="264">
        <v>7500</v>
      </c>
      <c r="V28" s="263">
        <v>35922</v>
      </c>
      <c r="W28" s="263">
        <v>42817</v>
      </c>
      <c r="X28" s="349">
        <f>W28/R28</f>
        <v>5.7089333333333334</v>
      </c>
      <c r="Y28" s="263">
        <v>7500</v>
      </c>
      <c r="Z28" s="263"/>
      <c r="AA28" s="263">
        <v>7500</v>
      </c>
      <c r="AB28" s="263">
        <v>30</v>
      </c>
      <c r="AC28" s="263"/>
      <c r="AD28" s="263"/>
      <c r="AE28" s="263">
        <v>3000</v>
      </c>
      <c r="AF28" s="263"/>
      <c r="AG28" s="263"/>
      <c r="AH28" s="263"/>
      <c r="AI28" s="263"/>
      <c r="AJ28" s="301">
        <f t="shared" si="1"/>
        <v>7500</v>
      </c>
      <c r="AK28" s="263">
        <v>0</v>
      </c>
      <c r="AL28" s="263">
        <v>0</v>
      </c>
      <c r="AM28" s="264"/>
      <c r="AN28" s="264"/>
      <c r="AO28" s="264"/>
      <c r="AP28" s="264"/>
      <c r="AQ28" s="264"/>
      <c r="AR28" s="264"/>
      <c r="AS28" s="264"/>
      <c r="AT28" s="264"/>
      <c r="AU28" s="265" t="s">
        <v>525</v>
      </c>
    </row>
    <row r="29" spans="1:47" s="287" customFormat="1" ht="14.25" customHeight="1">
      <c r="A29" s="260">
        <v>138</v>
      </c>
      <c r="B29" s="278" t="s">
        <v>167</v>
      </c>
      <c r="C29" s="261" t="s">
        <v>1299</v>
      </c>
      <c r="D29" s="262">
        <v>40452</v>
      </c>
      <c r="E29" s="262">
        <v>40544</v>
      </c>
      <c r="F29" s="278" t="s">
        <v>5</v>
      </c>
      <c r="G29" s="252" t="s">
        <v>1451</v>
      </c>
      <c r="H29" s="261" t="s">
        <v>526</v>
      </c>
      <c r="I29" s="254" t="s">
        <v>2331</v>
      </c>
      <c r="J29" s="263">
        <v>5000</v>
      </c>
      <c r="K29" s="263">
        <v>174302</v>
      </c>
      <c r="L29" s="257">
        <v>174302</v>
      </c>
      <c r="M29" s="263">
        <v>173333</v>
      </c>
      <c r="N29" s="256">
        <f t="shared" si="0"/>
        <v>34.666600000000003</v>
      </c>
      <c r="O29" s="263">
        <v>100</v>
      </c>
      <c r="P29" s="263">
        <v>5000</v>
      </c>
      <c r="Q29" s="263">
        <v>200</v>
      </c>
      <c r="R29" s="263">
        <v>5000</v>
      </c>
      <c r="S29" s="264" t="s">
        <v>2</v>
      </c>
      <c r="T29" s="264">
        <v>75</v>
      </c>
      <c r="U29" s="264">
        <v>5000</v>
      </c>
      <c r="V29" s="263">
        <v>20663</v>
      </c>
      <c r="W29" s="263">
        <v>21291</v>
      </c>
      <c r="X29" s="349">
        <f>W29/R29</f>
        <v>4.2582000000000004</v>
      </c>
      <c r="Y29" s="263">
        <v>5000</v>
      </c>
      <c r="Z29" s="263"/>
      <c r="AA29" s="263">
        <v>5000</v>
      </c>
      <c r="AB29" s="263"/>
      <c r="AC29" s="263"/>
      <c r="AD29" s="263"/>
      <c r="AE29" s="263">
        <v>2000</v>
      </c>
      <c r="AF29" s="263"/>
      <c r="AG29" s="263"/>
      <c r="AH29" s="263"/>
      <c r="AI29" s="263"/>
      <c r="AJ29" s="301">
        <f t="shared" si="1"/>
        <v>5000</v>
      </c>
      <c r="AK29" s="263">
        <v>0</v>
      </c>
      <c r="AL29" s="263">
        <v>0</v>
      </c>
      <c r="AM29" s="264"/>
      <c r="AN29" s="264"/>
      <c r="AO29" s="264"/>
      <c r="AP29" s="264"/>
      <c r="AQ29" s="264"/>
      <c r="AR29" s="264"/>
      <c r="AS29" s="264"/>
      <c r="AT29" s="264"/>
      <c r="AU29" s="265" t="s">
        <v>527</v>
      </c>
    </row>
    <row r="30" spans="1:47" s="287" customFormat="1" ht="15">
      <c r="A30" s="260">
        <v>139</v>
      </c>
      <c r="B30" s="278" t="s">
        <v>120</v>
      </c>
      <c r="C30" s="261" t="s">
        <v>1299</v>
      </c>
      <c r="D30" s="262">
        <v>40422</v>
      </c>
      <c r="E30" s="262">
        <v>40513</v>
      </c>
      <c r="F30" s="278" t="s">
        <v>5</v>
      </c>
      <c r="G30" s="252" t="s">
        <v>1451</v>
      </c>
      <c r="H30" s="261" t="s">
        <v>528</v>
      </c>
      <c r="I30" s="254" t="s">
        <v>2331</v>
      </c>
      <c r="J30" s="263">
        <v>5840</v>
      </c>
      <c r="K30" s="263">
        <v>253865</v>
      </c>
      <c r="L30" s="257">
        <v>236309</v>
      </c>
      <c r="M30" s="263">
        <v>236309</v>
      </c>
      <c r="N30" s="256">
        <f t="shared" si="0"/>
        <v>40.463869863013699</v>
      </c>
      <c r="O30" s="263">
        <v>100</v>
      </c>
      <c r="P30" s="263">
        <v>5840</v>
      </c>
      <c r="Q30" s="263">
        <v>5840</v>
      </c>
      <c r="R30" s="263">
        <v>5840</v>
      </c>
      <c r="S30" s="264" t="s">
        <v>233</v>
      </c>
      <c r="T30" s="264"/>
      <c r="U30" s="264">
        <v>5840</v>
      </c>
      <c r="V30" s="263">
        <v>34868</v>
      </c>
      <c r="W30" s="263">
        <v>17714</v>
      </c>
      <c r="X30" s="349">
        <f>W30/R30</f>
        <v>3.033219178082192</v>
      </c>
      <c r="Y30" s="263"/>
      <c r="Z30" s="263"/>
      <c r="AA30" s="263"/>
      <c r="AB30" s="263"/>
      <c r="AC30" s="263"/>
      <c r="AD30" s="263"/>
      <c r="AE30" s="263">
        <v>2350</v>
      </c>
      <c r="AF30" s="263"/>
      <c r="AG30" s="263"/>
      <c r="AH30" s="263"/>
      <c r="AI30" s="263"/>
      <c r="AJ30" s="301">
        <f t="shared" si="1"/>
        <v>0</v>
      </c>
      <c r="AK30" s="263">
        <v>0</v>
      </c>
      <c r="AL30" s="263">
        <v>0</v>
      </c>
      <c r="AM30" s="264"/>
      <c r="AN30" s="264"/>
      <c r="AO30" s="264"/>
      <c r="AP30" s="264"/>
      <c r="AQ30" s="264"/>
      <c r="AR30" s="264"/>
      <c r="AS30" s="264"/>
      <c r="AT30" s="264"/>
      <c r="AU30" s="265" t="s">
        <v>529</v>
      </c>
    </row>
    <row r="31" spans="1:47" s="287" customFormat="1" ht="14.25" customHeight="1">
      <c r="A31" s="260">
        <v>140</v>
      </c>
      <c r="B31" s="278" t="s">
        <v>145</v>
      </c>
      <c r="C31" s="261" t="s">
        <v>1299</v>
      </c>
      <c r="D31" s="262">
        <v>40452</v>
      </c>
      <c r="E31" s="262">
        <v>40544</v>
      </c>
      <c r="F31" s="278" t="s">
        <v>5</v>
      </c>
      <c r="G31" s="273" t="s">
        <v>1451</v>
      </c>
      <c r="H31" s="261" t="s">
        <v>530</v>
      </c>
      <c r="I31" s="254" t="s">
        <v>2331</v>
      </c>
      <c r="J31" s="263">
        <v>15000</v>
      </c>
      <c r="K31" s="263">
        <v>301288</v>
      </c>
      <c r="L31" s="257">
        <v>301288</v>
      </c>
      <c r="M31" s="263">
        <v>300970</v>
      </c>
      <c r="N31" s="256">
        <f t="shared" si="0"/>
        <v>20.064666666666668</v>
      </c>
      <c r="O31" s="263">
        <v>100</v>
      </c>
      <c r="P31" s="263">
        <v>15000</v>
      </c>
      <c r="Q31" s="263">
        <v>800</v>
      </c>
      <c r="R31" s="263">
        <v>15000</v>
      </c>
      <c r="S31" s="264" t="s">
        <v>233</v>
      </c>
      <c r="T31" s="264"/>
      <c r="U31" s="264">
        <v>15000</v>
      </c>
      <c r="V31" s="263">
        <v>3380</v>
      </c>
      <c r="W31" s="263">
        <v>25226</v>
      </c>
      <c r="X31" s="349">
        <f>W31/R31</f>
        <v>1.6817333333333333</v>
      </c>
      <c r="Y31" s="263">
        <v>15000</v>
      </c>
      <c r="Z31" s="263">
        <v>0</v>
      </c>
      <c r="AA31" s="263">
        <v>15000</v>
      </c>
      <c r="AB31" s="263">
        <v>120</v>
      </c>
      <c r="AC31" s="263"/>
      <c r="AD31" s="263"/>
      <c r="AE31" s="263">
        <v>6000</v>
      </c>
      <c r="AF31" s="263"/>
      <c r="AG31" s="263"/>
      <c r="AH31" s="263"/>
      <c r="AI31" s="263"/>
      <c r="AJ31" s="301">
        <f t="shared" si="1"/>
        <v>15000</v>
      </c>
      <c r="AK31" s="263">
        <v>12977</v>
      </c>
      <c r="AL31" s="263">
        <v>8508</v>
      </c>
      <c r="AM31" s="264"/>
      <c r="AN31" s="264"/>
      <c r="AO31" s="264"/>
      <c r="AP31" s="264"/>
      <c r="AQ31" s="264"/>
      <c r="AR31" s="264"/>
      <c r="AS31" s="264"/>
      <c r="AT31" s="264"/>
      <c r="AU31" s="265" t="s">
        <v>531</v>
      </c>
    </row>
    <row r="32" spans="1:47" s="287" customFormat="1" ht="14.25" customHeight="1">
      <c r="A32" s="260">
        <v>141</v>
      </c>
      <c r="B32" s="278" t="s">
        <v>536</v>
      </c>
      <c r="C32" s="261" t="s">
        <v>1286</v>
      </c>
      <c r="D32" s="272">
        <v>40513</v>
      </c>
      <c r="E32" s="262">
        <v>40603</v>
      </c>
      <c r="F32" s="278" t="s">
        <v>5</v>
      </c>
      <c r="G32" s="252" t="s">
        <v>1451</v>
      </c>
      <c r="H32" s="261" t="s">
        <v>537</v>
      </c>
      <c r="I32" s="254" t="s">
        <v>2331</v>
      </c>
      <c r="J32" s="263">
        <v>5000</v>
      </c>
      <c r="K32" s="263">
        <v>92709</v>
      </c>
      <c r="L32" s="257">
        <v>92709</v>
      </c>
      <c r="M32" s="263">
        <v>79857</v>
      </c>
      <c r="N32" s="256">
        <f t="shared" si="0"/>
        <v>15.971399999999999</v>
      </c>
      <c r="O32" s="263">
        <v>100</v>
      </c>
      <c r="P32" s="263">
        <v>6340</v>
      </c>
      <c r="Q32" s="263">
        <v>0</v>
      </c>
      <c r="R32" s="263">
        <v>6340</v>
      </c>
      <c r="S32" s="264" t="s">
        <v>233</v>
      </c>
      <c r="T32" s="264">
        <v>15</v>
      </c>
      <c r="U32" s="264">
        <v>0</v>
      </c>
      <c r="V32" s="263">
        <v>24648</v>
      </c>
      <c r="W32" s="263">
        <v>24455</v>
      </c>
      <c r="X32" s="349">
        <f>W32/R32</f>
        <v>3.8572555205047321</v>
      </c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301"/>
      <c r="AK32" s="263"/>
      <c r="AL32" s="263"/>
      <c r="AM32" s="264"/>
      <c r="AN32" s="264"/>
      <c r="AO32" s="264"/>
      <c r="AP32" s="264"/>
      <c r="AQ32" s="264"/>
      <c r="AR32" s="264"/>
      <c r="AS32" s="264"/>
      <c r="AT32" s="264"/>
      <c r="AU32" s="265" t="s">
        <v>538</v>
      </c>
    </row>
    <row r="33" spans="1:74" s="287" customFormat="1" ht="14.25" customHeight="1">
      <c r="A33" s="260">
        <v>142</v>
      </c>
      <c r="B33" s="278" t="s">
        <v>539</v>
      </c>
      <c r="C33" s="261" t="s">
        <v>1286</v>
      </c>
      <c r="D33" s="262">
        <v>40179</v>
      </c>
      <c r="E33" s="262">
        <v>40634</v>
      </c>
      <c r="F33" s="278" t="s">
        <v>540</v>
      </c>
      <c r="G33" s="252" t="s">
        <v>1450</v>
      </c>
      <c r="H33" s="261" t="s">
        <v>541</v>
      </c>
      <c r="I33" s="254" t="s">
        <v>2331</v>
      </c>
      <c r="J33" s="263">
        <v>1250</v>
      </c>
      <c r="K33" s="263">
        <v>53996</v>
      </c>
      <c r="L33" s="257">
        <v>53996</v>
      </c>
      <c r="M33" s="263">
        <v>44945</v>
      </c>
      <c r="N33" s="256">
        <f t="shared" si="0"/>
        <v>35.956000000000003</v>
      </c>
      <c r="O33" s="263">
        <v>100</v>
      </c>
      <c r="P33" s="263"/>
      <c r="Q33" s="263"/>
      <c r="R33" s="263"/>
      <c r="S33" s="264"/>
      <c r="T33" s="264"/>
      <c r="U33" s="264"/>
      <c r="V33" s="263">
        <v>5250</v>
      </c>
      <c r="W33" s="263">
        <v>5074</v>
      </c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301"/>
      <c r="AK33" s="263"/>
      <c r="AL33" s="263"/>
      <c r="AM33" s="264"/>
      <c r="AN33" s="264"/>
      <c r="AO33" s="264"/>
      <c r="AP33" s="264"/>
      <c r="AQ33" s="264"/>
      <c r="AR33" s="264"/>
      <c r="AS33" s="264"/>
      <c r="AT33" s="264"/>
      <c r="AU33" s="265" t="s">
        <v>542</v>
      </c>
    </row>
    <row r="34" spans="1:74" s="287" customFormat="1" ht="14.25" customHeight="1">
      <c r="A34" s="260">
        <v>143</v>
      </c>
      <c r="B34" s="278" t="s">
        <v>354</v>
      </c>
      <c r="C34" s="261" t="s">
        <v>1260</v>
      </c>
      <c r="D34" s="262">
        <v>40513</v>
      </c>
      <c r="E34" s="262">
        <v>40634</v>
      </c>
      <c r="F34" s="278" t="s">
        <v>5</v>
      </c>
      <c r="G34" s="252" t="s">
        <v>1451</v>
      </c>
      <c r="H34" s="261" t="s">
        <v>543</v>
      </c>
      <c r="I34" s="254" t="s">
        <v>2331</v>
      </c>
      <c r="J34" s="263">
        <v>5800</v>
      </c>
      <c r="K34" s="263">
        <v>218932</v>
      </c>
      <c r="L34" s="257">
        <v>218932</v>
      </c>
      <c r="M34" s="263">
        <v>218932</v>
      </c>
      <c r="N34" s="256">
        <f t="shared" si="0"/>
        <v>37.746896551724134</v>
      </c>
      <c r="O34" s="263">
        <v>100</v>
      </c>
      <c r="P34" s="263">
        <v>5800</v>
      </c>
      <c r="Q34" s="263"/>
      <c r="R34" s="263">
        <v>5800</v>
      </c>
      <c r="S34" s="264" t="s">
        <v>233</v>
      </c>
      <c r="T34" s="264"/>
      <c r="U34" s="264">
        <v>5800</v>
      </c>
      <c r="V34" s="263">
        <v>0</v>
      </c>
      <c r="W34" s="263">
        <v>52596</v>
      </c>
      <c r="X34" s="349">
        <f>W34/R34</f>
        <v>9.0682758620689654</v>
      </c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301"/>
      <c r="AK34" s="263"/>
      <c r="AL34" s="263"/>
      <c r="AM34" s="264"/>
      <c r="AN34" s="264"/>
      <c r="AO34" s="264"/>
      <c r="AP34" s="264"/>
      <c r="AQ34" s="264"/>
      <c r="AR34" s="264"/>
      <c r="AS34" s="264"/>
      <c r="AT34" s="264"/>
      <c r="AU34" s="265" t="s">
        <v>544</v>
      </c>
    </row>
    <row r="35" spans="1:74" s="287" customFormat="1" ht="14.25" customHeight="1">
      <c r="A35" s="260">
        <v>144</v>
      </c>
      <c r="B35" s="278" t="s">
        <v>855</v>
      </c>
      <c r="C35" s="261" t="s">
        <v>1260</v>
      </c>
      <c r="D35" s="262">
        <v>40513</v>
      </c>
      <c r="E35" s="262">
        <v>40634</v>
      </c>
      <c r="F35" s="278" t="s">
        <v>5</v>
      </c>
      <c r="G35" s="252" t="s">
        <v>1451</v>
      </c>
      <c r="H35" s="261" t="s">
        <v>854</v>
      </c>
      <c r="I35" s="254" t="s">
        <v>2331</v>
      </c>
      <c r="J35" s="263">
        <v>6630</v>
      </c>
      <c r="K35" s="263">
        <v>111031</v>
      </c>
      <c r="L35" s="263">
        <v>111031</v>
      </c>
      <c r="M35" s="263">
        <v>111031</v>
      </c>
      <c r="N35" s="256">
        <f t="shared" ref="N35:N66" si="3">M35/J35</f>
        <v>16.746757164404222</v>
      </c>
      <c r="O35" s="263">
        <v>100</v>
      </c>
      <c r="P35" s="263"/>
      <c r="Q35" s="263"/>
      <c r="R35" s="263">
        <v>6630</v>
      </c>
      <c r="S35" s="264"/>
      <c r="T35" s="264"/>
      <c r="U35" s="264">
        <v>6630</v>
      </c>
      <c r="V35" s="263"/>
      <c r="W35" s="263"/>
      <c r="X35" s="349">
        <f>W35/R35</f>
        <v>0</v>
      </c>
      <c r="Y35" s="263"/>
      <c r="Z35" s="263"/>
      <c r="AA35" s="263">
        <v>6630</v>
      </c>
      <c r="AB35" s="263"/>
      <c r="AC35" s="263"/>
      <c r="AD35" s="263"/>
      <c r="AE35" s="263"/>
      <c r="AF35" s="263"/>
      <c r="AG35" s="263"/>
      <c r="AH35" s="263"/>
      <c r="AI35" s="263"/>
      <c r="AJ35" s="301">
        <f t="shared" ref="AJ35:AJ66" si="4">SUM(Z35,AA35,AH35)</f>
        <v>6630</v>
      </c>
      <c r="AK35" s="263"/>
      <c r="AL35" s="263"/>
      <c r="AM35" s="264"/>
      <c r="AN35" s="264"/>
      <c r="AO35" s="264"/>
      <c r="AP35" s="264"/>
      <c r="AQ35" s="264"/>
      <c r="AR35" s="264"/>
      <c r="AS35" s="264"/>
      <c r="AT35" s="264"/>
      <c r="AU35" s="265" t="s">
        <v>853</v>
      </c>
    </row>
    <row r="36" spans="1:74" s="287" customFormat="1" ht="14.25" customHeight="1">
      <c r="A36" s="260">
        <v>145</v>
      </c>
      <c r="B36" s="278" t="s">
        <v>25</v>
      </c>
      <c r="C36" s="261" t="s">
        <v>1260</v>
      </c>
      <c r="D36" s="262">
        <v>40513</v>
      </c>
      <c r="E36" s="262">
        <v>40634</v>
      </c>
      <c r="F36" s="278" t="s">
        <v>5</v>
      </c>
      <c r="G36" s="252" t="s">
        <v>1451</v>
      </c>
      <c r="H36" s="261" t="s">
        <v>852</v>
      </c>
      <c r="I36" s="254" t="s">
        <v>2331</v>
      </c>
      <c r="J36" s="263">
        <v>4000</v>
      </c>
      <c r="K36" s="263">
        <v>59800</v>
      </c>
      <c r="L36" s="263">
        <v>54467</v>
      </c>
      <c r="M36" s="263">
        <v>54467</v>
      </c>
      <c r="N36" s="256">
        <f t="shared" si="3"/>
        <v>13.61675</v>
      </c>
      <c r="O36" s="263">
        <v>100</v>
      </c>
      <c r="P36" s="263"/>
      <c r="Q36" s="263"/>
      <c r="R36" s="263">
        <v>4000</v>
      </c>
      <c r="S36" s="264"/>
      <c r="T36" s="264"/>
      <c r="U36" s="264">
        <v>4000</v>
      </c>
      <c r="V36" s="263">
        <v>15400</v>
      </c>
      <c r="W36" s="263">
        <v>9145</v>
      </c>
      <c r="X36" s="349">
        <f>W36/R36</f>
        <v>2.2862499999999999</v>
      </c>
      <c r="Y36" s="263"/>
      <c r="Z36" s="263"/>
      <c r="AA36" s="263">
        <v>4000</v>
      </c>
      <c r="AB36" s="263"/>
      <c r="AC36" s="263"/>
      <c r="AD36" s="263"/>
      <c r="AE36" s="263"/>
      <c r="AF36" s="263"/>
      <c r="AG36" s="263"/>
      <c r="AH36" s="263"/>
      <c r="AI36" s="263"/>
      <c r="AJ36" s="301">
        <f t="shared" si="4"/>
        <v>4000</v>
      </c>
      <c r="AK36" s="263"/>
      <c r="AL36" s="263"/>
      <c r="AM36" s="264"/>
      <c r="AN36" s="264"/>
      <c r="AO36" s="264"/>
      <c r="AP36" s="264"/>
      <c r="AQ36" s="264"/>
      <c r="AR36" s="264"/>
      <c r="AS36" s="264"/>
      <c r="AT36" s="264"/>
      <c r="AU36" s="275" t="s">
        <v>851</v>
      </c>
    </row>
    <row r="37" spans="1:74" s="287" customFormat="1" ht="14.25" customHeight="1">
      <c r="A37" s="260">
        <v>146</v>
      </c>
      <c r="B37" s="278" t="s">
        <v>857</v>
      </c>
      <c r="C37" s="261" t="s">
        <v>1286</v>
      </c>
      <c r="D37" s="262">
        <v>40422</v>
      </c>
      <c r="E37" s="262">
        <v>40664</v>
      </c>
      <c r="F37" s="278" t="s">
        <v>858</v>
      </c>
      <c r="G37" s="252" t="s">
        <v>1450</v>
      </c>
      <c r="H37" s="261" t="s">
        <v>859</v>
      </c>
      <c r="I37" s="254" t="s">
        <v>2331</v>
      </c>
      <c r="J37" s="263">
        <v>2500</v>
      </c>
      <c r="K37" s="263">
        <v>150644</v>
      </c>
      <c r="L37" s="257">
        <v>120514</v>
      </c>
      <c r="M37" s="263">
        <v>120514</v>
      </c>
      <c r="N37" s="256">
        <f t="shared" si="3"/>
        <v>48.205599999999997</v>
      </c>
      <c r="O37" s="263">
        <v>100</v>
      </c>
      <c r="P37" s="263"/>
      <c r="Q37" s="263"/>
      <c r="R37" s="263"/>
      <c r="S37" s="264"/>
      <c r="T37" s="264"/>
      <c r="U37" s="264"/>
      <c r="V37" s="263"/>
      <c r="W37" s="263"/>
      <c r="X37" s="263"/>
      <c r="Y37" s="263"/>
      <c r="Z37" s="263">
        <v>2500</v>
      </c>
      <c r="AA37" s="263">
        <v>2500</v>
      </c>
      <c r="AB37" s="263">
        <v>30</v>
      </c>
      <c r="AC37" s="263"/>
      <c r="AD37" s="263"/>
      <c r="AE37" s="263"/>
      <c r="AF37" s="263"/>
      <c r="AG37" s="263"/>
      <c r="AH37" s="263"/>
      <c r="AI37" s="263"/>
      <c r="AJ37" s="301">
        <f t="shared" si="4"/>
        <v>5000</v>
      </c>
      <c r="AK37" s="263"/>
      <c r="AL37" s="263"/>
      <c r="AM37" s="264"/>
      <c r="AN37" s="264"/>
      <c r="AO37" s="264"/>
      <c r="AP37" s="264"/>
      <c r="AQ37" s="264"/>
      <c r="AR37" s="264"/>
      <c r="AS37" s="264"/>
      <c r="AT37" s="264"/>
      <c r="AU37" s="265" t="s">
        <v>860</v>
      </c>
    </row>
    <row r="38" spans="1:74" s="287" customFormat="1" ht="14.25" customHeight="1">
      <c r="A38" s="260">
        <v>147</v>
      </c>
      <c r="B38" s="278" t="s">
        <v>97</v>
      </c>
      <c r="C38" s="261" t="s">
        <v>1299</v>
      </c>
      <c r="D38" s="262">
        <v>40391</v>
      </c>
      <c r="E38" s="262">
        <v>40634</v>
      </c>
      <c r="F38" s="278" t="s">
        <v>5</v>
      </c>
      <c r="G38" s="252" t="s">
        <v>1451</v>
      </c>
      <c r="H38" s="261" t="s">
        <v>861</v>
      </c>
      <c r="I38" s="254" t="s">
        <v>2331</v>
      </c>
      <c r="J38" s="263">
        <v>10500</v>
      </c>
      <c r="K38" s="263">
        <v>242119</v>
      </c>
      <c r="L38" s="257">
        <v>241535</v>
      </c>
      <c r="M38" s="263">
        <v>241535</v>
      </c>
      <c r="N38" s="256">
        <f t="shared" si="3"/>
        <v>23.003333333333334</v>
      </c>
      <c r="O38" s="263">
        <v>100</v>
      </c>
      <c r="P38" s="263">
        <v>7500</v>
      </c>
      <c r="Q38" s="263">
        <v>40</v>
      </c>
      <c r="R38" s="263">
        <v>7500</v>
      </c>
      <c r="S38" s="264"/>
      <c r="T38" s="264">
        <v>100</v>
      </c>
      <c r="U38" s="264">
        <v>7500</v>
      </c>
      <c r="V38" s="263"/>
      <c r="W38" s="263"/>
      <c r="X38" s="349">
        <f>W38/R38</f>
        <v>0</v>
      </c>
      <c r="Y38" s="263"/>
      <c r="Z38" s="263"/>
      <c r="AA38" s="263">
        <v>7500</v>
      </c>
      <c r="AB38" s="263"/>
      <c r="AC38" s="263"/>
      <c r="AD38" s="263"/>
      <c r="AE38" s="263">
        <v>3000</v>
      </c>
      <c r="AF38" s="263"/>
      <c r="AG38" s="263"/>
      <c r="AH38" s="263"/>
      <c r="AI38" s="263"/>
      <c r="AJ38" s="301">
        <f t="shared" si="4"/>
        <v>7500</v>
      </c>
      <c r="AK38" s="263"/>
      <c r="AL38" s="263"/>
      <c r="AM38" s="264"/>
      <c r="AN38" s="264"/>
      <c r="AO38" s="264"/>
      <c r="AP38" s="264"/>
      <c r="AQ38" s="264"/>
      <c r="AR38" s="264"/>
      <c r="AS38" s="264"/>
      <c r="AT38" s="264"/>
      <c r="AU38" s="265" t="s">
        <v>862</v>
      </c>
    </row>
    <row r="39" spans="1:74" s="287" customFormat="1" ht="14.25" customHeight="1">
      <c r="A39" s="260">
        <v>148</v>
      </c>
      <c r="B39" s="278" t="s">
        <v>148</v>
      </c>
      <c r="C39" s="261" t="s">
        <v>1299</v>
      </c>
      <c r="D39" s="262">
        <v>40513</v>
      </c>
      <c r="E39" s="262">
        <v>40544</v>
      </c>
      <c r="F39" s="278" t="s">
        <v>863</v>
      </c>
      <c r="G39" s="252" t="s">
        <v>1449</v>
      </c>
      <c r="H39" s="261" t="s">
        <v>864</v>
      </c>
      <c r="I39" s="254" t="s">
        <v>2331</v>
      </c>
      <c r="J39" s="263">
        <v>1200000</v>
      </c>
      <c r="K39" s="263">
        <v>166628</v>
      </c>
      <c r="L39" s="257">
        <v>166628</v>
      </c>
      <c r="M39" s="263">
        <v>166628</v>
      </c>
      <c r="N39" s="256">
        <f t="shared" si="3"/>
        <v>0.13885666666666666</v>
      </c>
      <c r="O39" s="263">
        <v>100</v>
      </c>
      <c r="P39" s="263"/>
      <c r="Q39" s="263"/>
      <c r="R39" s="263"/>
      <c r="S39" s="264"/>
      <c r="T39" s="264"/>
      <c r="U39" s="264"/>
      <c r="V39" s="263"/>
      <c r="W39" s="263"/>
      <c r="X39" s="263"/>
      <c r="Y39" s="263">
        <v>1065043</v>
      </c>
      <c r="Z39" s="263"/>
      <c r="AA39" s="263">
        <v>1065043</v>
      </c>
      <c r="AB39" s="263">
        <v>4900</v>
      </c>
      <c r="AC39" s="263"/>
      <c r="AD39" s="263"/>
      <c r="AE39" s="263"/>
      <c r="AF39" s="263"/>
      <c r="AG39" s="263"/>
      <c r="AH39" s="263"/>
      <c r="AI39" s="263"/>
      <c r="AJ39" s="301">
        <f t="shared" si="4"/>
        <v>1065043</v>
      </c>
      <c r="AK39" s="263"/>
      <c r="AL39" s="263"/>
      <c r="AM39" s="264"/>
      <c r="AN39" s="264"/>
      <c r="AO39" s="264"/>
      <c r="AP39" s="264"/>
      <c r="AQ39" s="264"/>
      <c r="AR39" s="264"/>
      <c r="AS39" s="264"/>
      <c r="AT39" s="264"/>
      <c r="AU39" s="265" t="s">
        <v>865</v>
      </c>
    </row>
    <row r="40" spans="1:74" s="287" customFormat="1" ht="14.1" customHeight="1">
      <c r="A40" s="260">
        <v>149</v>
      </c>
      <c r="B40" s="278" t="s">
        <v>12</v>
      </c>
      <c r="C40" s="261" t="s">
        <v>1299</v>
      </c>
      <c r="D40" s="262">
        <v>40483</v>
      </c>
      <c r="E40" s="262">
        <v>40634</v>
      </c>
      <c r="F40" s="278" t="s">
        <v>615</v>
      </c>
      <c r="G40" s="252" t="s">
        <v>1452</v>
      </c>
      <c r="H40" s="261" t="s">
        <v>869</v>
      </c>
      <c r="I40" s="254" t="s">
        <v>2331</v>
      </c>
      <c r="J40" s="263">
        <v>14072</v>
      </c>
      <c r="K40" s="263">
        <v>253952</v>
      </c>
      <c r="L40" s="257">
        <v>253952</v>
      </c>
      <c r="M40" s="263">
        <v>253952</v>
      </c>
      <c r="N40" s="256">
        <f t="shared" si="3"/>
        <v>18.046617396247868</v>
      </c>
      <c r="O40" s="263">
        <v>100</v>
      </c>
      <c r="P40" s="263">
        <v>4000</v>
      </c>
      <c r="Q40" s="263">
        <v>4000</v>
      </c>
      <c r="R40" s="263">
        <v>4000</v>
      </c>
      <c r="S40" s="264"/>
      <c r="T40" s="264">
        <v>10</v>
      </c>
      <c r="U40" s="264">
        <v>8203</v>
      </c>
      <c r="V40" s="263">
        <v>73543</v>
      </c>
      <c r="W40" s="263">
        <v>73543</v>
      </c>
      <c r="X40" s="349">
        <f>W40/R40</f>
        <v>18.385750000000002</v>
      </c>
      <c r="Y40" s="263"/>
      <c r="Z40" s="263"/>
      <c r="AA40" s="263"/>
      <c r="AB40" s="263"/>
      <c r="AC40" s="263">
        <v>25</v>
      </c>
      <c r="AD40" s="263"/>
      <c r="AE40" s="263"/>
      <c r="AF40" s="263"/>
      <c r="AG40" s="263">
        <v>12900</v>
      </c>
      <c r="AH40" s="263">
        <v>1108</v>
      </c>
      <c r="AI40" s="263"/>
      <c r="AJ40" s="301">
        <f t="shared" si="4"/>
        <v>1108</v>
      </c>
      <c r="AK40" s="263">
        <v>36666</v>
      </c>
      <c r="AL40" s="263">
        <v>36666</v>
      </c>
      <c r="AM40" s="264"/>
      <c r="AN40" s="264"/>
      <c r="AO40" s="264"/>
      <c r="AP40" s="264"/>
      <c r="AQ40" s="264"/>
      <c r="AR40" s="264"/>
      <c r="AS40" s="264"/>
      <c r="AT40" s="264"/>
      <c r="AU40" s="275" t="s">
        <v>870</v>
      </c>
    </row>
    <row r="41" spans="1:74" s="287" customFormat="1" ht="14.25" customHeight="1">
      <c r="A41" s="260">
        <v>150</v>
      </c>
      <c r="B41" s="278" t="s">
        <v>871</v>
      </c>
      <c r="C41" s="261" t="s">
        <v>1260</v>
      </c>
      <c r="D41" s="262">
        <v>40452</v>
      </c>
      <c r="E41" s="262">
        <v>40664</v>
      </c>
      <c r="F41" s="278" t="s">
        <v>122</v>
      </c>
      <c r="G41" s="252" t="s">
        <v>1451</v>
      </c>
      <c r="H41" s="261" t="s">
        <v>872</v>
      </c>
      <c r="I41" s="254" t="s">
        <v>2331</v>
      </c>
      <c r="J41" s="263">
        <v>3000</v>
      </c>
      <c r="K41" s="263">
        <v>88725</v>
      </c>
      <c r="L41" s="257">
        <v>88518</v>
      </c>
      <c r="M41" s="263">
        <v>88518</v>
      </c>
      <c r="N41" s="256">
        <f t="shared" si="3"/>
        <v>29.506</v>
      </c>
      <c r="O41" s="263">
        <v>100</v>
      </c>
      <c r="P41" s="263"/>
      <c r="Q41" s="263"/>
      <c r="R41" s="263"/>
      <c r="S41" s="264"/>
      <c r="T41" s="264"/>
      <c r="U41" s="264"/>
      <c r="V41" s="263">
        <v>6000</v>
      </c>
      <c r="W41" s="263">
        <v>12752</v>
      </c>
      <c r="X41" s="263"/>
      <c r="Y41" s="263"/>
      <c r="Z41" s="263">
        <v>138</v>
      </c>
      <c r="AA41" s="263"/>
      <c r="AB41" s="263">
        <v>40</v>
      </c>
      <c r="AC41" s="263"/>
      <c r="AD41" s="263"/>
      <c r="AE41" s="263"/>
      <c r="AF41" s="263"/>
      <c r="AG41" s="263"/>
      <c r="AH41" s="263"/>
      <c r="AI41" s="263"/>
      <c r="AJ41" s="301">
        <f t="shared" si="4"/>
        <v>138</v>
      </c>
      <c r="AK41" s="263"/>
      <c r="AL41" s="263">
        <v>441</v>
      </c>
      <c r="AM41" s="264"/>
      <c r="AN41" s="264"/>
      <c r="AO41" s="264"/>
      <c r="AP41" s="264"/>
      <c r="AQ41" s="264"/>
      <c r="AR41" s="264"/>
      <c r="AS41" s="264"/>
      <c r="AT41" s="264"/>
      <c r="AU41" s="265" t="s">
        <v>873</v>
      </c>
      <c r="BV41" s="309"/>
    </row>
    <row r="42" spans="1:74" s="287" customFormat="1" ht="14.25" customHeight="1">
      <c r="A42" s="260">
        <v>151</v>
      </c>
      <c r="B42" s="278" t="s">
        <v>244</v>
      </c>
      <c r="C42" s="261" t="s">
        <v>1299</v>
      </c>
      <c r="D42" s="262">
        <v>40330</v>
      </c>
      <c r="E42" s="262">
        <v>40634</v>
      </c>
      <c r="F42" s="278" t="s">
        <v>875</v>
      </c>
      <c r="G42" s="252" t="s">
        <v>1449</v>
      </c>
      <c r="H42" s="261" t="s">
        <v>874</v>
      </c>
      <c r="I42" s="254" t="s">
        <v>2331</v>
      </c>
      <c r="J42" s="263">
        <v>800000</v>
      </c>
      <c r="K42" s="263">
        <v>381154</v>
      </c>
      <c r="L42" s="257">
        <v>370276</v>
      </c>
      <c r="M42" s="263">
        <v>370276</v>
      </c>
      <c r="N42" s="256">
        <f t="shared" si="3"/>
        <v>0.46284500000000001</v>
      </c>
      <c r="O42" s="263">
        <v>100</v>
      </c>
      <c r="P42" s="263"/>
      <c r="Q42" s="263"/>
      <c r="R42" s="263"/>
      <c r="S42" s="264"/>
      <c r="T42" s="264"/>
      <c r="U42" s="264">
        <v>145534</v>
      </c>
      <c r="V42" s="263">
        <v>100686</v>
      </c>
      <c r="W42" s="263">
        <v>49231</v>
      </c>
      <c r="X42" s="263"/>
      <c r="Y42" s="263"/>
      <c r="Z42" s="263"/>
      <c r="AA42" s="263">
        <v>1026038</v>
      </c>
      <c r="AB42" s="263">
        <v>495</v>
      </c>
      <c r="AC42" s="263"/>
      <c r="AD42" s="263"/>
      <c r="AE42" s="263"/>
      <c r="AF42" s="263"/>
      <c r="AG42" s="263"/>
      <c r="AH42" s="263">
        <v>128</v>
      </c>
      <c r="AI42" s="263"/>
      <c r="AJ42" s="301">
        <f t="shared" si="4"/>
        <v>1026166</v>
      </c>
      <c r="AK42" s="263">
        <v>19996</v>
      </c>
      <c r="AL42" s="263">
        <v>29316</v>
      </c>
      <c r="AM42" s="264"/>
      <c r="AN42" s="264"/>
      <c r="AO42" s="264"/>
      <c r="AP42" s="264"/>
      <c r="AQ42" s="264"/>
      <c r="AR42" s="264"/>
      <c r="AS42" s="264"/>
      <c r="AT42" s="264"/>
      <c r="AU42" s="265" t="s">
        <v>876</v>
      </c>
      <c r="BV42" s="309"/>
    </row>
    <row r="43" spans="1:74" s="287" customFormat="1" ht="14.25" customHeight="1">
      <c r="A43" s="260">
        <v>152</v>
      </c>
      <c r="B43" s="278" t="s">
        <v>933</v>
      </c>
      <c r="C43" s="261" t="s">
        <v>1286</v>
      </c>
      <c r="D43" s="262">
        <v>40422</v>
      </c>
      <c r="E43" s="262">
        <v>40634</v>
      </c>
      <c r="F43" s="278" t="s">
        <v>5</v>
      </c>
      <c r="G43" s="252" t="s">
        <v>1451</v>
      </c>
      <c r="H43" s="261" t="s">
        <v>877</v>
      </c>
      <c r="I43" s="254" t="s">
        <v>2331</v>
      </c>
      <c r="J43" s="263">
        <v>5000</v>
      </c>
      <c r="K43" s="263">
        <v>242122</v>
      </c>
      <c r="L43" s="257">
        <v>232396</v>
      </c>
      <c r="M43" s="263">
        <v>232396</v>
      </c>
      <c r="N43" s="256">
        <f t="shared" si="3"/>
        <v>46.479199999999999</v>
      </c>
      <c r="O43" s="263">
        <v>96</v>
      </c>
      <c r="P43" s="263"/>
      <c r="Q43" s="263"/>
      <c r="R43" s="263"/>
      <c r="S43" s="264"/>
      <c r="T43" s="264"/>
      <c r="U43" s="264"/>
      <c r="V43" s="263">
        <v>24060</v>
      </c>
      <c r="W43" s="263">
        <v>20588</v>
      </c>
      <c r="X43" s="263"/>
      <c r="Y43" s="263">
        <v>2954</v>
      </c>
      <c r="Z43" s="263">
        <v>2954</v>
      </c>
      <c r="AA43" s="263">
        <v>2954</v>
      </c>
      <c r="AB43" s="263">
        <v>19</v>
      </c>
      <c r="AC43" s="263"/>
      <c r="AD43" s="263"/>
      <c r="AE43" s="263">
        <v>2000</v>
      </c>
      <c r="AF43" s="263"/>
      <c r="AG43" s="263"/>
      <c r="AH43" s="263"/>
      <c r="AI43" s="263"/>
      <c r="AJ43" s="301">
        <f t="shared" si="4"/>
        <v>5908</v>
      </c>
      <c r="AK43" s="263">
        <v>1504</v>
      </c>
      <c r="AL43" s="263">
        <v>1443.84</v>
      </c>
      <c r="AM43" s="264"/>
      <c r="AN43" s="264"/>
      <c r="AO43" s="264"/>
      <c r="AP43" s="264"/>
      <c r="AQ43" s="264"/>
      <c r="AR43" s="264"/>
      <c r="AS43" s="264"/>
      <c r="AT43" s="264"/>
      <c r="AU43" s="265" t="s">
        <v>878</v>
      </c>
      <c r="BV43" s="309"/>
    </row>
    <row r="44" spans="1:74" s="287" customFormat="1" ht="14.25" customHeight="1">
      <c r="A44" s="260">
        <v>153</v>
      </c>
      <c r="B44" s="310" t="s">
        <v>20</v>
      </c>
      <c r="C44" s="261" t="s">
        <v>1286</v>
      </c>
      <c r="D44" s="311">
        <v>40330</v>
      </c>
      <c r="E44" s="311">
        <v>40603</v>
      </c>
      <c r="F44" s="312" t="s">
        <v>5</v>
      </c>
      <c r="G44" s="252" t="s">
        <v>1451</v>
      </c>
      <c r="H44" s="313" t="s">
        <v>879</v>
      </c>
      <c r="I44" s="254" t="s">
        <v>2331</v>
      </c>
      <c r="J44" s="297">
        <v>2500</v>
      </c>
      <c r="K44" s="297">
        <v>68288</v>
      </c>
      <c r="L44" s="314">
        <v>51470</v>
      </c>
      <c r="M44" s="297">
        <v>51470</v>
      </c>
      <c r="N44" s="256">
        <f t="shared" si="3"/>
        <v>20.588000000000001</v>
      </c>
      <c r="O44" s="297">
        <v>75</v>
      </c>
      <c r="P44" s="297">
        <v>5105</v>
      </c>
      <c r="Q44" s="297"/>
      <c r="R44" s="297">
        <v>5105</v>
      </c>
      <c r="S44" s="313"/>
      <c r="T44" s="313"/>
      <c r="U44" s="313">
        <v>2500</v>
      </c>
      <c r="V44" s="297"/>
      <c r="W44" s="297"/>
      <c r="X44" s="349">
        <f>W44/R44</f>
        <v>0</v>
      </c>
      <c r="Y44" s="297"/>
      <c r="Z44" s="297"/>
      <c r="AA44" s="297"/>
      <c r="AB44" s="297">
        <v>25</v>
      </c>
      <c r="AC44" s="297"/>
      <c r="AD44" s="297"/>
      <c r="AE44" s="297">
        <v>1500</v>
      </c>
      <c r="AF44" s="297"/>
      <c r="AG44" s="297"/>
      <c r="AH44" s="297"/>
      <c r="AI44" s="297"/>
      <c r="AJ44" s="301">
        <f t="shared" si="4"/>
        <v>0</v>
      </c>
      <c r="AK44" s="297">
        <v>2931</v>
      </c>
      <c r="AL44" s="297">
        <v>3214</v>
      </c>
      <c r="AM44" s="313"/>
      <c r="AN44" s="313"/>
      <c r="AO44" s="313"/>
      <c r="AP44" s="313"/>
      <c r="AQ44" s="313"/>
      <c r="AR44" s="313"/>
      <c r="AS44" s="313"/>
      <c r="AT44" s="313"/>
      <c r="AU44" s="276" t="s">
        <v>880</v>
      </c>
      <c r="BV44" s="309"/>
    </row>
    <row r="45" spans="1:74" s="287" customFormat="1" ht="14.25" customHeight="1">
      <c r="A45" s="260">
        <v>154</v>
      </c>
      <c r="B45" s="310" t="s">
        <v>462</v>
      </c>
      <c r="C45" s="261" t="s">
        <v>1299</v>
      </c>
      <c r="D45" s="311">
        <v>40269</v>
      </c>
      <c r="E45" s="311">
        <v>40603</v>
      </c>
      <c r="F45" s="312" t="s">
        <v>881</v>
      </c>
      <c r="G45" s="252" t="s">
        <v>1449</v>
      </c>
      <c r="H45" s="313" t="s">
        <v>882</v>
      </c>
      <c r="I45" s="254" t="s">
        <v>2331</v>
      </c>
      <c r="J45" s="297">
        <v>15000</v>
      </c>
      <c r="K45" s="297">
        <v>41159</v>
      </c>
      <c r="L45" s="297">
        <v>41159</v>
      </c>
      <c r="M45" s="297">
        <v>39600</v>
      </c>
      <c r="N45" s="256">
        <f t="shared" si="3"/>
        <v>2.64</v>
      </c>
      <c r="O45" s="297">
        <v>100</v>
      </c>
      <c r="P45" s="297"/>
      <c r="Q45" s="297"/>
      <c r="R45" s="297"/>
      <c r="S45" s="313"/>
      <c r="T45" s="313"/>
      <c r="U45" s="313"/>
      <c r="V45" s="297"/>
      <c r="W45" s="297">
        <v>73</v>
      </c>
      <c r="X45" s="297"/>
      <c r="Y45" s="297">
        <v>15000</v>
      </c>
      <c r="Z45" s="297"/>
      <c r="AA45" s="297">
        <v>15000</v>
      </c>
      <c r="AB45" s="297">
        <v>80</v>
      </c>
      <c r="AC45" s="297" t="s">
        <v>94</v>
      </c>
      <c r="AD45" s="297"/>
      <c r="AE45" s="297"/>
      <c r="AF45" s="297"/>
      <c r="AG45" s="297"/>
      <c r="AH45" s="297"/>
      <c r="AI45" s="297"/>
      <c r="AJ45" s="301">
        <f t="shared" si="4"/>
        <v>15000</v>
      </c>
      <c r="AK45" s="297"/>
      <c r="AL45" s="297"/>
      <c r="AM45" s="313"/>
      <c r="AN45" s="313"/>
      <c r="AO45" s="313"/>
      <c r="AP45" s="313"/>
      <c r="AQ45" s="313"/>
      <c r="AR45" s="313"/>
      <c r="AS45" s="313"/>
      <c r="AT45" s="313"/>
      <c r="AU45" s="276" t="s">
        <v>883</v>
      </c>
    </row>
    <row r="46" spans="1:74" s="287" customFormat="1" ht="14.25" customHeight="1">
      <c r="A46" s="260">
        <v>155</v>
      </c>
      <c r="B46" s="310" t="s">
        <v>121</v>
      </c>
      <c r="C46" s="261" t="s">
        <v>1261</v>
      </c>
      <c r="D46" s="311">
        <v>40391</v>
      </c>
      <c r="E46" s="311">
        <v>40544</v>
      </c>
      <c r="F46" s="312" t="s">
        <v>5</v>
      </c>
      <c r="G46" s="252" t="s">
        <v>1451</v>
      </c>
      <c r="H46" s="313" t="s">
        <v>884</v>
      </c>
      <c r="I46" s="254" t="s">
        <v>2331</v>
      </c>
      <c r="J46" s="297">
        <v>20000</v>
      </c>
      <c r="K46" s="297">
        <v>493628</v>
      </c>
      <c r="L46" s="314">
        <v>475243</v>
      </c>
      <c r="M46" s="297">
        <v>475243</v>
      </c>
      <c r="N46" s="256">
        <f t="shared" si="3"/>
        <v>23.762149999999998</v>
      </c>
      <c r="O46" s="297">
        <v>100</v>
      </c>
      <c r="P46" s="297"/>
      <c r="Q46" s="297"/>
      <c r="R46" s="297"/>
      <c r="S46" s="313"/>
      <c r="T46" s="313"/>
      <c r="U46" s="313">
        <v>5000</v>
      </c>
      <c r="V46" s="297"/>
      <c r="W46" s="297"/>
      <c r="X46" s="297"/>
      <c r="Y46" s="297"/>
      <c r="Z46" s="297"/>
      <c r="AA46" s="297"/>
      <c r="AB46" s="297">
        <v>25</v>
      </c>
      <c r="AC46" s="297"/>
      <c r="AD46" s="297"/>
      <c r="AE46" s="297"/>
      <c r="AF46" s="297"/>
      <c r="AG46" s="297"/>
      <c r="AH46" s="297"/>
      <c r="AI46" s="297"/>
      <c r="AJ46" s="301">
        <f t="shared" si="4"/>
        <v>0</v>
      </c>
      <c r="AK46" s="297">
        <v>15000</v>
      </c>
      <c r="AL46" s="297">
        <v>15000</v>
      </c>
      <c r="AM46" s="313"/>
      <c r="AN46" s="313"/>
      <c r="AO46" s="313"/>
      <c r="AP46" s="313"/>
      <c r="AQ46" s="313"/>
      <c r="AR46" s="313"/>
      <c r="AS46" s="313"/>
      <c r="AT46" s="313"/>
      <c r="AU46" s="276" t="s">
        <v>885</v>
      </c>
    </row>
    <row r="47" spans="1:74" s="287" customFormat="1" ht="14.25" customHeight="1">
      <c r="A47" s="260">
        <v>156</v>
      </c>
      <c r="B47" s="310" t="s">
        <v>244</v>
      </c>
      <c r="C47" s="261" t="s">
        <v>1299</v>
      </c>
      <c r="D47" s="311">
        <v>40391</v>
      </c>
      <c r="E47" s="311">
        <v>40575</v>
      </c>
      <c r="F47" s="312" t="s">
        <v>5</v>
      </c>
      <c r="G47" s="252" t="s">
        <v>1451</v>
      </c>
      <c r="H47" s="313" t="s">
        <v>889</v>
      </c>
      <c r="I47" s="254" t="s">
        <v>2331</v>
      </c>
      <c r="J47" s="297">
        <v>3000</v>
      </c>
      <c r="K47" s="297">
        <v>153062</v>
      </c>
      <c r="L47" s="314">
        <v>150294</v>
      </c>
      <c r="M47" s="297">
        <v>150294</v>
      </c>
      <c r="N47" s="256">
        <f t="shared" si="3"/>
        <v>50.097999999999999</v>
      </c>
      <c r="O47" s="297">
        <v>98</v>
      </c>
      <c r="P47" s="297"/>
      <c r="Q47" s="297"/>
      <c r="R47" s="297"/>
      <c r="S47" s="313"/>
      <c r="T47" s="313"/>
      <c r="U47" s="313">
        <v>3000</v>
      </c>
      <c r="V47" s="297"/>
      <c r="W47" s="297"/>
      <c r="X47" s="297"/>
      <c r="Y47" s="297"/>
      <c r="Z47" s="297"/>
      <c r="AA47" s="297">
        <v>3000</v>
      </c>
      <c r="AB47" s="297">
        <v>30</v>
      </c>
      <c r="AC47" s="297"/>
      <c r="AD47" s="297"/>
      <c r="AE47" s="297">
        <v>1200</v>
      </c>
      <c r="AF47" s="297"/>
      <c r="AG47" s="297"/>
      <c r="AH47" s="297"/>
      <c r="AI47" s="297"/>
      <c r="AJ47" s="301">
        <f t="shared" si="4"/>
        <v>3000</v>
      </c>
      <c r="AK47" s="297"/>
      <c r="AL47" s="297"/>
      <c r="AM47" s="313"/>
      <c r="AN47" s="313"/>
      <c r="AO47" s="313"/>
      <c r="AP47" s="313"/>
      <c r="AQ47" s="313"/>
      <c r="AR47" s="313"/>
      <c r="AS47" s="313"/>
      <c r="AT47" s="313"/>
      <c r="AU47" s="276" t="s">
        <v>890</v>
      </c>
    </row>
    <row r="48" spans="1:74" s="287" customFormat="1" ht="14.25" customHeight="1">
      <c r="A48" s="260">
        <v>157</v>
      </c>
      <c r="B48" s="310" t="s">
        <v>87</v>
      </c>
      <c r="C48" s="261" t="s">
        <v>1261</v>
      </c>
      <c r="D48" s="311">
        <v>40452</v>
      </c>
      <c r="E48" s="311">
        <v>40575</v>
      </c>
      <c r="F48" s="312" t="s">
        <v>891</v>
      </c>
      <c r="G48" s="252" t="s">
        <v>1450</v>
      </c>
      <c r="H48" s="313" t="s">
        <v>892</v>
      </c>
      <c r="I48" s="254" t="s">
        <v>2331</v>
      </c>
      <c r="J48" s="297">
        <v>18750</v>
      </c>
      <c r="K48" s="297">
        <v>250000</v>
      </c>
      <c r="L48" s="314">
        <v>250000</v>
      </c>
      <c r="M48" s="297">
        <v>249186</v>
      </c>
      <c r="N48" s="256">
        <f t="shared" si="3"/>
        <v>13.28992</v>
      </c>
      <c r="O48" s="297">
        <v>100</v>
      </c>
      <c r="P48" s="297">
        <v>2915</v>
      </c>
      <c r="Q48" s="297"/>
      <c r="R48" s="297">
        <v>2915</v>
      </c>
      <c r="S48" s="313"/>
      <c r="T48" s="313"/>
      <c r="U48" s="313"/>
      <c r="V48" s="297"/>
      <c r="W48" s="297">
        <v>5869</v>
      </c>
      <c r="X48" s="349">
        <f>W48/R48</f>
        <v>2.0133790737564321</v>
      </c>
      <c r="Y48" s="297"/>
      <c r="Z48" s="297"/>
      <c r="AA48" s="297"/>
      <c r="AB48" s="297">
        <v>150</v>
      </c>
      <c r="AC48" s="297"/>
      <c r="AD48" s="297"/>
      <c r="AE48" s="297">
        <v>10000</v>
      </c>
      <c r="AF48" s="297"/>
      <c r="AG48" s="297"/>
      <c r="AH48" s="297"/>
      <c r="AI48" s="297"/>
      <c r="AJ48" s="301">
        <f t="shared" si="4"/>
        <v>0</v>
      </c>
      <c r="AK48" s="297"/>
      <c r="AL48" s="297"/>
      <c r="AM48" s="313"/>
      <c r="AN48" s="313"/>
      <c r="AO48" s="313"/>
      <c r="AP48" s="313"/>
      <c r="AQ48" s="313"/>
      <c r="AR48" s="313"/>
      <c r="AS48" s="313"/>
      <c r="AT48" s="313"/>
      <c r="AU48" s="293" t="s">
        <v>893</v>
      </c>
    </row>
    <row r="49" spans="1:47" s="287" customFormat="1" ht="14.25" customHeight="1">
      <c r="A49" s="260">
        <v>158</v>
      </c>
      <c r="B49" s="310" t="s">
        <v>353</v>
      </c>
      <c r="C49" s="261" t="s">
        <v>1299</v>
      </c>
      <c r="D49" s="311">
        <v>40391</v>
      </c>
      <c r="E49" s="311">
        <v>40575</v>
      </c>
      <c r="F49" s="312" t="s">
        <v>5</v>
      </c>
      <c r="G49" s="252" t="s">
        <v>1451</v>
      </c>
      <c r="H49" s="313" t="s">
        <v>894</v>
      </c>
      <c r="I49" s="254" t="s">
        <v>2331</v>
      </c>
      <c r="J49" s="297">
        <v>6144</v>
      </c>
      <c r="K49" s="297">
        <v>145252</v>
      </c>
      <c r="L49" s="314">
        <v>137910</v>
      </c>
      <c r="M49" s="297">
        <v>137910</v>
      </c>
      <c r="N49" s="256">
        <f t="shared" si="3"/>
        <v>22.4462890625</v>
      </c>
      <c r="O49" s="297">
        <v>95</v>
      </c>
      <c r="P49" s="297">
        <v>2598</v>
      </c>
      <c r="Q49" s="297">
        <v>2598</v>
      </c>
      <c r="R49" s="297">
        <v>2598</v>
      </c>
      <c r="S49" s="313"/>
      <c r="T49" s="313"/>
      <c r="U49" s="313">
        <v>6144</v>
      </c>
      <c r="V49" s="297">
        <v>14930</v>
      </c>
      <c r="W49" s="297">
        <v>6041</v>
      </c>
      <c r="X49" s="349">
        <f>W49/R49</f>
        <v>2.3252501924557354</v>
      </c>
      <c r="Y49" s="297">
        <v>6144</v>
      </c>
      <c r="Z49" s="297"/>
      <c r="AA49" s="297">
        <v>6144</v>
      </c>
      <c r="AB49" s="297">
        <v>55</v>
      </c>
      <c r="AC49" s="297"/>
      <c r="AD49" s="297"/>
      <c r="AE49" s="297">
        <v>660</v>
      </c>
      <c r="AF49" s="297"/>
      <c r="AG49" s="297"/>
      <c r="AH49" s="297"/>
      <c r="AI49" s="297"/>
      <c r="AJ49" s="301">
        <f t="shared" si="4"/>
        <v>6144</v>
      </c>
      <c r="AK49" s="297">
        <v>1071</v>
      </c>
      <c r="AL49" s="297">
        <v>1211</v>
      </c>
      <c r="AM49" s="313"/>
      <c r="AN49" s="313"/>
      <c r="AO49" s="313"/>
      <c r="AP49" s="313"/>
      <c r="AQ49" s="313"/>
      <c r="AR49" s="313"/>
      <c r="AS49" s="313"/>
      <c r="AT49" s="313"/>
      <c r="AU49" s="293" t="s">
        <v>895</v>
      </c>
    </row>
    <row r="50" spans="1:47" s="287" customFormat="1" ht="14.25" customHeight="1">
      <c r="A50" s="260">
        <v>159</v>
      </c>
      <c r="B50" s="310" t="s">
        <v>373</v>
      </c>
      <c r="C50" s="261" t="s">
        <v>1261</v>
      </c>
      <c r="D50" s="311">
        <v>40391</v>
      </c>
      <c r="E50" s="311">
        <v>40513</v>
      </c>
      <c r="F50" s="312" t="s">
        <v>623</v>
      </c>
      <c r="G50" s="252" t="s">
        <v>1451</v>
      </c>
      <c r="H50" s="313" t="s">
        <v>896</v>
      </c>
      <c r="I50" s="254" t="s">
        <v>2331</v>
      </c>
      <c r="J50" s="297">
        <v>40000</v>
      </c>
      <c r="K50" s="297">
        <v>54543</v>
      </c>
      <c r="L50" s="314">
        <v>54143</v>
      </c>
      <c r="M50" s="297">
        <v>47145</v>
      </c>
      <c r="N50" s="256">
        <f t="shared" si="3"/>
        <v>1.178625</v>
      </c>
      <c r="O50" s="297">
        <v>100</v>
      </c>
      <c r="P50" s="297">
        <v>3600</v>
      </c>
      <c r="Q50" s="297"/>
      <c r="R50" s="297">
        <v>3600</v>
      </c>
      <c r="S50" s="313"/>
      <c r="T50" s="313"/>
      <c r="U50" s="267">
        <v>3600</v>
      </c>
      <c r="V50" s="297">
        <v>4762</v>
      </c>
      <c r="W50" s="297">
        <v>822</v>
      </c>
      <c r="X50" s="349">
        <f>W50/R50</f>
        <v>0.22833333333333333</v>
      </c>
      <c r="Y50" s="297"/>
      <c r="Z50" s="297"/>
      <c r="AA50" s="297"/>
      <c r="AB50" s="297">
        <v>9</v>
      </c>
      <c r="AC50" s="297"/>
      <c r="AD50" s="297"/>
      <c r="AE50" s="297"/>
      <c r="AF50" s="297"/>
      <c r="AG50" s="297"/>
      <c r="AH50" s="297"/>
      <c r="AI50" s="297"/>
      <c r="AJ50" s="301">
        <f t="shared" si="4"/>
        <v>0</v>
      </c>
      <c r="AK50" s="297"/>
      <c r="AL50" s="297"/>
      <c r="AM50" s="313"/>
      <c r="AN50" s="313"/>
      <c r="AO50" s="313"/>
      <c r="AP50" s="313"/>
      <c r="AQ50" s="313"/>
      <c r="AR50" s="313"/>
      <c r="AS50" s="313"/>
      <c r="AT50" s="313"/>
      <c r="AU50" s="276" t="s">
        <v>897</v>
      </c>
    </row>
    <row r="51" spans="1:47" s="287" customFormat="1" ht="15" customHeight="1">
      <c r="A51" s="260">
        <v>160</v>
      </c>
      <c r="B51" s="310" t="s">
        <v>85</v>
      </c>
      <c r="C51" s="261" t="s">
        <v>1261</v>
      </c>
      <c r="D51" s="311">
        <v>40391</v>
      </c>
      <c r="E51" s="311">
        <v>40452</v>
      </c>
      <c r="F51" s="312" t="s">
        <v>898</v>
      </c>
      <c r="G51" s="273" t="s">
        <v>1454</v>
      </c>
      <c r="H51" s="313" t="s">
        <v>899</v>
      </c>
      <c r="I51" s="254" t="s">
        <v>2331</v>
      </c>
      <c r="J51" s="297">
        <v>5000</v>
      </c>
      <c r="K51" s="297">
        <v>143243</v>
      </c>
      <c r="L51" s="314">
        <v>143243</v>
      </c>
      <c r="M51" s="297">
        <v>81295</v>
      </c>
      <c r="N51" s="256">
        <f t="shared" si="3"/>
        <v>16.259</v>
      </c>
      <c r="O51" s="297">
        <f>(L51*100)/K51</f>
        <v>100</v>
      </c>
      <c r="P51" s="297">
        <v>1932</v>
      </c>
      <c r="Q51" s="297">
        <v>842</v>
      </c>
      <c r="R51" s="297">
        <v>1932</v>
      </c>
      <c r="S51" s="313"/>
      <c r="T51" s="313"/>
      <c r="U51" s="313"/>
      <c r="V51" s="297"/>
      <c r="W51" s="297"/>
      <c r="X51" s="349">
        <f>W51/R51</f>
        <v>0</v>
      </c>
      <c r="Y51" s="297"/>
      <c r="Z51" s="297">
        <v>268</v>
      </c>
      <c r="AA51" s="297"/>
      <c r="AB51" s="297">
        <v>83</v>
      </c>
      <c r="AC51" s="297"/>
      <c r="AD51" s="297"/>
      <c r="AE51" s="297"/>
      <c r="AF51" s="297"/>
      <c r="AG51" s="297"/>
      <c r="AH51" s="297">
        <v>1171</v>
      </c>
      <c r="AI51" s="297"/>
      <c r="AJ51" s="301">
        <f t="shared" si="4"/>
        <v>1439</v>
      </c>
      <c r="AK51" s="297"/>
      <c r="AL51" s="297"/>
      <c r="AM51" s="313"/>
      <c r="AN51" s="313"/>
      <c r="AO51" s="313"/>
      <c r="AP51" s="313"/>
      <c r="AQ51" s="313"/>
      <c r="AR51" s="313"/>
      <c r="AS51" s="313"/>
      <c r="AT51" s="313"/>
      <c r="AU51" s="276" t="s">
        <v>900</v>
      </c>
    </row>
    <row r="52" spans="1:47" s="287" customFormat="1" ht="19.5" customHeight="1">
      <c r="A52" s="260">
        <v>161</v>
      </c>
      <c r="B52" s="310" t="s">
        <v>472</v>
      </c>
      <c r="C52" s="261" t="s">
        <v>1299</v>
      </c>
      <c r="D52" s="311">
        <v>40330</v>
      </c>
      <c r="E52" s="311">
        <v>40575</v>
      </c>
      <c r="F52" s="312" t="s">
        <v>901</v>
      </c>
      <c r="G52" s="252" t="s">
        <v>1449</v>
      </c>
      <c r="H52" s="313" t="s">
        <v>902</v>
      </c>
      <c r="I52" s="254" t="s">
        <v>2331</v>
      </c>
      <c r="J52" s="297">
        <v>49009</v>
      </c>
      <c r="K52" s="297">
        <v>153013</v>
      </c>
      <c r="L52" s="314">
        <v>153013</v>
      </c>
      <c r="M52" s="297">
        <v>153013</v>
      </c>
      <c r="N52" s="256">
        <f t="shared" si="3"/>
        <v>3.122140831275888</v>
      </c>
      <c r="O52" s="297">
        <v>88</v>
      </c>
      <c r="P52" s="297"/>
      <c r="Q52" s="297"/>
      <c r="R52" s="297"/>
      <c r="S52" s="313"/>
      <c r="T52" s="313"/>
      <c r="U52" s="267">
        <v>30000</v>
      </c>
      <c r="V52" s="297">
        <v>1313</v>
      </c>
      <c r="W52" s="297">
        <v>9199</v>
      </c>
      <c r="X52" s="297"/>
      <c r="Y52" s="297">
        <v>30000</v>
      </c>
      <c r="Z52" s="297"/>
      <c r="AA52" s="297">
        <v>30000</v>
      </c>
      <c r="AB52" s="297">
        <v>100</v>
      </c>
      <c r="AC52" s="297"/>
      <c r="AD52" s="297" t="s">
        <v>94</v>
      </c>
      <c r="AE52" s="297">
        <v>12000</v>
      </c>
      <c r="AF52" s="297"/>
      <c r="AG52" s="297"/>
      <c r="AH52" s="297"/>
      <c r="AI52" s="297"/>
      <c r="AJ52" s="301">
        <f t="shared" si="4"/>
        <v>30000</v>
      </c>
      <c r="AK52" s="297">
        <v>64893</v>
      </c>
      <c r="AL52" s="297">
        <v>21971</v>
      </c>
      <c r="AM52" s="313"/>
      <c r="AN52" s="313"/>
      <c r="AO52" s="313"/>
      <c r="AP52" s="313"/>
      <c r="AQ52" s="313"/>
      <c r="AR52" s="313"/>
      <c r="AS52" s="313"/>
      <c r="AT52" s="313"/>
      <c r="AU52" s="276" t="s">
        <v>903</v>
      </c>
    </row>
    <row r="53" spans="1:47" s="287" customFormat="1" ht="14.25" customHeight="1">
      <c r="A53" s="260">
        <v>162</v>
      </c>
      <c r="B53" s="278" t="s">
        <v>465</v>
      </c>
      <c r="C53" s="261" t="s">
        <v>1260</v>
      </c>
      <c r="D53" s="311">
        <v>40269</v>
      </c>
      <c r="E53" s="311">
        <v>40544</v>
      </c>
      <c r="F53" s="312" t="s">
        <v>904</v>
      </c>
      <c r="G53" s="252" t="s">
        <v>1449</v>
      </c>
      <c r="H53" s="313" t="s">
        <v>905</v>
      </c>
      <c r="I53" s="254" t="s">
        <v>2331</v>
      </c>
      <c r="J53" s="297">
        <v>2692500</v>
      </c>
      <c r="K53" s="297">
        <v>260221</v>
      </c>
      <c r="L53" s="314">
        <v>259214</v>
      </c>
      <c r="M53" s="297">
        <v>259214</v>
      </c>
      <c r="N53" s="256">
        <f t="shared" si="3"/>
        <v>9.6272609099350051E-2</v>
      </c>
      <c r="O53" s="297">
        <v>100</v>
      </c>
      <c r="P53" s="297"/>
      <c r="Q53" s="297"/>
      <c r="R53" s="297"/>
      <c r="S53" s="313"/>
      <c r="T53" s="313"/>
      <c r="U53" s="313"/>
      <c r="V53" s="297">
        <v>2040</v>
      </c>
      <c r="W53" s="297">
        <v>1383</v>
      </c>
      <c r="X53" s="297"/>
      <c r="Y53" s="297"/>
      <c r="Z53" s="297"/>
      <c r="AA53" s="297">
        <v>664256</v>
      </c>
      <c r="AB53" s="297">
        <v>420</v>
      </c>
      <c r="AC53" s="297"/>
      <c r="AD53" s="297"/>
      <c r="AE53" s="297"/>
      <c r="AF53" s="297"/>
      <c r="AG53" s="297"/>
      <c r="AH53" s="297"/>
      <c r="AI53" s="297"/>
      <c r="AJ53" s="301">
        <f t="shared" si="4"/>
        <v>664256</v>
      </c>
      <c r="AK53" s="297">
        <v>3720</v>
      </c>
      <c r="AL53" s="297">
        <v>4119</v>
      </c>
      <c r="AM53" s="313"/>
      <c r="AN53" s="313"/>
      <c r="AO53" s="313"/>
      <c r="AP53" s="313"/>
      <c r="AQ53" s="313"/>
      <c r="AR53" s="313"/>
      <c r="AS53" s="313"/>
      <c r="AT53" s="313"/>
      <c r="AU53" s="276" t="s">
        <v>906</v>
      </c>
    </row>
    <row r="54" spans="1:47" s="287" customFormat="1" ht="14.25" customHeight="1">
      <c r="A54" s="260">
        <v>163</v>
      </c>
      <c r="B54" s="310" t="s">
        <v>15</v>
      </c>
      <c r="C54" s="261" t="s">
        <v>1286</v>
      </c>
      <c r="D54" s="311">
        <v>40360</v>
      </c>
      <c r="E54" s="311">
        <v>40544</v>
      </c>
      <c r="F54" s="312" t="s">
        <v>5</v>
      </c>
      <c r="G54" s="252" t="s">
        <v>1451</v>
      </c>
      <c r="H54" s="313" t="s">
        <v>907</v>
      </c>
      <c r="I54" s="254" t="s">
        <v>2331</v>
      </c>
      <c r="J54" s="297">
        <v>1100</v>
      </c>
      <c r="K54" s="297">
        <v>38171</v>
      </c>
      <c r="L54" s="314">
        <v>31703</v>
      </c>
      <c r="M54" s="297">
        <v>31703</v>
      </c>
      <c r="N54" s="256">
        <f t="shared" si="3"/>
        <v>28.82090909090909</v>
      </c>
      <c r="O54" s="297">
        <v>83</v>
      </c>
      <c r="P54" s="297">
        <v>500</v>
      </c>
      <c r="Q54" s="297">
        <v>500</v>
      </c>
      <c r="R54" s="297">
        <v>500</v>
      </c>
      <c r="S54" s="313"/>
      <c r="T54" s="313"/>
      <c r="U54" s="313">
        <v>500</v>
      </c>
      <c r="V54" s="297"/>
      <c r="W54" s="297"/>
      <c r="X54" s="349">
        <f>W54/R54</f>
        <v>0</v>
      </c>
      <c r="Y54" s="297"/>
      <c r="Z54" s="297"/>
      <c r="AA54" s="297"/>
      <c r="AB54" s="297">
        <v>100</v>
      </c>
      <c r="AC54" s="297"/>
      <c r="AD54" s="297"/>
      <c r="AE54" s="297">
        <v>660</v>
      </c>
      <c r="AF54" s="297"/>
      <c r="AG54" s="297"/>
      <c r="AH54" s="297"/>
      <c r="AI54" s="297"/>
      <c r="AJ54" s="301">
        <f t="shared" si="4"/>
        <v>0</v>
      </c>
      <c r="AK54" s="297"/>
      <c r="AL54" s="297"/>
      <c r="AM54" s="313"/>
      <c r="AN54" s="313"/>
      <c r="AO54" s="313"/>
      <c r="AP54" s="313"/>
      <c r="AQ54" s="313"/>
      <c r="AR54" s="313"/>
      <c r="AS54" s="313"/>
      <c r="AT54" s="313"/>
      <c r="AU54" s="276" t="s">
        <v>908</v>
      </c>
    </row>
    <row r="55" spans="1:47" s="287" customFormat="1" ht="14.25" customHeight="1">
      <c r="A55" s="260">
        <v>164</v>
      </c>
      <c r="B55" s="310" t="s">
        <v>189</v>
      </c>
      <c r="C55" s="261" t="s">
        <v>1260</v>
      </c>
      <c r="D55" s="311">
        <v>40360</v>
      </c>
      <c r="E55" s="311">
        <v>40575</v>
      </c>
      <c r="F55" s="312" t="s">
        <v>5</v>
      </c>
      <c r="G55" s="273" t="s">
        <v>1451</v>
      </c>
      <c r="H55" s="313" t="s">
        <v>909</v>
      </c>
      <c r="I55" s="254" t="s">
        <v>2331</v>
      </c>
      <c r="J55" s="297">
        <v>12000</v>
      </c>
      <c r="K55" s="297">
        <v>29348</v>
      </c>
      <c r="L55" s="314">
        <v>27879</v>
      </c>
      <c r="M55" s="297">
        <v>27879</v>
      </c>
      <c r="N55" s="256">
        <f t="shared" si="3"/>
        <v>2.3232499999999998</v>
      </c>
      <c r="O55" s="297">
        <v>94</v>
      </c>
      <c r="P55" s="297">
        <v>11000</v>
      </c>
      <c r="Q55" s="297"/>
      <c r="R55" s="297">
        <v>11000</v>
      </c>
      <c r="S55" s="313"/>
      <c r="T55" s="313"/>
      <c r="U55" s="313">
        <v>11000</v>
      </c>
      <c r="V55" s="297"/>
      <c r="W55" s="297"/>
      <c r="X55" s="349">
        <f>W55/R55</f>
        <v>0</v>
      </c>
      <c r="Y55" s="297"/>
      <c r="Z55" s="297">
        <v>247</v>
      </c>
      <c r="AA55" s="297"/>
      <c r="AB55" s="297">
        <v>10</v>
      </c>
      <c r="AC55" s="297"/>
      <c r="AD55" s="297"/>
      <c r="AE55" s="297"/>
      <c r="AF55" s="297"/>
      <c r="AG55" s="297"/>
      <c r="AH55" s="297">
        <v>43</v>
      </c>
      <c r="AI55" s="297"/>
      <c r="AJ55" s="301">
        <f t="shared" si="4"/>
        <v>290</v>
      </c>
      <c r="AK55" s="297">
        <v>225</v>
      </c>
      <c r="AL55" s="297">
        <v>222</v>
      </c>
      <c r="AM55" s="313"/>
      <c r="AN55" s="313"/>
      <c r="AO55" s="313"/>
      <c r="AP55" s="313"/>
      <c r="AQ55" s="313"/>
      <c r="AR55" s="313"/>
      <c r="AS55" s="313"/>
      <c r="AT55" s="313"/>
      <c r="AU55" s="293" t="s">
        <v>1711</v>
      </c>
    </row>
    <row r="56" spans="1:47" s="287" customFormat="1" ht="14.25" customHeight="1">
      <c r="A56" s="260">
        <v>165</v>
      </c>
      <c r="B56" s="278" t="s">
        <v>462</v>
      </c>
      <c r="C56" s="261" t="s">
        <v>1299</v>
      </c>
      <c r="D56" s="262">
        <v>40422</v>
      </c>
      <c r="E56" s="262">
        <v>40452</v>
      </c>
      <c r="F56" s="278" t="s">
        <v>916</v>
      </c>
      <c r="G56" s="252" t="s">
        <v>1452</v>
      </c>
      <c r="H56" s="261" t="s">
        <v>931</v>
      </c>
      <c r="I56" s="254" t="s">
        <v>2331</v>
      </c>
      <c r="J56" s="263">
        <v>177</v>
      </c>
      <c r="K56" s="263">
        <v>213905</v>
      </c>
      <c r="L56" s="263">
        <v>213905</v>
      </c>
      <c r="M56" s="263">
        <v>207319</v>
      </c>
      <c r="N56" s="256">
        <f t="shared" si="3"/>
        <v>1171.2937853107344</v>
      </c>
      <c r="O56" s="263">
        <v>100</v>
      </c>
      <c r="P56" s="263" t="s">
        <v>75</v>
      </c>
      <c r="Q56" s="263" t="s">
        <v>75</v>
      </c>
      <c r="R56" s="263" t="s">
        <v>75</v>
      </c>
      <c r="S56" s="264" t="s">
        <v>233</v>
      </c>
      <c r="T56" s="261" t="s">
        <v>134</v>
      </c>
      <c r="U56" s="261" t="s">
        <v>134</v>
      </c>
      <c r="V56" s="263">
        <v>3750</v>
      </c>
      <c r="W56" s="263">
        <v>12929</v>
      </c>
      <c r="X56" s="263"/>
      <c r="Y56" s="263" t="s">
        <v>134</v>
      </c>
      <c r="Z56" s="263"/>
      <c r="AA56" s="263"/>
      <c r="AB56" s="263">
        <v>278</v>
      </c>
      <c r="AC56" s="263">
        <v>300</v>
      </c>
      <c r="AD56" s="263" t="s">
        <v>75</v>
      </c>
      <c r="AE56" s="263" t="s">
        <v>75</v>
      </c>
      <c r="AF56" s="263" t="s">
        <v>75</v>
      </c>
      <c r="AG56" s="263" t="s">
        <v>75</v>
      </c>
      <c r="AH56" s="263" t="s">
        <v>75</v>
      </c>
      <c r="AI56" s="263" t="s">
        <v>75</v>
      </c>
      <c r="AJ56" s="301">
        <f t="shared" si="4"/>
        <v>0</v>
      </c>
      <c r="AK56" s="263">
        <v>6000</v>
      </c>
      <c r="AL56" s="263">
        <v>6000</v>
      </c>
      <c r="AM56" s="261"/>
      <c r="AN56" s="261"/>
      <c r="AO56" s="261"/>
      <c r="AP56" s="261"/>
      <c r="AQ56" s="261"/>
      <c r="AR56" s="261"/>
      <c r="AS56" s="264" t="s">
        <v>75</v>
      </c>
      <c r="AT56" s="264" t="s">
        <v>75</v>
      </c>
      <c r="AU56" s="293" t="s">
        <v>929</v>
      </c>
    </row>
    <row r="57" spans="1:47" s="287" customFormat="1" ht="14.25" customHeight="1">
      <c r="A57" s="260">
        <v>166</v>
      </c>
      <c r="B57" s="278" t="s">
        <v>118</v>
      </c>
      <c r="C57" s="261" t="s">
        <v>1299</v>
      </c>
      <c r="D57" s="262">
        <v>40422</v>
      </c>
      <c r="E57" s="262">
        <v>40695</v>
      </c>
      <c r="F57" s="278" t="s">
        <v>5</v>
      </c>
      <c r="G57" s="252" t="s">
        <v>1451</v>
      </c>
      <c r="H57" s="261" t="s">
        <v>936</v>
      </c>
      <c r="I57" s="254" t="s">
        <v>2331</v>
      </c>
      <c r="J57" s="263">
        <v>5000</v>
      </c>
      <c r="K57" s="263">
        <v>157253</v>
      </c>
      <c r="L57" s="257">
        <v>157253</v>
      </c>
      <c r="M57" s="263">
        <v>157154</v>
      </c>
      <c r="N57" s="256">
        <f t="shared" si="3"/>
        <v>31.430800000000001</v>
      </c>
      <c r="O57" s="263">
        <v>100</v>
      </c>
      <c r="P57" s="263">
        <v>5000</v>
      </c>
      <c r="Q57" s="263">
        <v>500</v>
      </c>
      <c r="R57" s="263">
        <v>5000</v>
      </c>
      <c r="S57" s="261" t="s">
        <v>233</v>
      </c>
      <c r="T57" s="261">
        <v>48</v>
      </c>
      <c r="U57" s="261">
        <v>5000</v>
      </c>
      <c r="V57" s="263">
        <v>39702</v>
      </c>
      <c r="W57" s="263">
        <v>4961</v>
      </c>
      <c r="X57" s="349">
        <f>W57/R57</f>
        <v>0.99219999999999997</v>
      </c>
      <c r="Y57" s="263"/>
      <c r="Z57" s="263" t="s">
        <v>75</v>
      </c>
      <c r="AA57" s="263">
        <v>5000</v>
      </c>
      <c r="AB57" s="263">
        <v>20</v>
      </c>
      <c r="AC57" s="263" t="s">
        <v>75</v>
      </c>
      <c r="AD57" s="263"/>
      <c r="AE57" s="263">
        <v>2000</v>
      </c>
      <c r="AF57" s="263" t="s">
        <v>75</v>
      </c>
      <c r="AG57" s="263" t="s">
        <v>75</v>
      </c>
      <c r="AH57" s="263" t="s">
        <v>75</v>
      </c>
      <c r="AI57" s="263" t="s">
        <v>75</v>
      </c>
      <c r="AJ57" s="301">
        <f t="shared" si="4"/>
        <v>5000</v>
      </c>
      <c r="AK57" s="263">
        <v>0</v>
      </c>
      <c r="AL57" s="263">
        <v>10</v>
      </c>
      <c r="AM57" s="261"/>
      <c r="AN57" s="261"/>
      <c r="AO57" s="261"/>
      <c r="AP57" s="261"/>
      <c r="AQ57" s="261"/>
      <c r="AR57" s="261"/>
      <c r="AS57" s="261">
        <v>1</v>
      </c>
      <c r="AT57" s="264" t="s">
        <v>75</v>
      </c>
      <c r="AU57" s="261" t="s">
        <v>935</v>
      </c>
    </row>
    <row r="58" spans="1:47" s="287" customFormat="1" ht="14.25" customHeight="1">
      <c r="A58" s="260">
        <v>167</v>
      </c>
      <c r="B58" s="278" t="s">
        <v>932</v>
      </c>
      <c r="C58" s="261" t="s">
        <v>1260</v>
      </c>
      <c r="D58" s="262">
        <v>40330</v>
      </c>
      <c r="E58" s="262">
        <v>40452</v>
      </c>
      <c r="F58" s="278" t="s">
        <v>942</v>
      </c>
      <c r="G58" s="252" t="s">
        <v>1451</v>
      </c>
      <c r="H58" s="261" t="s">
        <v>941</v>
      </c>
      <c r="I58" s="254" t="s">
        <v>2331</v>
      </c>
      <c r="J58" s="263">
        <v>2835</v>
      </c>
      <c r="K58" s="263">
        <v>100044</v>
      </c>
      <c r="L58" s="263">
        <v>100044</v>
      </c>
      <c r="M58" s="263">
        <v>90812</v>
      </c>
      <c r="N58" s="256">
        <f t="shared" si="3"/>
        <v>32.032451499118167</v>
      </c>
      <c r="O58" s="263">
        <v>100</v>
      </c>
      <c r="P58" s="263" t="s">
        <v>75</v>
      </c>
      <c r="Q58" s="263" t="s">
        <v>75</v>
      </c>
      <c r="R58" s="263" t="s">
        <v>75</v>
      </c>
      <c r="S58" s="261" t="s">
        <v>233</v>
      </c>
      <c r="T58" s="261" t="s">
        <v>75</v>
      </c>
      <c r="U58" s="264">
        <v>2835</v>
      </c>
      <c r="V58" s="263" t="s">
        <v>66</v>
      </c>
      <c r="W58" s="263" t="s">
        <v>66</v>
      </c>
      <c r="X58" s="263"/>
      <c r="Y58" s="263"/>
      <c r="Z58" s="263"/>
      <c r="AA58" s="263"/>
      <c r="AB58" s="263">
        <v>40</v>
      </c>
      <c r="AC58" s="263"/>
      <c r="AD58" s="263"/>
      <c r="AE58" s="263"/>
      <c r="AF58" s="263" t="s">
        <v>75</v>
      </c>
      <c r="AG58" s="263" t="s">
        <v>75</v>
      </c>
      <c r="AH58" s="263" t="s">
        <v>75</v>
      </c>
      <c r="AI58" s="263" t="s">
        <v>75</v>
      </c>
      <c r="AJ58" s="301">
        <f t="shared" si="4"/>
        <v>0</v>
      </c>
      <c r="AK58" s="263" t="s">
        <v>66</v>
      </c>
      <c r="AL58" s="263" t="s">
        <v>66</v>
      </c>
      <c r="AM58" s="261"/>
      <c r="AN58" s="261"/>
      <c r="AO58" s="261"/>
      <c r="AP58" s="261"/>
      <c r="AQ58" s="261"/>
      <c r="AR58" s="261"/>
      <c r="AS58" s="261" t="s">
        <v>75</v>
      </c>
      <c r="AT58" s="261" t="s">
        <v>75</v>
      </c>
      <c r="AU58" s="261" t="s">
        <v>940</v>
      </c>
    </row>
    <row r="59" spans="1:47" s="287" customFormat="1" ht="14.25" customHeight="1">
      <c r="A59" s="260">
        <v>168</v>
      </c>
      <c r="B59" s="278" t="s">
        <v>933</v>
      </c>
      <c r="C59" s="261" t="s">
        <v>1286</v>
      </c>
      <c r="D59" s="262">
        <v>40330</v>
      </c>
      <c r="E59" s="262">
        <v>40513</v>
      </c>
      <c r="F59" s="278" t="s">
        <v>5</v>
      </c>
      <c r="G59" s="252" t="s">
        <v>1451</v>
      </c>
      <c r="H59" s="261" t="s">
        <v>944</v>
      </c>
      <c r="I59" s="254" t="s">
        <v>2331</v>
      </c>
      <c r="J59" s="263">
        <v>750</v>
      </c>
      <c r="K59" s="263">
        <v>36248</v>
      </c>
      <c r="L59" s="263">
        <v>27370</v>
      </c>
      <c r="M59" s="263">
        <v>27370</v>
      </c>
      <c r="N59" s="256">
        <f t="shared" si="3"/>
        <v>36.493333333333332</v>
      </c>
      <c r="O59" s="263">
        <v>76</v>
      </c>
      <c r="P59" s="263" t="s">
        <v>75</v>
      </c>
      <c r="Q59" s="263" t="s">
        <v>75</v>
      </c>
      <c r="R59" s="263">
        <v>750</v>
      </c>
      <c r="S59" s="261" t="s">
        <v>233</v>
      </c>
      <c r="T59" s="261"/>
      <c r="U59" s="261">
        <v>750</v>
      </c>
      <c r="V59" s="263" t="s">
        <v>66</v>
      </c>
      <c r="W59" s="263" t="s">
        <v>66</v>
      </c>
      <c r="X59" s="349"/>
      <c r="Y59" s="263" t="s">
        <v>75</v>
      </c>
      <c r="Z59" s="263" t="s">
        <v>75</v>
      </c>
      <c r="AA59" s="263">
        <v>750</v>
      </c>
      <c r="AB59" s="263" t="s">
        <v>134</v>
      </c>
      <c r="AC59" s="263" t="s">
        <v>75</v>
      </c>
      <c r="AD59" s="263" t="s">
        <v>75</v>
      </c>
      <c r="AE59" s="263">
        <v>600</v>
      </c>
      <c r="AF59" s="263" t="s">
        <v>75</v>
      </c>
      <c r="AG59" s="263" t="s">
        <v>75</v>
      </c>
      <c r="AH59" s="263" t="s">
        <v>75</v>
      </c>
      <c r="AI59" s="263" t="s">
        <v>75</v>
      </c>
      <c r="AJ59" s="301">
        <f t="shared" si="4"/>
        <v>750</v>
      </c>
      <c r="AK59" s="263" t="s">
        <v>66</v>
      </c>
      <c r="AL59" s="263" t="s">
        <v>66</v>
      </c>
      <c r="AM59" s="261"/>
      <c r="AN59" s="261"/>
      <c r="AO59" s="261"/>
      <c r="AP59" s="261"/>
      <c r="AQ59" s="261"/>
      <c r="AR59" s="261"/>
      <c r="AS59" s="261" t="s">
        <v>75</v>
      </c>
      <c r="AT59" s="261" t="s">
        <v>75</v>
      </c>
      <c r="AU59" s="261" t="s">
        <v>943</v>
      </c>
    </row>
    <row r="60" spans="1:47" s="287" customFormat="1" ht="14.25" customHeight="1">
      <c r="A60" s="260">
        <v>169</v>
      </c>
      <c r="B60" s="278" t="s">
        <v>291</v>
      </c>
      <c r="C60" s="261" t="s">
        <v>1299</v>
      </c>
      <c r="D60" s="262">
        <v>40360</v>
      </c>
      <c r="E60" s="262">
        <v>40513</v>
      </c>
      <c r="F60" s="278" t="s">
        <v>5</v>
      </c>
      <c r="G60" s="252" t="s">
        <v>1451</v>
      </c>
      <c r="H60" s="261" t="s">
        <v>946</v>
      </c>
      <c r="I60" s="254" t="s">
        <v>2331</v>
      </c>
      <c r="J60" s="263">
        <v>5000</v>
      </c>
      <c r="K60" s="263">
        <v>134948</v>
      </c>
      <c r="L60" s="263">
        <v>134948</v>
      </c>
      <c r="M60" s="263">
        <v>126117</v>
      </c>
      <c r="N60" s="256">
        <f t="shared" si="3"/>
        <v>25.223400000000002</v>
      </c>
      <c r="O60" s="263">
        <v>100</v>
      </c>
      <c r="P60" s="263">
        <v>5000</v>
      </c>
      <c r="Q60" s="263" t="s">
        <v>75</v>
      </c>
      <c r="R60" s="263">
        <v>5000</v>
      </c>
      <c r="S60" s="261" t="s">
        <v>233</v>
      </c>
      <c r="T60" s="261">
        <v>50</v>
      </c>
      <c r="U60" s="261">
        <v>5000</v>
      </c>
      <c r="V60" s="263">
        <v>38</v>
      </c>
      <c r="W60" s="263">
        <v>38</v>
      </c>
      <c r="X60" s="349">
        <f t="shared" ref="X60:X64" si="5">W60/R60</f>
        <v>7.6E-3</v>
      </c>
      <c r="Y60" s="263">
        <v>785</v>
      </c>
      <c r="Z60" s="263"/>
      <c r="AA60" s="263"/>
      <c r="AB60" s="263"/>
      <c r="AC60" s="263"/>
      <c r="AD60" s="263" t="s">
        <v>75</v>
      </c>
      <c r="AE60" s="263">
        <v>2000</v>
      </c>
      <c r="AF60" s="263" t="s">
        <v>75</v>
      </c>
      <c r="AG60" s="263" t="s">
        <v>75</v>
      </c>
      <c r="AH60" s="263" t="s">
        <v>75</v>
      </c>
      <c r="AI60" s="263" t="s">
        <v>75</v>
      </c>
      <c r="AJ60" s="301">
        <f t="shared" si="4"/>
        <v>0</v>
      </c>
      <c r="AK60" s="263">
        <v>9009</v>
      </c>
      <c r="AL60" s="263">
        <v>4525</v>
      </c>
      <c r="AM60" s="261"/>
      <c r="AN60" s="261"/>
      <c r="AO60" s="261"/>
      <c r="AP60" s="261"/>
      <c r="AQ60" s="261"/>
      <c r="AR60" s="261"/>
      <c r="AS60" s="261" t="s">
        <v>204</v>
      </c>
      <c r="AT60" s="261" t="s">
        <v>75</v>
      </c>
      <c r="AU60" s="276" t="s">
        <v>945</v>
      </c>
    </row>
    <row r="61" spans="1:47" s="287" customFormat="1" ht="14.25" customHeight="1">
      <c r="A61" s="260">
        <v>170</v>
      </c>
      <c r="B61" s="278" t="s">
        <v>279</v>
      </c>
      <c r="C61" s="261" t="s">
        <v>1299</v>
      </c>
      <c r="D61" s="262">
        <v>40269</v>
      </c>
      <c r="E61" s="262">
        <v>40360</v>
      </c>
      <c r="F61" s="278" t="s">
        <v>5</v>
      </c>
      <c r="G61" s="252" t="s">
        <v>1451</v>
      </c>
      <c r="H61" s="261" t="s">
        <v>988</v>
      </c>
      <c r="I61" s="254" t="s">
        <v>2331</v>
      </c>
      <c r="J61" s="263">
        <v>23782</v>
      </c>
      <c r="K61" s="263">
        <v>156983</v>
      </c>
      <c r="L61" s="257">
        <v>156697</v>
      </c>
      <c r="M61" s="263">
        <v>156461</v>
      </c>
      <c r="N61" s="256">
        <f t="shared" si="3"/>
        <v>6.5789672861828272</v>
      </c>
      <c r="O61" s="263">
        <v>100</v>
      </c>
      <c r="P61" s="263">
        <v>15000</v>
      </c>
      <c r="Q61" s="263">
        <v>5360</v>
      </c>
      <c r="R61" s="263">
        <v>15000</v>
      </c>
      <c r="S61" s="261" t="s">
        <v>2</v>
      </c>
      <c r="T61" s="261">
        <v>100</v>
      </c>
      <c r="U61" s="261">
        <v>15000</v>
      </c>
      <c r="V61" s="263">
        <v>14000</v>
      </c>
      <c r="W61" s="263">
        <v>10760</v>
      </c>
      <c r="X61" s="349">
        <f t="shared" si="5"/>
        <v>0.71733333333333338</v>
      </c>
      <c r="Y61" s="263">
        <v>15000</v>
      </c>
      <c r="Z61" s="263">
        <v>400</v>
      </c>
      <c r="AA61" s="263">
        <v>15000</v>
      </c>
      <c r="AB61" s="263">
        <v>104</v>
      </c>
      <c r="AC61" s="263">
        <v>95</v>
      </c>
      <c r="AD61" s="263" t="s">
        <v>75</v>
      </c>
      <c r="AE61" s="263">
        <v>7254</v>
      </c>
      <c r="AF61" s="263" t="s">
        <v>75</v>
      </c>
      <c r="AG61" s="263">
        <v>3900</v>
      </c>
      <c r="AH61" s="263" t="s">
        <v>75</v>
      </c>
      <c r="AI61" s="263" t="s">
        <v>75</v>
      </c>
      <c r="AJ61" s="301">
        <f t="shared" si="4"/>
        <v>15400</v>
      </c>
      <c r="AK61" s="263" t="s">
        <v>66</v>
      </c>
      <c r="AL61" s="263" t="s">
        <v>66</v>
      </c>
      <c r="AM61" s="261"/>
      <c r="AN61" s="261"/>
      <c r="AO61" s="261"/>
      <c r="AP61" s="261"/>
      <c r="AQ61" s="261"/>
      <c r="AR61" s="261"/>
      <c r="AS61" s="261" t="s">
        <v>75</v>
      </c>
      <c r="AT61" s="261" t="s">
        <v>75</v>
      </c>
      <c r="AU61" s="261" t="s">
        <v>947</v>
      </c>
    </row>
    <row r="62" spans="1:47" s="287" customFormat="1" ht="14.25" customHeight="1">
      <c r="A62" s="260">
        <v>171</v>
      </c>
      <c r="B62" s="278" t="s">
        <v>934</v>
      </c>
      <c r="C62" s="261" t="s">
        <v>1260</v>
      </c>
      <c r="D62" s="262">
        <v>40360</v>
      </c>
      <c r="E62" s="262">
        <v>40513</v>
      </c>
      <c r="F62" s="278" t="s">
        <v>5</v>
      </c>
      <c r="G62" s="252" t="s">
        <v>1451</v>
      </c>
      <c r="H62" s="261" t="s">
        <v>949</v>
      </c>
      <c r="I62" s="254" t="s">
        <v>2331</v>
      </c>
      <c r="J62" s="263">
        <v>8000</v>
      </c>
      <c r="K62" s="263">
        <v>188100</v>
      </c>
      <c r="L62" s="263">
        <v>188100</v>
      </c>
      <c r="M62" s="263">
        <v>183492</v>
      </c>
      <c r="N62" s="256">
        <f t="shared" si="3"/>
        <v>22.936499999999999</v>
      </c>
      <c r="O62" s="263">
        <v>100</v>
      </c>
      <c r="P62" s="263">
        <v>584</v>
      </c>
      <c r="Q62" s="263">
        <v>5000</v>
      </c>
      <c r="R62" s="263">
        <v>5000</v>
      </c>
      <c r="S62" s="261" t="s">
        <v>233</v>
      </c>
      <c r="T62" s="261">
        <v>6</v>
      </c>
      <c r="U62" s="261">
        <v>2500</v>
      </c>
      <c r="V62" s="263">
        <v>12000</v>
      </c>
      <c r="W62" s="263">
        <v>12000</v>
      </c>
      <c r="X62" s="349">
        <f t="shared" si="5"/>
        <v>2.4</v>
      </c>
      <c r="Y62" s="263" t="s">
        <v>75</v>
      </c>
      <c r="Z62" s="263" t="s">
        <v>75</v>
      </c>
      <c r="AA62" s="263">
        <v>5000</v>
      </c>
      <c r="AB62" s="263">
        <v>27</v>
      </c>
      <c r="AC62" s="263" t="s">
        <v>75</v>
      </c>
      <c r="AD62" s="263" t="s">
        <v>75</v>
      </c>
      <c r="AE62" s="263" t="s">
        <v>75</v>
      </c>
      <c r="AF62" s="263" t="s">
        <v>75</v>
      </c>
      <c r="AG62" s="263" t="s">
        <v>75</v>
      </c>
      <c r="AH62" s="263" t="s">
        <v>75</v>
      </c>
      <c r="AI62" s="263" t="s">
        <v>75</v>
      </c>
      <c r="AJ62" s="301">
        <f t="shared" si="4"/>
        <v>5000</v>
      </c>
      <c r="AK62" s="263" t="s">
        <v>66</v>
      </c>
      <c r="AL62" s="263" t="s">
        <v>66</v>
      </c>
      <c r="AM62" s="261"/>
      <c r="AN62" s="261"/>
      <c r="AO62" s="261"/>
      <c r="AP62" s="261"/>
      <c r="AQ62" s="261"/>
      <c r="AR62" s="261"/>
      <c r="AS62" s="261" t="s">
        <v>204</v>
      </c>
      <c r="AT62" s="261" t="s">
        <v>75</v>
      </c>
      <c r="AU62" s="261" t="s">
        <v>948</v>
      </c>
    </row>
    <row r="63" spans="1:47" s="287" customFormat="1" ht="14.25" customHeight="1">
      <c r="A63" s="260">
        <v>172</v>
      </c>
      <c r="B63" s="278" t="s">
        <v>481</v>
      </c>
      <c r="C63" s="261" t="s">
        <v>1299</v>
      </c>
      <c r="D63" s="262">
        <v>40238</v>
      </c>
      <c r="E63" s="262">
        <v>40330</v>
      </c>
      <c r="F63" s="278" t="s">
        <v>5</v>
      </c>
      <c r="G63" s="252" t="s">
        <v>1451</v>
      </c>
      <c r="H63" s="261" t="s">
        <v>951</v>
      </c>
      <c r="I63" s="254" t="s">
        <v>2331</v>
      </c>
      <c r="J63" s="263">
        <v>10000</v>
      </c>
      <c r="K63" s="263">
        <v>282067</v>
      </c>
      <c r="L63" s="257">
        <v>248352</v>
      </c>
      <c r="M63" s="257">
        <v>248352</v>
      </c>
      <c r="N63" s="256">
        <f t="shared" si="3"/>
        <v>24.8352</v>
      </c>
      <c r="O63" s="263">
        <v>88</v>
      </c>
      <c r="P63" s="263">
        <v>11860</v>
      </c>
      <c r="Q63" s="263">
        <v>25340</v>
      </c>
      <c r="R63" s="263">
        <v>25340</v>
      </c>
      <c r="S63" s="261" t="s">
        <v>233</v>
      </c>
      <c r="T63" s="261">
        <v>322</v>
      </c>
      <c r="U63" s="261">
        <v>9000</v>
      </c>
      <c r="V63" s="263">
        <v>32950</v>
      </c>
      <c r="W63" s="263">
        <v>28996</v>
      </c>
      <c r="X63" s="349">
        <f t="shared" si="5"/>
        <v>1.144277821625888</v>
      </c>
      <c r="Y63" s="263"/>
      <c r="Z63" s="263" t="s">
        <v>75</v>
      </c>
      <c r="AA63" s="263">
        <v>11400</v>
      </c>
      <c r="AB63" s="263">
        <v>340</v>
      </c>
      <c r="AC63" s="263">
        <v>50</v>
      </c>
      <c r="AD63" s="263" t="s">
        <v>75</v>
      </c>
      <c r="AE63" s="263">
        <v>150</v>
      </c>
      <c r="AF63" s="263" t="s">
        <v>75</v>
      </c>
      <c r="AG63" s="263" t="s">
        <v>75</v>
      </c>
      <c r="AH63" s="263">
        <v>763</v>
      </c>
      <c r="AI63" s="263" t="s">
        <v>75</v>
      </c>
      <c r="AJ63" s="301">
        <f t="shared" si="4"/>
        <v>12163</v>
      </c>
      <c r="AK63" s="263">
        <v>1500</v>
      </c>
      <c r="AL63" s="263">
        <v>1320</v>
      </c>
      <c r="AM63" s="261"/>
      <c r="AN63" s="261"/>
      <c r="AO63" s="261"/>
      <c r="AP63" s="261"/>
      <c r="AQ63" s="261"/>
      <c r="AR63" s="261"/>
      <c r="AS63" s="261" t="s">
        <v>75</v>
      </c>
      <c r="AT63" s="261" t="s">
        <v>75</v>
      </c>
      <c r="AU63" s="261" t="s">
        <v>950</v>
      </c>
    </row>
    <row r="64" spans="1:47" s="287" customFormat="1" ht="14.25" customHeight="1">
      <c r="A64" s="260">
        <v>173</v>
      </c>
      <c r="B64" s="278" t="s">
        <v>251</v>
      </c>
      <c r="C64" s="261" t="s">
        <v>1260</v>
      </c>
      <c r="D64" s="262">
        <v>40179</v>
      </c>
      <c r="E64" s="262">
        <v>40452</v>
      </c>
      <c r="F64" s="278" t="s">
        <v>5</v>
      </c>
      <c r="G64" s="252" t="s">
        <v>1451</v>
      </c>
      <c r="H64" s="261" t="s">
        <v>953</v>
      </c>
      <c r="I64" s="254" t="s">
        <v>2331</v>
      </c>
      <c r="J64" s="263">
        <v>3500</v>
      </c>
      <c r="K64" s="263">
        <v>244126</v>
      </c>
      <c r="L64" s="257">
        <v>237790</v>
      </c>
      <c r="M64" s="263">
        <v>237790</v>
      </c>
      <c r="N64" s="256">
        <f t="shared" si="3"/>
        <v>67.94</v>
      </c>
      <c r="O64" s="263">
        <v>97</v>
      </c>
      <c r="P64" s="263">
        <v>6000</v>
      </c>
      <c r="Q64" s="263"/>
      <c r="R64" s="263">
        <v>6000</v>
      </c>
      <c r="S64" s="261" t="s">
        <v>233</v>
      </c>
      <c r="T64" s="261" t="s">
        <v>134</v>
      </c>
      <c r="U64" s="261">
        <v>6000</v>
      </c>
      <c r="V64" s="263">
        <v>20400</v>
      </c>
      <c r="W64" s="263">
        <v>19157</v>
      </c>
      <c r="X64" s="349">
        <f t="shared" si="5"/>
        <v>3.1928333333333332</v>
      </c>
      <c r="Y64" s="263" t="s">
        <v>75</v>
      </c>
      <c r="Z64" s="263" t="s">
        <v>75</v>
      </c>
      <c r="AA64" s="263" t="s">
        <v>75</v>
      </c>
      <c r="AB64" s="263" t="s">
        <v>75</v>
      </c>
      <c r="AC64" s="263" t="s">
        <v>75</v>
      </c>
      <c r="AD64" s="263" t="s">
        <v>75</v>
      </c>
      <c r="AE64" s="263" t="s">
        <v>75</v>
      </c>
      <c r="AF64" s="263" t="s">
        <v>75</v>
      </c>
      <c r="AG64" s="263" t="s">
        <v>75</v>
      </c>
      <c r="AH64" s="263" t="s">
        <v>75</v>
      </c>
      <c r="AI64" s="263" t="s">
        <v>75</v>
      </c>
      <c r="AJ64" s="301">
        <f t="shared" si="4"/>
        <v>0</v>
      </c>
      <c r="AK64" s="263" t="s">
        <v>66</v>
      </c>
      <c r="AL64" s="263" t="s">
        <v>66</v>
      </c>
      <c r="AM64" s="261"/>
      <c r="AN64" s="261"/>
      <c r="AO64" s="261"/>
      <c r="AP64" s="261"/>
      <c r="AQ64" s="261"/>
      <c r="AR64" s="261"/>
      <c r="AS64" s="261" t="s">
        <v>204</v>
      </c>
      <c r="AT64" s="261" t="s">
        <v>75</v>
      </c>
      <c r="AU64" s="293" t="s">
        <v>952</v>
      </c>
    </row>
    <row r="65" spans="1:47" s="287" customFormat="1" ht="14.25" customHeight="1">
      <c r="A65" s="260">
        <v>174</v>
      </c>
      <c r="B65" s="278" t="s">
        <v>607</v>
      </c>
      <c r="C65" s="261" t="s">
        <v>1299</v>
      </c>
      <c r="D65" s="262">
        <v>40299</v>
      </c>
      <c r="E65" s="262">
        <v>40483</v>
      </c>
      <c r="F65" s="278" t="s">
        <v>987</v>
      </c>
      <c r="G65" s="252" t="s">
        <v>1452</v>
      </c>
      <c r="H65" s="261" t="s">
        <v>986</v>
      </c>
      <c r="I65" s="254" t="s">
        <v>2331</v>
      </c>
      <c r="J65" s="263">
        <v>3000</v>
      </c>
      <c r="K65" s="263">
        <v>33015</v>
      </c>
      <c r="L65" s="257">
        <v>31950</v>
      </c>
      <c r="M65" s="257">
        <v>31950</v>
      </c>
      <c r="N65" s="256">
        <f t="shared" si="3"/>
        <v>10.65</v>
      </c>
      <c r="O65" s="263">
        <v>97</v>
      </c>
      <c r="P65" s="263" t="s">
        <v>75</v>
      </c>
      <c r="Q65" s="263" t="s">
        <v>75</v>
      </c>
      <c r="R65" s="263" t="s">
        <v>75</v>
      </c>
      <c r="S65" s="261" t="s">
        <v>233</v>
      </c>
      <c r="T65" s="261" t="s">
        <v>75</v>
      </c>
      <c r="U65" s="261" t="s">
        <v>75</v>
      </c>
      <c r="V65" s="263" t="s">
        <v>66</v>
      </c>
      <c r="W65" s="263" t="s">
        <v>66</v>
      </c>
      <c r="X65" s="263"/>
      <c r="Y65" s="263">
        <v>964</v>
      </c>
      <c r="Z65" s="263"/>
      <c r="AA65" s="263"/>
      <c r="AB65" s="263">
        <v>894</v>
      </c>
      <c r="AC65" s="263">
        <v>900</v>
      </c>
      <c r="AD65" s="263"/>
      <c r="AE65" s="263"/>
      <c r="AF65" s="263"/>
      <c r="AG65" s="263"/>
      <c r="AH65" s="263"/>
      <c r="AI65" s="263"/>
      <c r="AJ65" s="301">
        <f t="shared" si="4"/>
        <v>0</v>
      </c>
      <c r="AK65" s="263">
        <v>5000</v>
      </c>
      <c r="AL65" s="263">
        <v>5000</v>
      </c>
      <c r="AM65" s="261"/>
      <c r="AN65" s="261"/>
      <c r="AO65" s="261"/>
      <c r="AP65" s="261"/>
      <c r="AQ65" s="261"/>
      <c r="AR65" s="261"/>
      <c r="AS65" s="261" t="s">
        <v>75</v>
      </c>
      <c r="AT65" s="261" t="s">
        <v>75</v>
      </c>
      <c r="AU65" s="261" t="s">
        <v>985</v>
      </c>
    </row>
    <row r="66" spans="1:47" s="287" customFormat="1" ht="14.25" customHeight="1">
      <c r="A66" s="260">
        <v>175</v>
      </c>
      <c r="B66" s="278" t="s">
        <v>607</v>
      </c>
      <c r="C66" s="261" t="s">
        <v>1299</v>
      </c>
      <c r="D66" s="262">
        <v>40210</v>
      </c>
      <c r="E66" s="262">
        <v>40756</v>
      </c>
      <c r="F66" s="278" t="s">
        <v>1083</v>
      </c>
      <c r="G66" s="273" t="s">
        <v>1452</v>
      </c>
      <c r="H66" s="261" t="s">
        <v>1281</v>
      </c>
      <c r="I66" s="278" t="s">
        <v>2438</v>
      </c>
      <c r="J66" s="263">
        <v>202651</v>
      </c>
      <c r="K66" s="263">
        <v>30579088</v>
      </c>
      <c r="L66" s="257">
        <v>5277303</v>
      </c>
      <c r="M66" s="263">
        <v>3477285</v>
      </c>
      <c r="N66" s="256">
        <f t="shared" si="3"/>
        <v>17.158982684516729</v>
      </c>
      <c r="O66" s="263">
        <v>17</v>
      </c>
      <c r="P66" s="263">
        <v>118500</v>
      </c>
      <c r="Q66" s="263">
        <v>16000</v>
      </c>
      <c r="R66" s="263">
        <v>118500</v>
      </c>
      <c r="S66" s="264" t="s">
        <v>2</v>
      </c>
      <c r="T66" s="264">
        <v>396</v>
      </c>
      <c r="U66" s="264">
        <v>118500</v>
      </c>
      <c r="V66" s="263">
        <v>927195</v>
      </c>
      <c r="W66" s="263">
        <v>157623.15000000002</v>
      </c>
      <c r="X66" s="349">
        <f>W66/R66</f>
        <v>1.3301531645569622</v>
      </c>
      <c r="Y66" s="263"/>
      <c r="Z66" s="263"/>
      <c r="AA66" s="263"/>
      <c r="AB66" s="263"/>
      <c r="AC66" s="263"/>
      <c r="AD66" s="263"/>
      <c r="AE66" s="263"/>
      <c r="AF66" s="263"/>
      <c r="AG66" s="263"/>
      <c r="AH66" s="263"/>
      <c r="AI66" s="263"/>
      <c r="AJ66" s="301">
        <f t="shared" si="4"/>
        <v>0</v>
      </c>
      <c r="AK66" s="263"/>
      <c r="AL66" s="263"/>
      <c r="AM66" s="264"/>
      <c r="AN66" s="264"/>
      <c r="AO66" s="264"/>
      <c r="AP66" s="264"/>
      <c r="AQ66" s="264"/>
      <c r="AR66" s="264"/>
      <c r="AS66" s="264"/>
      <c r="AT66" s="264"/>
      <c r="AU66" s="264" t="s">
        <v>1082</v>
      </c>
    </row>
    <row r="67" spans="1:47" s="287" customFormat="1" ht="14.25" customHeight="1">
      <c r="A67" s="260">
        <v>176</v>
      </c>
      <c r="B67" s="278" t="s">
        <v>562</v>
      </c>
      <c r="C67" s="264" t="s">
        <v>1261</v>
      </c>
      <c r="D67" s="262">
        <v>40269</v>
      </c>
      <c r="E67" s="262">
        <v>41091</v>
      </c>
      <c r="F67" s="278" t="s">
        <v>1092</v>
      </c>
      <c r="G67" s="252" t="s">
        <v>1452</v>
      </c>
      <c r="H67" s="261" t="s">
        <v>1091</v>
      </c>
      <c r="I67" s="278" t="s">
        <v>2438</v>
      </c>
      <c r="J67" s="263">
        <v>25000</v>
      </c>
      <c r="K67" s="263">
        <v>3604299</v>
      </c>
      <c r="L67" s="257"/>
      <c r="M67" s="263"/>
      <c r="N67" s="256">
        <f t="shared" ref="N67:N98" si="6">M67/J67</f>
        <v>0</v>
      </c>
      <c r="O67" s="263"/>
      <c r="P67" s="263"/>
      <c r="Q67" s="263"/>
      <c r="R67" s="263">
        <v>40000</v>
      </c>
      <c r="S67" s="264"/>
      <c r="T67" s="264">
        <v>100</v>
      </c>
      <c r="U67" s="264">
        <v>40000</v>
      </c>
      <c r="V67" s="263"/>
      <c r="W67" s="263"/>
      <c r="X67" s="349">
        <f>W67/R67</f>
        <v>0</v>
      </c>
      <c r="Y67" s="263"/>
      <c r="Z67" s="263"/>
      <c r="AA67" s="263"/>
      <c r="AB67" s="263"/>
      <c r="AC67" s="263" t="s">
        <v>2</v>
      </c>
      <c r="AD67" s="263"/>
      <c r="AE67" s="263"/>
      <c r="AF67" s="263"/>
      <c r="AG67" s="263"/>
      <c r="AH67" s="263"/>
      <c r="AI67" s="263"/>
      <c r="AJ67" s="301">
        <f t="shared" ref="AJ67:AJ98" si="7">SUM(Z67,AA67,AH67)</f>
        <v>0</v>
      </c>
      <c r="AK67" s="263"/>
      <c r="AL67" s="263"/>
      <c r="AM67" s="264"/>
      <c r="AN67" s="264"/>
      <c r="AO67" s="264"/>
      <c r="AP67" s="264"/>
      <c r="AQ67" s="264"/>
      <c r="AR67" s="264"/>
      <c r="AS67" s="264"/>
      <c r="AT67" s="264"/>
      <c r="AU67" s="275" t="s">
        <v>1283</v>
      </c>
    </row>
    <row r="68" spans="1:47" s="254" customFormat="1" ht="14.25" customHeight="1">
      <c r="A68" s="260">
        <v>177</v>
      </c>
      <c r="B68" s="259" t="s">
        <v>1994</v>
      </c>
      <c r="C68" s="254" t="s">
        <v>1261</v>
      </c>
      <c r="D68" s="255">
        <v>40452</v>
      </c>
      <c r="E68" s="255">
        <v>40483</v>
      </c>
      <c r="F68" s="315" t="s">
        <v>5</v>
      </c>
      <c r="G68" s="252" t="s">
        <v>1451</v>
      </c>
      <c r="H68" s="254" t="s">
        <v>1358</v>
      </c>
      <c r="I68" s="254" t="s">
        <v>2331</v>
      </c>
      <c r="J68" s="256">
        <v>49520</v>
      </c>
      <c r="K68" s="256">
        <v>308682</v>
      </c>
      <c r="L68" s="256">
        <v>308682</v>
      </c>
      <c r="M68" s="256">
        <v>308682</v>
      </c>
      <c r="N68" s="256">
        <f t="shared" si="6"/>
        <v>6.2334814216478192</v>
      </c>
      <c r="O68" s="257" t="s">
        <v>66</v>
      </c>
      <c r="P68" s="256">
        <v>49520</v>
      </c>
      <c r="Q68" s="256"/>
      <c r="R68" s="256">
        <v>49520</v>
      </c>
      <c r="S68" s="254" t="s">
        <v>233</v>
      </c>
      <c r="U68" s="288">
        <v>49520</v>
      </c>
      <c r="V68" s="256"/>
      <c r="W68" s="256"/>
      <c r="X68" s="349">
        <f>W68/R68</f>
        <v>0</v>
      </c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301">
        <f t="shared" si="7"/>
        <v>0</v>
      </c>
      <c r="AK68" s="256"/>
      <c r="AL68" s="256"/>
      <c r="AU68" s="254" t="s">
        <v>1357</v>
      </c>
    </row>
    <row r="69" spans="1:47" s="266" customFormat="1" ht="15.75" customHeight="1">
      <c r="A69" s="260">
        <v>178</v>
      </c>
      <c r="B69" s="316" t="s">
        <v>28</v>
      </c>
      <c r="C69" s="316" t="s">
        <v>1261</v>
      </c>
      <c r="D69" s="317">
        <v>40238</v>
      </c>
      <c r="E69" s="317">
        <v>40360</v>
      </c>
      <c r="F69" s="316" t="s">
        <v>1285</v>
      </c>
      <c r="G69" s="252" t="s">
        <v>1452</v>
      </c>
      <c r="H69" s="266" t="s">
        <v>561</v>
      </c>
      <c r="I69" s="278" t="s">
        <v>2438</v>
      </c>
      <c r="J69" s="318">
        <v>42000</v>
      </c>
      <c r="K69" s="318">
        <v>3635713</v>
      </c>
      <c r="L69" s="318">
        <v>3567518</v>
      </c>
      <c r="M69" s="318">
        <v>3567518</v>
      </c>
      <c r="N69" s="256">
        <f t="shared" si="6"/>
        <v>84.940904761904761</v>
      </c>
      <c r="O69" s="318">
        <v>98.1</v>
      </c>
      <c r="P69" s="318">
        <v>200</v>
      </c>
      <c r="Q69" s="318">
        <v>725</v>
      </c>
      <c r="R69" s="318">
        <v>21000</v>
      </c>
      <c r="S69" s="318" t="s">
        <v>2</v>
      </c>
      <c r="T69" s="318" t="s">
        <v>134</v>
      </c>
      <c r="U69" s="318">
        <v>21000</v>
      </c>
      <c r="V69" s="318">
        <v>33041</v>
      </c>
      <c r="W69" s="318">
        <v>66959</v>
      </c>
      <c r="X69" s="349">
        <f>W69/R69</f>
        <v>3.1885238095238093</v>
      </c>
      <c r="Y69" s="318">
        <v>21000</v>
      </c>
      <c r="Z69" s="318">
        <v>4261</v>
      </c>
      <c r="AA69" s="318" t="s">
        <v>134</v>
      </c>
      <c r="AB69" s="318">
        <v>3500</v>
      </c>
      <c r="AC69" s="318">
        <v>75</v>
      </c>
      <c r="AD69" s="318" t="s">
        <v>75</v>
      </c>
      <c r="AE69" s="318">
        <v>6000</v>
      </c>
      <c r="AF69" s="318" t="s">
        <v>75</v>
      </c>
      <c r="AG69" s="318" t="s">
        <v>75</v>
      </c>
      <c r="AH69" s="318">
        <v>20000</v>
      </c>
      <c r="AI69" s="318" t="s">
        <v>2</v>
      </c>
      <c r="AJ69" s="301">
        <f t="shared" si="7"/>
        <v>24261</v>
      </c>
      <c r="AK69" s="318">
        <v>0</v>
      </c>
      <c r="AL69" s="318">
        <v>126739</v>
      </c>
      <c r="AM69" s="319"/>
      <c r="AN69" s="319"/>
      <c r="AO69" s="319"/>
      <c r="AP69" s="319"/>
      <c r="AQ69" s="319"/>
      <c r="AR69" s="319"/>
      <c r="AS69" s="319" t="s">
        <v>75</v>
      </c>
      <c r="AT69" s="319" t="s">
        <v>75</v>
      </c>
      <c r="AU69" s="320" t="s">
        <v>560</v>
      </c>
    </row>
    <row r="70" spans="1:47" s="266" customFormat="1" ht="15" customHeight="1">
      <c r="A70" s="260">
        <v>179</v>
      </c>
      <c r="B70" s="316" t="s">
        <v>472</v>
      </c>
      <c r="C70" s="316" t="s">
        <v>1299</v>
      </c>
      <c r="D70" s="317">
        <v>40269</v>
      </c>
      <c r="E70" s="317">
        <v>40391</v>
      </c>
      <c r="F70" s="316" t="s">
        <v>565</v>
      </c>
      <c r="G70" s="273" t="s">
        <v>1450</v>
      </c>
      <c r="H70" s="266" t="s">
        <v>566</v>
      </c>
      <c r="I70" s="254" t="s">
        <v>2331</v>
      </c>
      <c r="J70" s="318">
        <v>1150</v>
      </c>
      <c r="K70" s="318">
        <v>78480</v>
      </c>
      <c r="L70" s="318">
        <v>78480</v>
      </c>
      <c r="M70" s="318">
        <v>77799</v>
      </c>
      <c r="N70" s="256">
        <f t="shared" si="6"/>
        <v>67.651304347826084</v>
      </c>
      <c r="O70" s="318">
        <v>99.1</v>
      </c>
      <c r="P70" s="318" t="s">
        <v>75</v>
      </c>
      <c r="Q70" s="318" t="s">
        <v>75</v>
      </c>
      <c r="R70" s="318" t="s">
        <v>75</v>
      </c>
      <c r="S70" s="318" t="s">
        <v>75</v>
      </c>
      <c r="T70" s="318" t="s">
        <v>75</v>
      </c>
      <c r="U70" s="318" t="s">
        <v>75</v>
      </c>
      <c r="V70" s="318">
        <v>250</v>
      </c>
      <c r="W70" s="318">
        <v>42</v>
      </c>
      <c r="X70" s="318"/>
      <c r="Y70" s="318" t="s">
        <v>75</v>
      </c>
      <c r="Z70" s="318" t="s">
        <v>75</v>
      </c>
      <c r="AA70" s="318" t="s">
        <v>75</v>
      </c>
      <c r="AB70" s="318" t="s">
        <v>75</v>
      </c>
      <c r="AC70" s="318" t="s">
        <v>75</v>
      </c>
      <c r="AD70" s="318" t="s">
        <v>75</v>
      </c>
      <c r="AE70" s="318">
        <v>460</v>
      </c>
      <c r="AF70" s="318" t="s">
        <v>75</v>
      </c>
      <c r="AG70" s="318" t="s">
        <v>75</v>
      </c>
      <c r="AH70" s="318" t="s">
        <v>75</v>
      </c>
      <c r="AI70" s="318" t="s">
        <v>75</v>
      </c>
      <c r="AJ70" s="301">
        <f t="shared" si="7"/>
        <v>0</v>
      </c>
      <c r="AK70" s="318">
        <v>1563</v>
      </c>
      <c r="AL70" s="318">
        <v>1014</v>
      </c>
      <c r="AM70" s="319"/>
      <c r="AN70" s="319"/>
      <c r="AO70" s="319"/>
      <c r="AP70" s="319"/>
      <c r="AQ70" s="319"/>
      <c r="AR70" s="319"/>
      <c r="AS70" s="319" t="s">
        <v>75</v>
      </c>
      <c r="AT70" s="319" t="s">
        <v>75</v>
      </c>
      <c r="AU70" s="320" t="s">
        <v>564</v>
      </c>
    </row>
    <row r="71" spans="1:47" s="266" customFormat="1" ht="15.75" customHeight="1">
      <c r="A71" s="260">
        <v>180</v>
      </c>
      <c r="B71" s="316" t="s">
        <v>119</v>
      </c>
      <c r="C71" s="316" t="s">
        <v>1299</v>
      </c>
      <c r="D71" s="317">
        <v>40269</v>
      </c>
      <c r="E71" s="317">
        <v>40513</v>
      </c>
      <c r="F71" s="316" t="s">
        <v>569</v>
      </c>
      <c r="G71" s="252" t="s">
        <v>1449</v>
      </c>
      <c r="H71" s="266" t="s">
        <v>568</v>
      </c>
      <c r="I71" s="254" t="s">
        <v>2331</v>
      </c>
      <c r="J71" s="318">
        <v>500000</v>
      </c>
      <c r="K71" s="318">
        <v>172928</v>
      </c>
      <c r="L71" s="318">
        <v>172757</v>
      </c>
      <c r="M71" s="318">
        <v>172757</v>
      </c>
      <c r="N71" s="256">
        <f t="shared" si="6"/>
        <v>0.34551399999999999</v>
      </c>
      <c r="O71" s="318">
        <v>100</v>
      </c>
      <c r="P71" s="318" t="s">
        <v>75</v>
      </c>
      <c r="Q71" s="318" t="s">
        <v>75</v>
      </c>
      <c r="R71" s="318" t="s">
        <v>75</v>
      </c>
      <c r="S71" s="318" t="s">
        <v>233</v>
      </c>
      <c r="T71" s="318" t="s">
        <v>75</v>
      </c>
      <c r="U71" s="318" t="s">
        <v>75</v>
      </c>
      <c r="V71" s="318" t="s">
        <v>66</v>
      </c>
      <c r="W71" s="318" t="s">
        <v>66</v>
      </c>
      <c r="X71" s="318"/>
      <c r="Y71" s="318">
        <v>791893</v>
      </c>
      <c r="Z71" s="318" t="s">
        <v>75</v>
      </c>
      <c r="AA71" s="318">
        <v>840</v>
      </c>
      <c r="AB71" s="318" t="s">
        <v>134</v>
      </c>
      <c r="AC71" s="318" t="s">
        <v>75</v>
      </c>
      <c r="AD71" s="318" t="s">
        <v>75</v>
      </c>
      <c r="AE71" s="318" t="s">
        <v>75</v>
      </c>
      <c r="AF71" s="318" t="s">
        <v>75</v>
      </c>
      <c r="AG71" s="318" t="s">
        <v>75</v>
      </c>
      <c r="AH71" s="318" t="s">
        <v>75</v>
      </c>
      <c r="AI71" s="318" t="s">
        <v>75</v>
      </c>
      <c r="AJ71" s="301">
        <f t="shared" si="7"/>
        <v>840</v>
      </c>
      <c r="AK71" s="318">
        <v>11066</v>
      </c>
      <c r="AL71" s="318">
        <v>8117</v>
      </c>
      <c r="AM71" s="319"/>
      <c r="AN71" s="319"/>
      <c r="AO71" s="319"/>
      <c r="AP71" s="319"/>
      <c r="AQ71" s="319"/>
      <c r="AR71" s="319"/>
      <c r="AS71" s="319" t="s">
        <v>75</v>
      </c>
      <c r="AT71" s="319" t="s">
        <v>75</v>
      </c>
      <c r="AU71" s="320" t="s">
        <v>567</v>
      </c>
    </row>
    <row r="72" spans="1:47" s="266" customFormat="1" ht="18.75" customHeight="1">
      <c r="A72" s="260">
        <v>181</v>
      </c>
      <c r="B72" s="316" t="s">
        <v>85</v>
      </c>
      <c r="C72" s="316" t="s">
        <v>1261</v>
      </c>
      <c r="D72" s="317">
        <v>40299</v>
      </c>
      <c r="E72" s="317">
        <v>40817</v>
      </c>
      <c r="F72" s="316" t="s">
        <v>570</v>
      </c>
      <c r="G72" s="252" t="s">
        <v>1454</v>
      </c>
      <c r="H72" s="266" t="s">
        <v>954</v>
      </c>
      <c r="I72" s="278" t="s">
        <v>2438</v>
      </c>
      <c r="J72" s="318">
        <v>325000</v>
      </c>
      <c r="K72" s="318">
        <v>32667430</v>
      </c>
      <c r="L72" s="318">
        <v>30526980</v>
      </c>
      <c r="M72" s="318">
        <v>30526980</v>
      </c>
      <c r="N72" s="256">
        <f t="shared" si="6"/>
        <v>93.929169230769233</v>
      </c>
      <c r="O72" s="318">
        <v>105</v>
      </c>
      <c r="P72" s="318">
        <v>600000</v>
      </c>
      <c r="Q72" s="318">
        <v>601000</v>
      </c>
      <c r="R72" s="318">
        <v>601000</v>
      </c>
      <c r="S72" s="318" t="s">
        <v>233</v>
      </c>
      <c r="T72" s="318" t="s">
        <v>75</v>
      </c>
      <c r="U72" s="318">
        <v>511580</v>
      </c>
      <c r="V72" s="318">
        <v>117050</v>
      </c>
      <c r="W72" s="318">
        <v>117050</v>
      </c>
      <c r="X72" s="349">
        <f>W72/R72</f>
        <v>0.19475873544093178</v>
      </c>
      <c r="Y72" s="318" t="s">
        <v>134</v>
      </c>
      <c r="Z72" s="318" t="s">
        <v>134</v>
      </c>
      <c r="AA72" s="318" t="s">
        <v>134</v>
      </c>
      <c r="AB72" s="318" t="s">
        <v>134</v>
      </c>
      <c r="AC72" s="318" t="s">
        <v>2</v>
      </c>
      <c r="AD72" s="318" t="s">
        <v>75</v>
      </c>
      <c r="AE72" s="318" t="s">
        <v>75</v>
      </c>
      <c r="AF72" s="318" t="s">
        <v>75</v>
      </c>
      <c r="AG72" s="318" t="s">
        <v>75</v>
      </c>
      <c r="AH72" s="318">
        <v>343</v>
      </c>
      <c r="AI72" s="318" t="s">
        <v>75</v>
      </c>
      <c r="AJ72" s="301">
        <f t="shared" si="7"/>
        <v>343</v>
      </c>
      <c r="AK72" s="318">
        <v>732467</v>
      </c>
      <c r="AL72" s="318">
        <v>731561</v>
      </c>
      <c r="AM72" s="319"/>
      <c r="AN72" s="319"/>
      <c r="AO72" s="319"/>
      <c r="AP72" s="319"/>
      <c r="AQ72" s="321"/>
      <c r="AR72" s="319"/>
      <c r="AS72" s="319" t="s">
        <v>75</v>
      </c>
      <c r="AT72" s="319" t="s">
        <v>75</v>
      </c>
      <c r="AU72" s="322" t="s">
        <v>571</v>
      </c>
    </row>
    <row r="73" spans="1:47" s="266" customFormat="1" ht="15.75" customHeight="1">
      <c r="A73" s="260">
        <v>182</v>
      </c>
      <c r="B73" s="316" t="s">
        <v>244</v>
      </c>
      <c r="C73" s="316" t="s">
        <v>1299</v>
      </c>
      <c r="D73" s="317">
        <v>40210</v>
      </c>
      <c r="E73" s="317">
        <v>40330</v>
      </c>
      <c r="F73" s="316" t="s">
        <v>967</v>
      </c>
      <c r="G73" s="252" t="s">
        <v>1449</v>
      </c>
      <c r="H73" s="266" t="s">
        <v>968</v>
      </c>
      <c r="I73" s="254" t="s">
        <v>2331</v>
      </c>
      <c r="J73" s="318">
        <v>16561</v>
      </c>
      <c r="K73" s="318">
        <v>51028</v>
      </c>
      <c r="L73" s="318">
        <v>50432</v>
      </c>
      <c r="M73" s="318">
        <v>50432</v>
      </c>
      <c r="N73" s="256">
        <f t="shared" si="6"/>
        <v>3.0452267375158506</v>
      </c>
      <c r="O73" s="318">
        <v>99</v>
      </c>
      <c r="P73" s="318"/>
      <c r="Q73" s="318"/>
      <c r="R73" s="318"/>
      <c r="S73" s="318"/>
      <c r="T73" s="318"/>
      <c r="U73" s="318"/>
      <c r="V73" s="318">
        <v>233</v>
      </c>
      <c r="W73" s="318">
        <v>475</v>
      </c>
      <c r="X73" s="318"/>
      <c r="Y73" s="318">
        <v>12576</v>
      </c>
      <c r="Z73" s="318"/>
      <c r="AA73" s="318">
        <v>12576</v>
      </c>
      <c r="AB73" s="318">
        <v>127</v>
      </c>
      <c r="AC73" s="318"/>
      <c r="AD73" s="318"/>
      <c r="AE73" s="318"/>
      <c r="AF73" s="318"/>
      <c r="AG73" s="318"/>
      <c r="AH73" s="318"/>
      <c r="AI73" s="318"/>
      <c r="AJ73" s="301">
        <f t="shared" si="7"/>
        <v>12576</v>
      </c>
      <c r="AK73" s="318">
        <v>233</v>
      </c>
      <c r="AL73" s="318">
        <v>230.67</v>
      </c>
      <c r="AM73" s="319"/>
      <c r="AN73" s="319"/>
      <c r="AO73" s="319"/>
      <c r="AP73" s="319"/>
      <c r="AQ73" s="319"/>
      <c r="AR73" s="319"/>
      <c r="AS73" s="319"/>
      <c r="AT73" s="319"/>
      <c r="AU73" s="320" t="s">
        <v>969</v>
      </c>
    </row>
    <row r="74" spans="1:47" s="266" customFormat="1" ht="15" customHeight="1">
      <c r="A74" s="260">
        <v>183</v>
      </c>
      <c r="B74" s="316" t="s">
        <v>1040</v>
      </c>
      <c r="C74" s="316" t="s">
        <v>1286</v>
      </c>
      <c r="D74" s="317">
        <v>40179</v>
      </c>
      <c r="E74" s="317">
        <v>40483</v>
      </c>
      <c r="F74" s="316" t="s">
        <v>914</v>
      </c>
      <c r="G74" s="252" t="s">
        <v>1449</v>
      </c>
      <c r="H74" s="266" t="s">
        <v>1041</v>
      </c>
      <c r="I74" s="254" t="s">
        <v>2331</v>
      </c>
      <c r="J74" s="318">
        <v>35065</v>
      </c>
      <c r="K74" s="318">
        <v>34505</v>
      </c>
      <c r="L74" s="318">
        <v>32841</v>
      </c>
      <c r="M74" s="318">
        <v>32841</v>
      </c>
      <c r="N74" s="256">
        <f t="shared" si="6"/>
        <v>0.93657493226864397</v>
      </c>
      <c r="O74" s="318">
        <v>95</v>
      </c>
      <c r="P74" s="318"/>
      <c r="Q74" s="318"/>
      <c r="R74" s="318"/>
      <c r="S74" s="318"/>
      <c r="T74" s="318"/>
      <c r="U74" s="318">
        <v>35065</v>
      </c>
      <c r="V74" s="318"/>
      <c r="W74" s="318"/>
      <c r="X74" s="318"/>
      <c r="Y74" s="318"/>
      <c r="Z74" s="318"/>
      <c r="AA74" s="318"/>
      <c r="AB74" s="318"/>
      <c r="AC74" s="318"/>
      <c r="AD74" s="318"/>
      <c r="AE74" s="318"/>
      <c r="AF74" s="318"/>
      <c r="AG74" s="318"/>
      <c r="AH74" s="318"/>
      <c r="AI74" s="318"/>
      <c r="AJ74" s="301">
        <f t="shared" si="7"/>
        <v>0</v>
      </c>
      <c r="AK74" s="318"/>
      <c r="AL74" s="318"/>
      <c r="AM74" s="319"/>
      <c r="AN74" s="319"/>
      <c r="AO74" s="319"/>
      <c r="AP74" s="319"/>
      <c r="AQ74" s="319"/>
      <c r="AR74" s="319"/>
      <c r="AS74" s="319"/>
      <c r="AT74" s="319"/>
      <c r="AU74" s="319" t="s">
        <v>1042</v>
      </c>
    </row>
    <row r="75" spans="1:47" s="266" customFormat="1" ht="12.75" customHeight="1">
      <c r="A75" s="260">
        <v>184</v>
      </c>
      <c r="B75" s="316" t="s">
        <v>1043</v>
      </c>
      <c r="C75" s="316" t="s">
        <v>1299</v>
      </c>
      <c r="D75" s="317">
        <v>40269</v>
      </c>
      <c r="E75" s="317">
        <v>40483</v>
      </c>
      <c r="F75" s="316" t="s">
        <v>1044</v>
      </c>
      <c r="G75" s="252" t="s">
        <v>1453</v>
      </c>
      <c r="H75" s="266" t="s">
        <v>1045</v>
      </c>
      <c r="I75" s="254" t="s">
        <v>2331</v>
      </c>
      <c r="J75" s="318">
        <v>250</v>
      </c>
      <c r="K75" s="318">
        <v>36139</v>
      </c>
      <c r="L75" s="318">
        <v>34805</v>
      </c>
      <c r="M75" s="318">
        <v>34805</v>
      </c>
      <c r="N75" s="256">
        <f t="shared" si="6"/>
        <v>139.22</v>
      </c>
      <c r="O75" s="318">
        <v>96</v>
      </c>
      <c r="P75" s="318"/>
      <c r="Q75" s="318"/>
      <c r="R75" s="318"/>
      <c r="S75" s="318"/>
      <c r="T75" s="318"/>
      <c r="U75" s="318"/>
      <c r="V75" s="318">
        <v>1500</v>
      </c>
      <c r="W75" s="318">
        <v>1440</v>
      </c>
      <c r="X75" s="318"/>
      <c r="Y75" s="318"/>
      <c r="Z75" s="318"/>
      <c r="AA75" s="318"/>
      <c r="AB75" s="318"/>
      <c r="AC75" s="318"/>
      <c r="AD75" s="318"/>
      <c r="AE75" s="318">
        <v>100</v>
      </c>
      <c r="AF75" s="318"/>
      <c r="AG75" s="318"/>
      <c r="AH75" s="318"/>
      <c r="AI75" s="318"/>
      <c r="AJ75" s="301">
        <f t="shared" si="7"/>
        <v>0</v>
      </c>
      <c r="AK75" s="318">
        <v>1250</v>
      </c>
      <c r="AL75" s="318">
        <v>1200</v>
      </c>
      <c r="AM75" s="319"/>
      <c r="AN75" s="319"/>
      <c r="AO75" s="319"/>
      <c r="AP75" s="319"/>
      <c r="AQ75" s="319"/>
      <c r="AR75" s="319"/>
      <c r="AS75" s="319"/>
      <c r="AT75" s="319"/>
      <c r="AU75" s="319" t="s">
        <v>1046</v>
      </c>
    </row>
    <row r="76" spans="1:47" s="266" customFormat="1" ht="12.75" customHeight="1">
      <c r="A76" s="260">
        <v>185</v>
      </c>
      <c r="B76" s="316" t="s">
        <v>932</v>
      </c>
      <c r="C76" s="316" t="s">
        <v>1260</v>
      </c>
      <c r="D76" s="317">
        <v>40330</v>
      </c>
      <c r="E76" s="317">
        <v>40483</v>
      </c>
      <c r="F76" s="316" t="s">
        <v>1047</v>
      </c>
      <c r="G76" s="252" t="s">
        <v>1449</v>
      </c>
      <c r="H76" s="266" t="s">
        <v>1048</v>
      </c>
      <c r="I76" s="254" t="s">
        <v>2331</v>
      </c>
      <c r="J76" s="318">
        <v>227000</v>
      </c>
      <c r="K76" s="318">
        <v>81579</v>
      </c>
      <c r="L76" s="318">
        <v>81579</v>
      </c>
      <c r="M76" s="318">
        <v>78023</v>
      </c>
      <c r="N76" s="256">
        <f t="shared" si="6"/>
        <v>0.34371365638766521</v>
      </c>
      <c r="O76" s="318">
        <v>100</v>
      </c>
      <c r="P76" s="318"/>
      <c r="Q76" s="318"/>
      <c r="R76" s="318"/>
      <c r="S76" s="318"/>
      <c r="T76" s="318"/>
      <c r="U76" s="318"/>
      <c r="V76" s="318"/>
      <c r="W76" s="318"/>
      <c r="X76" s="318"/>
      <c r="Y76" s="318"/>
      <c r="Z76" s="318"/>
      <c r="AA76" s="318">
        <v>226041</v>
      </c>
      <c r="AB76" s="318">
        <v>600</v>
      </c>
      <c r="AC76" s="318"/>
      <c r="AD76" s="318"/>
      <c r="AE76" s="318"/>
      <c r="AF76" s="318"/>
      <c r="AG76" s="318"/>
      <c r="AH76" s="318"/>
      <c r="AI76" s="318"/>
      <c r="AJ76" s="301">
        <f t="shared" si="7"/>
        <v>226041</v>
      </c>
      <c r="AK76" s="318"/>
      <c r="AL76" s="318"/>
      <c r="AM76" s="319"/>
      <c r="AN76" s="319"/>
      <c r="AO76" s="319"/>
      <c r="AP76" s="319"/>
      <c r="AQ76" s="319"/>
      <c r="AR76" s="319"/>
      <c r="AS76" s="319"/>
      <c r="AT76" s="319"/>
      <c r="AU76" s="319" t="s">
        <v>1049</v>
      </c>
    </row>
    <row r="77" spans="1:47" s="266" customFormat="1" ht="14.25" customHeight="1">
      <c r="A77" s="260">
        <v>186</v>
      </c>
      <c r="B77" s="316" t="s">
        <v>28</v>
      </c>
      <c r="C77" s="316" t="s">
        <v>1261</v>
      </c>
      <c r="D77" s="317">
        <v>40330</v>
      </c>
      <c r="E77" s="317">
        <v>40452</v>
      </c>
      <c r="F77" s="316" t="s">
        <v>1053</v>
      </c>
      <c r="G77" s="252" t="s">
        <v>1451</v>
      </c>
      <c r="H77" s="266" t="s">
        <v>1054</v>
      </c>
      <c r="I77" s="254" t="s">
        <v>2331</v>
      </c>
      <c r="J77" s="318">
        <v>14700</v>
      </c>
      <c r="K77" s="318">
        <v>187128</v>
      </c>
      <c r="L77" s="318">
        <v>187128</v>
      </c>
      <c r="M77" s="318">
        <v>76385</v>
      </c>
      <c r="N77" s="256">
        <f t="shared" si="6"/>
        <v>5.1962585034013609</v>
      </c>
      <c r="O77" s="318">
        <v>100</v>
      </c>
      <c r="P77" s="318">
        <v>1260</v>
      </c>
      <c r="Q77" s="318">
        <v>1260</v>
      </c>
      <c r="R77" s="318">
        <v>1260</v>
      </c>
      <c r="S77" s="318"/>
      <c r="T77" s="318"/>
      <c r="U77" s="318">
        <v>6707</v>
      </c>
      <c r="V77" s="318">
        <v>14619</v>
      </c>
      <c r="W77" s="318">
        <v>14619</v>
      </c>
      <c r="X77" s="349">
        <f>W77/R77</f>
        <v>11.602380952380953</v>
      </c>
      <c r="Y77" s="318"/>
      <c r="Z77" s="318">
        <v>3689</v>
      </c>
      <c r="AA77" s="318">
        <v>6707</v>
      </c>
      <c r="AB77" s="318"/>
      <c r="AC77" s="318"/>
      <c r="AD77" s="318"/>
      <c r="AE77" s="318"/>
      <c r="AF77" s="318"/>
      <c r="AG77" s="318"/>
      <c r="AH77" s="318">
        <v>7355</v>
      </c>
      <c r="AI77" s="318"/>
      <c r="AJ77" s="301">
        <f t="shared" si="7"/>
        <v>17751</v>
      </c>
      <c r="AK77" s="318">
        <v>25000</v>
      </c>
      <c r="AL77" s="318">
        <v>25000</v>
      </c>
      <c r="AM77" s="319"/>
      <c r="AN77" s="319"/>
      <c r="AO77" s="319"/>
      <c r="AP77" s="319"/>
      <c r="AQ77" s="319"/>
      <c r="AR77" s="319"/>
      <c r="AS77" s="319"/>
      <c r="AT77" s="319"/>
      <c r="AU77" s="319" t="s">
        <v>1055</v>
      </c>
    </row>
    <row r="78" spans="1:47" s="266" customFormat="1" ht="15" customHeight="1">
      <c r="A78" s="260">
        <v>187</v>
      </c>
      <c r="B78" s="316" t="s">
        <v>196</v>
      </c>
      <c r="C78" s="316" t="s">
        <v>1260</v>
      </c>
      <c r="D78" s="317">
        <v>40299</v>
      </c>
      <c r="E78" s="317">
        <v>40452</v>
      </c>
      <c r="F78" s="316" t="s">
        <v>1056</v>
      </c>
      <c r="G78" s="252" t="s">
        <v>1451</v>
      </c>
      <c r="H78" s="266" t="s">
        <v>1057</v>
      </c>
      <c r="I78" s="254" t="s">
        <v>2331</v>
      </c>
      <c r="J78" s="318">
        <v>1200</v>
      </c>
      <c r="K78" s="318">
        <v>184879</v>
      </c>
      <c r="L78" s="318">
        <v>184879</v>
      </c>
      <c r="M78" s="318">
        <v>184879</v>
      </c>
      <c r="N78" s="256">
        <f t="shared" si="6"/>
        <v>154.06583333333333</v>
      </c>
      <c r="O78" s="318">
        <v>100</v>
      </c>
      <c r="P78" s="318">
        <v>1200</v>
      </c>
      <c r="Q78" s="318">
        <v>1200</v>
      </c>
      <c r="R78" s="318">
        <v>1200</v>
      </c>
      <c r="S78" s="318"/>
      <c r="T78" s="318"/>
      <c r="U78" s="318">
        <v>1200</v>
      </c>
      <c r="V78" s="318">
        <v>6120</v>
      </c>
      <c r="W78" s="318">
        <v>29</v>
      </c>
      <c r="X78" s="349">
        <f>W78/R78</f>
        <v>2.4166666666666666E-2</v>
      </c>
      <c r="Y78" s="318"/>
      <c r="Z78" s="318"/>
      <c r="AA78" s="318">
        <v>1200</v>
      </c>
      <c r="AB78" s="318"/>
      <c r="AC78" s="318"/>
      <c r="AD78" s="318"/>
      <c r="AE78" s="318"/>
      <c r="AF78" s="318"/>
      <c r="AG78" s="318"/>
      <c r="AH78" s="318"/>
      <c r="AI78" s="318"/>
      <c r="AJ78" s="301">
        <f t="shared" si="7"/>
        <v>1200</v>
      </c>
      <c r="AK78" s="318"/>
      <c r="AL78" s="318"/>
      <c r="AM78" s="319"/>
      <c r="AN78" s="319"/>
      <c r="AO78" s="319"/>
      <c r="AP78" s="319"/>
      <c r="AQ78" s="319"/>
      <c r="AR78" s="319"/>
      <c r="AS78" s="319"/>
      <c r="AT78" s="319"/>
      <c r="AU78" s="319" t="s">
        <v>1058</v>
      </c>
    </row>
    <row r="79" spans="1:47" s="266" customFormat="1" ht="11.25" customHeight="1">
      <c r="A79" s="260">
        <v>188</v>
      </c>
      <c r="B79" s="316" t="s">
        <v>25</v>
      </c>
      <c r="C79" s="316" t="s">
        <v>1260</v>
      </c>
      <c r="D79" s="317">
        <v>40238</v>
      </c>
      <c r="E79" s="317">
        <v>40422</v>
      </c>
      <c r="F79" s="316" t="s">
        <v>5</v>
      </c>
      <c r="G79" s="252" t="s">
        <v>1451</v>
      </c>
      <c r="H79" s="266" t="s">
        <v>1061</v>
      </c>
      <c r="I79" s="254" t="s">
        <v>2331</v>
      </c>
      <c r="J79" s="318">
        <v>3150</v>
      </c>
      <c r="K79" s="318">
        <v>286219</v>
      </c>
      <c r="L79" s="318">
        <v>286219</v>
      </c>
      <c r="M79" s="318">
        <v>188419</v>
      </c>
      <c r="N79" s="256">
        <f t="shared" si="6"/>
        <v>59.815555555555555</v>
      </c>
      <c r="O79" s="318">
        <v>100</v>
      </c>
      <c r="P79" s="318"/>
      <c r="Q79" s="318"/>
      <c r="R79" s="318"/>
      <c r="S79" s="318"/>
      <c r="T79" s="318"/>
      <c r="U79" s="318">
        <v>3150</v>
      </c>
      <c r="V79" s="318">
        <v>69900</v>
      </c>
      <c r="W79" s="318">
        <v>499</v>
      </c>
      <c r="X79" s="318"/>
      <c r="Y79" s="318"/>
      <c r="Z79" s="318"/>
      <c r="AA79" s="318"/>
      <c r="AB79" s="318">
        <v>360</v>
      </c>
      <c r="AC79" s="318"/>
      <c r="AD79" s="318"/>
      <c r="AE79" s="318"/>
      <c r="AF79" s="318"/>
      <c r="AG79" s="318"/>
      <c r="AH79" s="318"/>
      <c r="AI79" s="318"/>
      <c r="AJ79" s="301">
        <f t="shared" si="7"/>
        <v>0</v>
      </c>
      <c r="AK79" s="318"/>
      <c r="AL79" s="318"/>
      <c r="AM79" s="319"/>
      <c r="AN79" s="319"/>
      <c r="AO79" s="319"/>
      <c r="AP79" s="319"/>
      <c r="AQ79" s="319"/>
      <c r="AR79" s="319"/>
      <c r="AS79" s="319"/>
      <c r="AT79" s="319"/>
      <c r="AU79" s="322" t="s">
        <v>1062</v>
      </c>
    </row>
    <row r="80" spans="1:47" s="266" customFormat="1" ht="12" customHeight="1">
      <c r="A80" s="260">
        <v>189</v>
      </c>
      <c r="B80" s="316" t="s">
        <v>148</v>
      </c>
      <c r="C80" s="316" t="s">
        <v>1299</v>
      </c>
      <c r="D80" s="317">
        <v>40299</v>
      </c>
      <c r="E80" s="317">
        <v>40360</v>
      </c>
      <c r="F80" s="316" t="s">
        <v>168</v>
      </c>
      <c r="G80" s="273" t="s">
        <v>1449</v>
      </c>
      <c r="H80" s="266" t="s">
        <v>1065</v>
      </c>
      <c r="I80" s="254" t="s">
        <v>2331</v>
      </c>
      <c r="J80" s="318">
        <v>145000</v>
      </c>
      <c r="K80" s="318">
        <v>178676</v>
      </c>
      <c r="L80" s="318">
        <v>171839</v>
      </c>
      <c r="M80" s="318">
        <v>171839</v>
      </c>
      <c r="N80" s="256">
        <f t="shared" si="6"/>
        <v>1.1850965517241379</v>
      </c>
      <c r="O80" s="318">
        <v>96</v>
      </c>
      <c r="P80" s="318">
        <v>145000</v>
      </c>
      <c r="Q80" s="318">
        <v>2715</v>
      </c>
      <c r="R80" s="318">
        <v>145000</v>
      </c>
      <c r="S80" s="318" t="s">
        <v>2</v>
      </c>
      <c r="T80" s="318">
        <v>40</v>
      </c>
      <c r="U80" s="318">
        <v>145000</v>
      </c>
      <c r="V80" s="318">
        <v>45819</v>
      </c>
      <c r="W80" s="318">
        <v>43986.239999999998</v>
      </c>
      <c r="X80" s="349">
        <f>W80/R80</f>
        <v>0.30335337931034484</v>
      </c>
      <c r="Y80" s="318"/>
      <c r="Z80" s="318"/>
      <c r="AA80" s="318"/>
      <c r="AB80" s="318">
        <v>143</v>
      </c>
      <c r="AC80" s="318"/>
      <c r="AD80" s="318" t="s">
        <v>2</v>
      </c>
      <c r="AE80" s="318"/>
      <c r="AF80" s="318"/>
      <c r="AG80" s="318"/>
      <c r="AH80" s="318">
        <v>427</v>
      </c>
      <c r="AI80" s="318" t="s">
        <v>75</v>
      </c>
      <c r="AJ80" s="301">
        <f t="shared" si="7"/>
        <v>427</v>
      </c>
      <c r="AK80" s="318">
        <v>16043</v>
      </c>
      <c r="AL80" s="318">
        <v>13417</v>
      </c>
      <c r="AM80" s="319"/>
      <c r="AN80" s="319"/>
      <c r="AO80" s="319"/>
      <c r="AP80" s="319"/>
      <c r="AQ80" s="319"/>
      <c r="AR80" s="319"/>
      <c r="AS80" s="319"/>
      <c r="AT80" s="319"/>
      <c r="AU80" s="323" t="s">
        <v>1064</v>
      </c>
    </row>
    <row r="81" spans="1:47" s="266" customFormat="1" ht="12.75" customHeight="1">
      <c r="A81" s="260">
        <v>190</v>
      </c>
      <c r="B81" s="316" t="s">
        <v>333</v>
      </c>
      <c r="C81" s="316" t="s">
        <v>1278</v>
      </c>
      <c r="D81" s="317">
        <v>40238</v>
      </c>
      <c r="E81" s="317">
        <v>40330</v>
      </c>
      <c r="F81" s="316" t="s">
        <v>1120</v>
      </c>
      <c r="G81" s="252" t="s">
        <v>1451</v>
      </c>
      <c r="H81" s="266" t="s">
        <v>1070</v>
      </c>
      <c r="I81" s="254" t="s">
        <v>2331</v>
      </c>
      <c r="J81" s="318">
        <v>10000</v>
      </c>
      <c r="K81" s="318">
        <v>200000</v>
      </c>
      <c r="L81" s="318">
        <v>200000</v>
      </c>
      <c r="M81" s="318">
        <v>178459</v>
      </c>
      <c r="N81" s="256">
        <f t="shared" si="6"/>
        <v>17.8459</v>
      </c>
      <c r="O81" s="318">
        <v>100</v>
      </c>
      <c r="P81" s="318" t="s">
        <v>75</v>
      </c>
      <c r="Q81" s="318">
        <v>800</v>
      </c>
      <c r="R81" s="318">
        <v>800</v>
      </c>
      <c r="S81" s="318" t="s">
        <v>233</v>
      </c>
      <c r="T81" s="318" t="s">
        <v>134</v>
      </c>
      <c r="U81" s="318">
        <v>7500</v>
      </c>
      <c r="V81" s="318" t="s">
        <v>66</v>
      </c>
      <c r="W81" s="318" t="s">
        <v>66</v>
      </c>
      <c r="X81" s="349"/>
      <c r="Y81" s="318"/>
      <c r="Z81" s="318">
        <v>300</v>
      </c>
      <c r="AA81" s="318">
        <v>7500</v>
      </c>
      <c r="AB81" s="318" t="s">
        <v>134</v>
      </c>
      <c r="AC81" s="318"/>
      <c r="AD81" s="318"/>
      <c r="AE81" s="318"/>
      <c r="AF81" s="318"/>
      <c r="AG81" s="318"/>
      <c r="AH81" s="318"/>
      <c r="AI81" s="318"/>
      <c r="AJ81" s="301">
        <f t="shared" si="7"/>
        <v>7800</v>
      </c>
      <c r="AK81" s="318">
        <v>5000</v>
      </c>
      <c r="AL81" s="318">
        <v>4154</v>
      </c>
      <c r="AM81" s="319"/>
      <c r="AN81" s="319"/>
      <c r="AO81" s="319"/>
      <c r="AP81" s="319"/>
      <c r="AQ81" s="319"/>
      <c r="AR81" s="319"/>
      <c r="AS81" s="319"/>
      <c r="AT81" s="319"/>
      <c r="AU81" s="323" t="s">
        <v>1069</v>
      </c>
    </row>
    <row r="82" spans="1:47" s="266" customFormat="1" ht="19.5" customHeight="1">
      <c r="A82" s="260">
        <v>191</v>
      </c>
      <c r="B82" s="316" t="s">
        <v>452</v>
      </c>
      <c r="C82" s="316" t="s">
        <v>1278</v>
      </c>
      <c r="D82" s="317">
        <v>40179</v>
      </c>
      <c r="E82" s="317">
        <v>40360</v>
      </c>
      <c r="F82" s="316" t="s">
        <v>1120</v>
      </c>
      <c r="G82" s="252" t="s">
        <v>1451</v>
      </c>
      <c r="H82" s="266" t="s">
        <v>1121</v>
      </c>
      <c r="I82" s="254" t="s">
        <v>2331</v>
      </c>
      <c r="J82" s="318">
        <v>3500</v>
      </c>
      <c r="K82" s="318">
        <v>257914</v>
      </c>
      <c r="L82" s="318">
        <v>257914</v>
      </c>
      <c r="M82" s="318">
        <v>245024</v>
      </c>
      <c r="N82" s="256">
        <f t="shared" si="6"/>
        <v>70.006857142857143</v>
      </c>
      <c r="O82" s="318">
        <v>100</v>
      </c>
      <c r="P82" s="318" t="s">
        <v>75</v>
      </c>
      <c r="Q82" s="318" t="s">
        <v>75</v>
      </c>
      <c r="R82" s="318" t="s">
        <v>75</v>
      </c>
      <c r="S82" s="318" t="s">
        <v>233</v>
      </c>
      <c r="T82" s="318">
        <v>100</v>
      </c>
      <c r="U82" s="318">
        <v>3500</v>
      </c>
      <c r="V82" s="318" t="s">
        <v>66</v>
      </c>
      <c r="W82" s="318" t="s">
        <v>66</v>
      </c>
      <c r="X82" s="318"/>
      <c r="Y82" s="318"/>
      <c r="Z82" s="318">
        <v>3500</v>
      </c>
      <c r="AA82" s="318"/>
      <c r="AB82" s="318">
        <v>100</v>
      </c>
      <c r="AC82" s="318"/>
      <c r="AD82" s="318"/>
      <c r="AE82" s="318"/>
      <c r="AF82" s="318"/>
      <c r="AG82" s="318"/>
      <c r="AH82" s="318"/>
      <c r="AI82" s="318"/>
      <c r="AJ82" s="301">
        <f t="shared" si="7"/>
        <v>3500</v>
      </c>
      <c r="AK82" s="318" t="s">
        <v>66</v>
      </c>
      <c r="AL82" s="318" t="s">
        <v>66</v>
      </c>
      <c r="AM82" s="319"/>
      <c r="AN82" s="319"/>
      <c r="AO82" s="319"/>
      <c r="AP82" s="319"/>
      <c r="AQ82" s="319"/>
      <c r="AR82" s="319"/>
      <c r="AS82" s="319"/>
      <c r="AT82" s="319"/>
      <c r="AU82" s="266" t="s">
        <v>1122</v>
      </c>
    </row>
    <row r="83" spans="1:47" s="266" customFormat="1" ht="16.5" customHeight="1">
      <c r="A83" s="260">
        <v>192</v>
      </c>
      <c r="B83" s="316" t="s">
        <v>1000</v>
      </c>
      <c r="C83" s="316" t="s">
        <v>1261</v>
      </c>
      <c r="D83" s="317">
        <v>40210</v>
      </c>
      <c r="E83" s="317">
        <v>40299</v>
      </c>
      <c r="F83" s="316" t="s">
        <v>1129</v>
      </c>
      <c r="G83" s="252" t="s">
        <v>1450</v>
      </c>
      <c r="H83" s="266" t="s">
        <v>1128</v>
      </c>
      <c r="I83" s="254" t="s">
        <v>2331</v>
      </c>
      <c r="J83" s="318">
        <v>1671</v>
      </c>
      <c r="K83" s="318">
        <v>150000</v>
      </c>
      <c r="L83" s="318">
        <v>150000</v>
      </c>
      <c r="M83" s="318">
        <v>149974</v>
      </c>
      <c r="N83" s="256">
        <f t="shared" si="6"/>
        <v>89.751047277079593</v>
      </c>
      <c r="O83" s="318">
        <v>100</v>
      </c>
      <c r="P83" s="318">
        <v>1671</v>
      </c>
      <c r="Q83" s="318" t="s">
        <v>75</v>
      </c>
      <c r="R83" s="318">
        <v>1671</v>
      </c>
      <c r="S83" s="318" t="s">
        <v>233</v>
      </c>
      <c r="T83" s="318">
        <v>18</v>
      </c>
      <c r="U83" s="318">
        <v>1671</v>
      </c>
      <c r="V83" s="318">
        <v>10000</v>
      </c>
      <c r="W83" s="318">
        <v>6599</v>
      </c>
      <c r="X83" s="349">
        <f>W83/R83</f>
        <v>3.9491322561340514</v>
      </c>
      <c r="Y83" s="318"/>
      <c r="Z83" s="318">
        <v>265</v>
      </c>
      <c r="AA83" s="318"/>
      <c r="AB83" s="318">
        <v>18</v>
      </c>
      <c r="AC83" s="318"/>
      <c r="AD83" s="318"/>
      <c r="AE83" s="318">
        <v>500</v>
      </c>
      <c r="AF83" s="318"/>
      <c r="AG83" s="318"/>
      <c r="AH83" s="318"/>
      <c r="AI83" s="318"/>
      <c r="AJ83" s="301">
        <f t="shared" si="7"/>
        <v>265</v>
      </c>
      <c r="AK83" s="318" t="s">
        <v>66</v>
      </c>
      <c r="AL83" s="318" t="s">
        <v>66</v>
      </c>
      <c r="AM83" s="319"/>
      <c r="AN83" s="319"/>
      <c r="AO83" s="319"/>
      <c r="AP83" s="319"/>
      <c r="AQ83" s="319"/>
      <c r="AR83" s="319"/>
      <c r="AS83" s="319"/>
      <c r="AT83" s="319"/>
      <c r="AU83" s="266" t="s">
        <v>1127</v>
      </c>
    </row>
    <row r="84" spans="1:47" s="266" customFormat="1" ht="12.75" customHeight="1">
      <c r="A84" s="260">
        <v>193</v>
      </c>
      <c r="B84" s="316" t="s">
        <v>28</v>
      </c>
      <c r="C84" s="316" t="s">
        <v>1261</v>
      </c>
      <c r="D84" s="317">
        <v>40330</v>
      </c>
      <c r="E84" s="317">
        <v>40330</v>
      </c>
      <c r="F84" s="316" t="s">
        <v>1134</v>
      </c>
      <c r="G84" s="252" t="s">
        <v>1451</v>
      </c>
      <c r="H84" s="266" t="s">
        <v>1133</v>
      </c>
      <c r="I84" s="254" t="s">
        <v>2331</v>
      </c>
      <c r="J84" s="318">
        <v>7000</v>
      </c>
      <c r="K84" s="318">
        <v>50001</v>
      </c>
      <c r="L84" s="318">
        <v>50000</v>
      </c>
      <c r="M84" s="318">
        <v>47525</v>
      </c>
      <c r="N84" s="256">
        <f t="shared" si="6"/>
        <v>6.7892857142857146</v>
      </c>
      <c r="O84" s="318">
        <v>100</v>
      </c>
      <c r="P84" s="318" t="s">
        <v>75</v>
      </c>
      <c r="Q84" s="318" t="s">
        <v>75</v>
      </c>
      <c r="R84" s="318" t="s">
        <v>75</v>
      </c>
      <c r="S84" s="318" t="s">
        <v>233</v>
      </c>
      <c r="T84" s="318" t="s">
        <v>134</v>
      </c>
      <c r="U84" s="318">
        <v>1489</v>
      </c>
      <c r="V84" s="318" t="s">
        <v>66</v>
      </c>
      <c r="W84" s="318" t="s">
        <v>66</v>
      </c>
      <c r="X84" s="318"/>
      <c r="Y84" s="318">
        <v>1813</v>
      </c>
      <c r="Z84" s="318"/>
      <c r="AA84" s="318">
        <v>1489</v>
      </c>
      <c r="AB84" s="318">
        <v>93</v>
      </c>
      <c r="AC84" s="318"/>
      <c r="AD84" s="318"/>
      <c r="AE84" s="318"/>
      <c r="AF84" s="318"/>
      <c r="AG84" s="318">
        <v>45</v>
      </c>
      <c r="AH84" s="318"/>
      <c r="AI84" s="318">
        <v>384</v>
      </c>
      <c r="AJ84" s="301">
        <f t="shared" si="7"/>
        <v>1489</v>
      </c>
      <c r="AK84" s="318" t="s">
        <v>66</v>
      </c>
      <c r="AL84" s="318" t="s">
        <v>66</v>
      </c>
      <c r="AM84" s="319"/>
      <c r="AN84" s="319"/>
      <c r="AO84" s="319"/>
      <c r="AP84" s="319"/>
      <c r="AQ84" s="319"/>
      <c r="AR84" s="319"/>
      <c r="AS84" s="319"/>
      <c r="AT84" s="319"/>
      <c r="AU84" s="266" t="s">
        <v>1132</v>
      </c>
    </row>
    <row r="85" spans="1:47" s="266" customFormat="1" ht="16.5" customHeight="1">
      <c r="A85" s="260">
        <v>194</v>
      </c>
      <c r="B85" s="316" t="s">
        <v>1135</v>
      </c>
      <c r="C85" s="316" t="s">
        <v>1261</v>
      </c>
      <c r="D85" s="317">
        <v>40179</v>
      </c>
      <c r="E85" s="317">
        <v>40422</v>
      </c>
      <c r="F85" s="316" t="s">
        <v>1195</v>
      </c>
      <c r="G85" s="252" t="s">
        <v>1453</v>
      </c>
      <c r="H85" s="266" t="s">
        <v>1194</v>
      </c>
      <c r="I85" s="254" t="s">
        <v>2331</v>
      </c>
      <c r="J85" s="318">
        <v>6000</v>
      </c>
      <c r="K85" s="318">
        <v>400000</v>
      </c>
      <c r="L85" s="318">
        <v>400003</v>
      </c>
      <c r="M85" s="318">
        <v>362592</v>
      </c>
      <c r="N85" s="256">
        <f t="shared" si="6"/>
        <v>60.432000000000002</v>
      </c>
      <c r="O85" s="318">
        <v>100</v>
      </c>
      <c r="P85" s="318" t="s">
        <v>75</v>
      </c>
      <c r="Q85" s="318" t="s">
        <v>75</v>
      </c>
      <c r="R85" s="318" t="s">
        <v>75</v>
      </c>
      <c r="S85" s="318" t="s">
        <v>233</v>
      </c>
      <c r="T85" s="318" t="s">
        <v>75</v>
      </c>
      <c r="U85" s="318" t="s">
        <v>75</v>
      </c>
      <c r="V85" s="318" t="s">
        <v>66</v>
      </c>
      <c r="W85" s="318" t="s">
        <v>66</v>
      </c>
      <c r="X85" s="318"/>
      <c r="Y85" s="318"/>
      <c r="Z85" s="318" t="s">
        <v>2</v>
      </c>
      <c r="AA85" s="318" t="s">
        <v>134</v>
      </c>
      <c r="AB85" s="318" t="s">
        <v>134</v>
      </c>
      <c r="AC85" s="318"/>
      <c r="AD85" s="318"/>
      <c r="AE85" s="318"/>
      <c r="AF85" s="318"/>
      <c r="AG85" s="318"/>
      <c r="AH85" s="318"/>
      <c r="AI85" s="318"/>
      <c r="AJ85" s="301">
        <f t="shared" si="7"/>
        <v>0</v>
      </c>
      <c r="AK85" s="318">
        <v>17250</v>
      </c>
      <c r="AL85" s="318">
        <v>18883</v>
      </c>
      <c r="AM85" s="319"/>
      <c r="AN85" s="319"/>
      <c r="AO85" s="319"/>
      <c r="AP85" s="319"/>
      <c r="AQ85" s="319"/>
      <c r="AR85" s="319"/>
      <c r="AS85" s="319"/>
      <c r="AT85" s="319"/>
      <c r="AU85" s="266" t="s">
        <v>1193</v>
      </c>
    </row>
    <row r="86" spans="1:47" s="266" customFormat="1" ht="16.5" customHeight="1">
      <c r="A86" s="260">
        <v>195</v>
      </c>
      <c r="B86" s="316" t="s">
        <v>1136</v>
      </c>
      <c r="C86" s="316" t="s">
        <v>1260</v>
      </c>
      <c r="D86" s="317">
        <v>40238</v>
      </c>
      <c r="E86" s="317">
        <v>40391</v>
      </c>
      <c r="F86" s="316" t="s">
        <v>5</v>
      </c>
      <c r="G86" s="252" t="s">
        <v>1451</v>
      </c>
      <c r="H86" s="266" t="s">
        <v>1197</v>
      </c>
      <c r="I86" s="254" t="s">
        <v>2331</v>
      </c>
      <c r="J86" s="318">
        <v>8640</v>
      </c>
      <c r="K86" s="318">
        <v>134552</v>
      </c>
      <c r="L86" s="318">
        <v>134552</v>
      </c>
      <c r="M86" s="318">
        <v>134552</v>
      </c>
      <c r="N86" s="256">
        <f t="shared" si="6"/>
        <v>15.573148148148148</v>
      </c>
      <c r="O86" s="318">
        <v>100</v>
      </c>
      <c r="P86" s="318" t="s">
        <v>75</v>
      </c>
      <c r="Q86" s="318" t="s">
        <v>75</v>
      </c>
      <c r="R86" s="318" t="s">
        <v>75</v>
      </c>
      <c r="S86" s="318" t="s">
        <v>233</v>
      </c>
      <c r="T86" s="318" t="s">
        <v>75</v>
      </c>
      <c r="U86" s="318">
        <v>4720</v>
      </c>
      <c r="V86" s="318" t="s">
        <v>66</v>
      </c>
      <c r="W86" s="318" t="s">
        <v>66</v>
      </c>
      <c r="X86" s="318"/>
      <c r="Y86" s="318"/>
      <c r="Z86" s="318"/>
      <c r="AA86" s="318"/>
      <c r="AB86" s="318">
        <v>40</v>
      </c>
      <c r="AC86" s="318"/>
      <c r="AD86" s="318"/>
      <c r="AE86" s="318"/>
      <c r="AF86" s="318"/>
      <c r="AG86" s="318"/>
      <c r="AH86" s="318"/>
      <c r="AI86" s="318"/>
      <c r="AJ86" s="301">
        <f t="shared" si="7"/>
        <v>0</v>
      </c>
      <c r="AK86" s="318">
        <v>3300</v>
      </c>
      <c r="AL86" s="318">
        <v>2891</v>
      </c>
      <c r="AM86" s="319"/>
      <c r="AN86" s="319"/>
      <c r="AO86" s="319"/>
      <c r="AP86" s="319"/>
      <c r="AQ86" s="319"/>
      <c r="AR86" s="319"/>
      <c r="AS86" s="319"/>
      <c r="AT86" s="319"/>
      <c r="AU86" s="266" t="s">
        <v>1196</v>
      </c>
    </row>
    <row r="87" spans="1:47" s="266" customFormat="1" ht="15" customHeight="1">
      <c r="A87" s="260">
        <v>196</v>
      </c>
      <c r="B87" s="316" t="s">
        <v>1137</v>
      </c>
      <c r="C87" s="316" t="s">
        <v>1299</v>
      </c>
      <c r="D87" s="317">
        <v>40238</v>
      </c>
      <c r="E87" s="317">
        <v>40360</v>
      </c>
      <c r="F87" s="316" t="s">
        <v>1202</v>
      </c>
      <c r="G87" s="252" t="s">
        <v>1452</v>
      </c>
      <c r="H87" s="266" t="s">
        <v>1201</v>
      </c>
      <c r="I87" s="254" t="s">
        <v>2331</v>
      </c>
      <c r="J87" s="318">
        <v>50000</v>
      </c>
      <c r="K87" s="318">
        <v>500000</v>
      </c>
      <c r="L87" s="318">
        <v>500000</v>
      </c>
      <c r="M87" s="318">
        <v>499752</v>
      </c>
      <c r="N87" s="256">
        <f t="shared" si="6"/>
        <v>9.9950399999999995</v>
      </c>
      <c r="O87" s="318">
        <v>100</v>
      </c>
      <c r="P87" s="318" t="s">
        <v>75</v>
      </c>
      <c r="Q87" s="318" t="s">
        <v>75</v>
      </c>
      <c r="R87" s="318" t="s">
        <v>75</v>
      </c>
      <c r="S87" s="318" t="s">
        <v>233</v>
      </c>
      <c r="T87" s="318" t="s">
        <v>75</v>
      </c>
      <c r="U87" s="318" t="s">
        <v>75</v>
      </c>
      <c r="V87" s="318" t="s">
        <v>66</v>
      </c>
      <c r="W87" s="318" t="s">
        <v>66</v>
      </c>
      <c r="X87" s="318"/>
      <c r="Y87" s="318">
        <v>54319</v>
      </c>
      <c r="Z87" s="318"/>
      <c r="AA87" s="318"/>
      <c r="AB87" s="318">
        <v>46917</v>
      </c>
      <c r="AC87" s="318"/>
      <c r="AD87" s="318"/>
      <c r="AE87" s="318"/>
      <c r="AF87" s="318"/>
      <c r="AG87" s="318"/>
      <c r="AH87" s="318">
        <v>900</v>
      </c>
      <c r="AI87" s="318"/>
      <c r="AJ87" s="301">
        <f t="shared" si="7"/>
        <v>900</v>
      </c>
      <c r="AK87" s="318">
        <v>252996</v>
      </c>
      <c r="AL87" s="318">
        <v>174502</v>
      </c>
      <c r="AM87" s="319"/>
      <c r="AN87" s="319"/>
      <c r="AO87" s="319"/>
      <c r="AP87" s="319"/>
      <c r="AQ87" s="319"/>
      <c r="AR87" s="319"/>
      <c r="AS87" s="319"/>
      <c r="AT87" s="319"/>
      <c r="AU87" s="266" t="s">
        <v>1200</v>
      </c>
    </row>
    <row r="88" spans="1:47" s="326" customFormat="1" ht="15.75" customHeight="1">
      <c r="A88" s="260">
        <v>197</v>
      </c>
      <c r="B88" s="324" t="s">
        <v>196</v>
      </c>
      <c r="C88" s="324" t="s">
        <v>1260</v>
      </c>
      <c r="D88" s="325">
        <v>40179</v>
      </c>
      <c r="E88" s="325">
        <v>40299</v>
      </c>
      <c r="F88" s="324" t="s">
        <v>24</v>
      </c>
      <c r="G88" s="252" t="s">
        <v>1454</v>
      </c>
      <c r="H88" s="326" t="s">
        <v>1206</v>
      </c>
      <c r="I88" s="254" t="s">
        <v>2331</v>
      </c>
      <c r="J88" s="327">
        <v>980</v>
      </c>
      <c r="K88" s="327">
        <v>132022</v>
      </c>
      <c r="L88" s="327">
        <v>132022</v>
      </c>
      <c r="M88" s="327">
        <v>131986</v>
      </c>
      <c r="N88" s="256">
        <f t="shared" si="6"/>
        <v>134.67959183673469</v>
      </c>
      <c r="O88" s="327">
        <v>100</v>
      </c>
      <c r="P88" s="327" t="s">
        <v>75</v>
      </c>
      <c r="Q88" s="327" t="s">
        <v>75</v>
      </c>
      <c r="R88" s="327" t="s">
        <v>75</v>
      </c>
      <c r="S88" s="327" t="s">
        <v>233</v>
      </c>
      <c r="T88" s="327" t="s">
        <v>75</v>
      </c>
      <c r="U88" s="327" t="s">
        <v>75</v>
      </c>
      <c r="V88" s="327" t="s">
        <v>66</v>
      </c>
      <c r="W88" s="327" t="s">
        <v>66</v>
      </c>
      <c r="X88" s="318"/>
      <c r="Y88" s="327"/>
      <c r="Z88" s="327">
        <v>980</v>
      </c>
      <c r="AA88" s="327"/>
      <c r="AB88" s="327"/>
      <c r="AC88" s="327"/>
      <c r="AD88" s="318"/>
      <c r="AE88" s="327"/>
      <c r="AF88" s="327"/>
      <c r="AG88" s="327"/>
      <c r="AH88" s="327"/>
      <c r="AI88" s="327"/>
      <c r="AJ88" s="301">
        <f t="shared" si="7"/>
        <v>980</v>
      </c>
      <c r="AK88" s="327" t="s">
        <v>66</v>
      </c>
      <c r="AL88" s="327" t="s">
        <v>66</v>
      </c>
      <c r="AM88" s="328"/>
      <c r="AN88" s="328"/>
      <c r="AO88" s="328"/>
      <c r="AP88" s="328"/>
      <c r="AQ88" s="328"/>
      <c r="AR88" s="328"/>
      <c r="AS88" s="328"/>
      <c r="AT88" s="328"/>
      <c r="AU88" s="329" t="s">
        <v>1205</v>
      </c>
    </row>
    <row r="89" spans="1:47" s="326" customFormat="1" ht="16.5" customHeight="1">
      <c r="A89" s="260">
        <v>198</v>
      </c>
      <c r="B89" s="324" t="s">
        <v>1207</v>
      </c>
      <c r="C89" s="324" t="s">
        <v>1260</v>
      </c>
      <c r="D89" s="325">
        <v>40179</v>
      </c>
      <c r="E89" s="325">
        <v>40299</v>
      </c>
      <c r="F89" s="324" t="s">
        <v>5</v>
      </c>
      <c r="G89" s="252" t="s">
        <v>1451</v>
      </c>
      <c r="H89" s="326" t="s">
        <v>1209</v>
      </c>
      <c r="I89" s="254" t="s">
        <v>2331</v>
      </c>
      <c r="J89" s="327">
        <v>11000</v>
      </c>
      <c r="K89" s="327">
        <v>302500</v>
      </c>
      <c r="L89" s="327">
        <v>302500</v>
      </c>
      <c r="M89" s="327">
        <v>295431</v>
      </c>
      <c r="N89" s="256">
        <f t="shared" si="6"/>
        <v>26.857363636363637</v>
      </c>
      <c r="O89" s="327">
        <v>100</v>
      </c>
      <c r="P89" s="327" t="s">
        <v>75</v>
      </c>
      <c r="Q89" s="327" t="s">
        <v>75</v>
      </c>
      <c r="R89" s="327" t="s">
        <v>75</v>
      </c>
      <c r="S89" s="327" t="s">
        <v>233</v>
      </c>
      <c r="T89" s="327">
        <v>30</v>
      </c>
      <c r="U89" s="327">
        <v>11000</v>
      </c>
      <c r="V89" s="327" t="s">
        <v>66</v>
      </c>
      <c r="W89" s="327" t="s">
        <v>66</v>
      </c>
      <c r="X89" s="318"/>
      <c r="Y89" s="327"/>
      <c r="Z89" s="327"/>
      <c r="AA89" s="327">
        <v>11000</v>
      </c>
      <c r="AB89" s="327">
        <v>30</v>
      </c>
      <c r="AC89" s="327"/>
      <c r="AD89" s="318"/>
      <c r="AE89" s="327"/>
      <c r="AF89" s="327"/>
      <c r="AG89" s="327"/>
      <c r="AH89" s="327"/>
      <c r="AI89" s="327"/>
      <c r="AJ89" s="301">
        <f t="shared" si="7"/>
        <v>11000</v>
      </c>
      <c r="AK89" s="327" t="s">
        <v>66</v>
      </c>
      <c r="AL89" s="327" t="s">
        <v>66</v>
      </c>
      <c r="AM89" s="328"/>
      <c r="AN89" s="328"/>
      <c r="AO89" s="328"/>
      <c r="AP89" s="328"/>
      <c r="AQ89" s="328"/>
      <c r="AR89" s="328"/>
      <c r="AS89" s="328"/>
      <c r="AT89" s="328"/>
      <c r="AU89" s="326" t="s">
        <v>1208</v>
      </c>
    </row>
    <row r="90" spans="1:47" s="266" customFormat="1" ht="15" customHeight="1">
      <c r="A90" s="260">
        <v>199</v>
      </c>
      <c r="B90" s="316" t="s">
        <v>485</v>
      </c>
      <c r="C90" s="316" t="s">
        <v>1299</v>
      </c>
      <c r="D90" s="317">
        <v>40210</v>
      </c>
      <c r="E90" s="317">
        <v>40483</v>
      </c>
      <c r="F90" s="316" t="s">
        <v>220</v>
      </c>
      <c r="G90" s="252" t="s">
        <v>1449</v>
      </c>
      <c r="H90" s="266" t="s">
        <v>1217</v>
      </c>
      <c r="I90" s="254" t="s">
        <v>2331</v>
      </c>
      <c r="J90" s="318">
        <v>44000</v>
      </c>
      <c r="K90" s="318">
        <v>34879</v>
      </c>
      <c r="L90" s="318">
        <v>33245</v>
      </c>
      <c r="M90" s="318">
        <v>33245</v>
      </c>
      <c r="N90" s="256">
        <f t="shared" si="6"/>
        <v>0.75556818181818186</v>
      </c>
      <c r="O90" s="318">
        <v>95</v>
      </c>
      <c r="P90" s="318"/>
      <c r="Q90" s="318"/>
      <c r="R90" s="318"/>
      <c r="S90" s="318"/>
      <c r="T90" s="318"/>
      <c r="U90" s="318"/>
      <c r="V90" s="318"/>
      <c r="W90" s="318">
        <v>1441</v>
      </c>
      <c r="X90" s="318"/>
      <c r="Y90" s="318">
        <v>60183</v>
      </c>
      <c r="Z90" s="318"/>
      <c r="AA90" s="318">
        <v>60183</v>
      </c>
      <c r="AB90" s="318">
        <v>80</v>
      </c>
      <c r="AC90" s="318"/>
      <c r="AD90" s="318"/>
      <c r="AE90" s="318"/>
      <c r="AF90" s="318"/>
      <c r="AG90" s="318"/>
      <c r="AH90" s="318"/>
      <c r="AI90" s="318"/>
      <c r="AJ90" s="301">
        <f t="shared" si="7"/>
        <v>60183</v>
      </c>
      <c r="AK90" s="318"/>
      <c r="AL90" s="318"/>
      <c r="AM90" s="319"/>
      <c r="AN90" s="319"/>
      <c r="AO90" s="319"/>
      <c r="AP90" s="319"/>
      <c r="AQ90" s="319"/>
      <c r="AR90" s="319"/>
      <c r="AS90" s="319"/>
      <c r="AT90" s="319"/>
      <c r="AU90" s="319" t="s">
        <v>1218</v>
      </c>
    </row>
    <row r="91" spans="1:47" s="266" customFormat="1" ht="13.5" customHeight="1">
      <c r="A91" s="260">
        <v>200</v>
      </c>
      <c r="B91" s="316" t="s">
        <v>485</v>
      </c>
      <c r="C91" s="316" t="s">
        <v>1299</v>
      </c>
      <c r="D91" s="317">
        <v>40238</v>
      </c>
      <c r="E91" s="317">
        <v>40483</v>
      </c>
      <c r="F91" s="316" t="s">
        <v>1219</v>
      </c>
      <c r="G91" s="252" t="s">
        <v>1450</v>
      </c>
      <c r="H91" s="266" t="s">
        <v>1220</v>
      </c>
      <c r="I91" s="254" t="s">
        <v>2331</v>
      </c>
      <c r="J91" s="318">
        <v>25000</v>
      </c>
      <c r="K91" s="318">
        <v>280171</v>
      </c>
      <c r="L91" s="318">
        <v>265832</v>
      </c>
      <c r="M91" s="318">
        <v>265832</v>
      </c>
      <c r="N91" s="256">
        <f t="shared" si="6"/>
        <v>10.633279999999999</v>
      </c>
      <c r="O91" s="318">
        <v>95</v>
      </c>
      <c r="P91" s="318">
        <v>18400</v>
      </c>
      <c r="Q91" s="318"/>
      <c r="R91" s="318">
        <v>18400</v>
      </c>
      <c r="S91" s="318"/>
      <c r="T91" s="318">
        <v>197</v>
      </c>
      <c r="U91" s="318">
        <v>22977</v>
      </c>
      <c r="V91" s="318">
        <v>155873</v>
      </c>
      <c r="W91" s="318">
        <v>132702</v>
      </c>
      <c r="X91" s="349">
        <f>W91/R91</f>
        <v>7.212065217391304</v>
      </c>
      <c r="Y91" s="318"/>
      <c r="Z91" s="318"/>
      <c r="AA91" s="318"/>
      <c r="AB91" s="318"/>
      <c r="AC91" s="318"/>
      <c r="AD91" s="318"/>
      <c r="AE91" s="318"/>
      <c r="AF91" s="318"/>
      <c r="AG91" s="318"/>
      <c r="AH91" s="318"/>
      <c r="AI91" s="318"/>
      <c r="AJ91" s="301">
        <f t="shared" si="7"/>
        <v>0</v>
      </c>
      <c r="AK91" s="318"/>
      <c r="AL91" s="318"/>
      <c r="AM91" s="319"/>
      <c r="AN91" s="319"/>
      <c r="AO91" s="319"/>
      <c r="AP91" s="319"/>
      <c r="AQ91" s="319"/>
      <c r="AR91" s="319"/>
      <c r="AS91" s="319"/>
      <c r="AT91" s="319"/>
      <c r="AU91" s="319" t="s">
        <v>1221</v>
      </c>
    </row>
    <row r="92" spans="1:47" s="266" customFormat="1" ht="15" customHeight="1">
      <c r="A92" s="260">
        <v>201</v>
      </c>
      <c r="B92" s="316" t="s">
        <v>481</v>
      </c>
      <c r="C92" s="316" t="s">
        <v>1299</v>
      </c>
      <c r="D92" s="317">
        <v>40269</v>
      </c>
      <c r="E92" s="317">
        <v>40360</v>
      </c>
      <c r="F92" s="316" t="s">
        <v>243</v>
      </c>
      <c r="G92" s="273" t="s">
        <v>1449</v>
      </c>
      <c r="H92" s="266" t="s">
        <v>1222</v>
      </c>
      <c r="I92" s="254" t="s">
        <v>2331</v>
      </c>
      <c r="J92" s="318">
        <v>15000</v>
      </c>
      <c r="K92" s="318">
        <v>124385</v>
      </c>
      <c r="L92" s="318">
        <v>121525</v>
      </c>
      <c r="M92" s="318">
        <v>117744</v>
      </c>
      <c r="N92" s="256">
        <f t="shared" si="6"/>
        <v>7.8495999999999997</v>
      </c>
      <c r="O92" s="318">
        <v>98</v>
      </c>
      <c r="P92" s="318">
        <v>225722</v>
      </c>
      <c r="Q92" s="318">
        <v>5057</v>
      </c>
      <c r="R92" s="318">
        <v>225722</v>
      </c>
      <c r="S92" s="318"/>
      <c r="T92" s="318"/>
      <c r="U92" s="318">
        <v>134725</v>
      </c>
      <c r="V92" s="318">
        <v>28000</v>
      </c>
      <c r="W92" s="318">
        <v>27440</v>
      </c>
      <c r="X92" s="349">
        <f>W92/R92</f>
        <v>0.12156546548409106</v>
      </c>
      <c r="Y92" s="318">
        <v>134725</v>
      </c>
      <c r="Z92" s="318"/>
      <c r="AA92" s="318">
        <v>134725</v>
      </c>
      <c r="AB92" s="318">
        <v>2164</v>
      </c>
      <c r="AC92" s="318" t="s">
        <v>94</v>
      </c>
      <c r="AD92" s="318"/>
      <c r="AE92" s="318"/>
      <c r="AF92" s="318"/>
      <c r="AG92" s="318"/>
      <c r="AH92" s="318">
        <v>2059</v>
      </c>
      <c r="AI92" s="318"/>
      <c r="AJ92" s="301">
        <f t="shared" si="7"/>
        <v>136784</v>
      </c>
      <c r="AK92" s="318">
        <v>16000</v>
      </c>
      <c r="AL92" s="318">
        <v>15680</v>
      </c>
      <c r="AM92" s="319"/>
      <c r="AN92" s="319"/>
      <c r="AO92" s="319"/>
      <c r="AP92" s="319"/>
      <c r="AQ92" s="319"/>
      <c r="AR92" s="319"/>
      <c r="AS92" s="319"/>
      <c r="AT92" s="319"/>
      <c r="AU92" s="322" t="s">
        <v>1223</v>
      </c>
    </row>
    <row r="93" spans="1:47" s="266" customFormat="1" ht="12.75" customHeight="1">
      <c r="A93" s="260">
        <v>202</v>
      </c>
      <c r="B93" s="316" t="s">
        <v>764</v>
      </c>
      <c r="C93" s="316" t="s">
        <v>1299</v>
      </c>
      <c r="D93" s="317">
        <v>40210</v>
      </c>
      <c r="E93" s="317">
        <v>40452</v>
      </c>
      <c r="F93" s="316" t="s">
        <v>5</v>
      </c>
      <c r="G93" s="252" t="s">
        <v>1451</v>
      </c>
      <c r="H93" s="266" t="s">
        <v>1222</v>
      </c>
      <c r="I93" s="254" t="s">
        <v>2331</v>
      </c>
      <c r="J93" s="318">
        <v>15000</v>
      </c>
      <c r="K93" s="318">
        <v>155620</v>
      </c>
      <c r="L93" s="318">
        <v>155311</v>
      </c>
      <c r="M93" s="318">
        <v>128014</v>
      </c>
      <c r="N93" s="256">
        <f t="shared" si="6"/>
        <v>8.5342666666666673</v>
      </c>
      <c r="O93" s="318">
        <v>100</v>
      </c>
      <c r="P93" s="318">
        <v>1200</v>
      </c>
      <c r="Q93" s="318">
        <v>1200</v>
      </c>
      <c r="R93" s="318">
        <v>1200</v>
      </c>
      <c r="S93" s="318"/>
      <c r="T93" s="318"/>
      <c r="U93" s="318">
        <v>1200</v>
      </c>
      <c r="V93" s="318">
        <v>27400</v>
      </c>
      <c r="W93" s="318">
        <v>27400</v>
      </c>
      <c r="X93" s="349">
        <f>W93/R93</f>
        <v>22.833333333333332</v>
      </c>
      <c r="Y93" s="318"/>
      <c r="Z93" s="318"/>
      <c r="AA93" s="318">
        <v>22500</v>
      </c>
      <c r="AB93" s="318">
        <v>50</v>
      </c>
      <c r="AC93" s="318">
        <v>40</v>
      </c>
      <c r="AD93" s="318"/>
      <c r="AE93" s="318">
        <v>400</v>
      </c>
      <c r="AF93" s="318"/>
      <c r="AG93" s="318"/>
      <c r="AH93" s="318"/>
      <c r="AI93" s="318"/>
      <c r="AJ93" s="301">
        <f t="shared" si="7"/>
        <v>22500</v>
      </c>
      <c r="AK93" s="318">
        <v>22500</v>
      </c>
      <c r="AL93" s="318">
        <v>20619</v>
      </c>
      <c r="AM93" s="319"/>
      <c r="AN93" s="319"/>
      <c r="AO93" s="319"/>
      <c r="AP93" s="319"/>
      <c r="AQ93" s="319"/>
      <c r="AR93" s="319"/>
      <c r="AS93" s="319"/>
      <c r="AT93" s="319"/>
      <c r="AU93" s="322" t="s">
        <v>1224</v>
      </c>
    </row>
    <row r="94" spans="1:47" s="266" customFormat="1" ht="13.5" customHeight="1">
      <c r="A94" s="260">
        <v>203</v>
      </c>
      <c r="B94" s="316" t="s">
        <v>153</v>
      </c>
      <c r="C94" s="316" t="s">
        <v>1299</v>
      </c>
      <c r="D94" s="317">
        <v>40269</v>
      </c>
      <c r="E94" s="317">
        <v>40483</v>
      </c>
      <c r="F94" s="316" t="s">
        <v>1225</v>
      </c>
      <c r="G94" s="252" t="s">
        <v>1451</v>
      </c>
      <c r="H94" s="266" t="s">
        <v>1226</v>
      </c>
      <c r="I94" s="254" t="s">
        <v>2331</v>
      </c>
      <c r="J94" s="318">
        <v>5920</v>
      </c>
      <c r="K94" s="318">
        <v>177163</v>
      </c>
      <c r="L94" s="318">
        <v>174150</v>
      </c>
      <c r="M94" s="318">
        <v>174150</v>
      </c>
      <c r="N94" s="256">
        <f t="shared" si="6"/>
        <v>29.41722972972973</v>
      </c>
      <c r="O94" s="318">
        <v>98</v>
      </c>
      <c r="P94" s="318">
        <v>1010</v>
      </c>
      <c r="Q94" s="318">
        <v>1010</v>
      </c>
      <c r="R94" s="318">
        <v>1010</v>
      </c>
      <c r="S94" s="318" t="s">
        <v>94</v>
      </c>
      <c r="T94" s="318">
        <v>34</v>
      </c>
      <c r="U94" s="318">
        <v>5920</v>
      </c>
      <c r="V94" s="318">
        <v>23659</v>
      </c>
      <c r="W94" s="318">
        <v>23185.82</v>
      </c>
      <c r="X94" s="349">
        <f>W94/R94</f>
        <v>22.956257425742574</v>
      </c>
      <c r="Y94" s="318"/>
      <c r="Z94" s="318"/>
      <c r="AA94" s="318"/>
      <c r="AB94" s="318"/>
      <c r="AC94" s="318"/>
      <c r="AD94" s="318"/>
      <c r="AE94" s="318">
        <v>2040</v>
      </c>
      <c r="AF94" s="318"/>
      <c r="AG94" s="318"/>
      <c r="AH94" s="318"/>
      <c r="AI94" s="318"/>
      <c r="AJ94" s="301">
        <f t="shared" si="7"/>
        <v>0</v>
      </c>
      <c r="AK94" s="318"/>
      <c r="AL94" s="318"/>
      <c r="AM94" s="319"/>
      <c r="AN94" s="319"/>
      <c r="AO94" s="319"/>
      <c r="AP94" s="319"/>
      <c r="AQ94" s="319"/>
      <c r="AR94" s="319"/>
      <c r="AS94" s="319"/>
      <c r="AT94" s="319"/>
      <c r="AU94" s="323" t="s">
        <v>1227</v>
      </c>
    </row>
    <row r="95" spans="1:47" s="266" customFormat="1" ht="18" customHeight="1">
      <c r="A95" s="260">
        <v>204</v>
      </c>
      <c r="B95" s="316" t="s">
        <v>148</v>
      </c>
      <c r="C95" s="316" t="s">
        <v>1299</v>
      </c>
      <c r="D95" s="317">
        <v>40238</v>
      </c>
      <c r="E95" s="317">
        <v>40269</v>
      </c>
      <c r="F95" s="316" t="s">
        <v>1252</v>
      </c>
      <c r="G95" s="252" t="s">
        <v>1451</v>
      </c>
      <c r="H95" s="266" t="s">
        <v>1253</v>
      </c>
      <c r="I95" s="254" t="s">
        <v>2331</v>
      </c>
      <c r="J95" s="318">
        <v>13000</v>
      </c>
      <c r="K95" s="318">
        <v>256963</v>
      </c>
      <c r="L95" s="318">
        <v>253677</v>
      </c>
      <c r="M95" s="318">
        <v>253677</v>
      </c>
      <c r="N95" s="256">
        <f t="shared" si="6"/>
        <v>19.513615384615385</v>
      </c>
      <c r="O95" s="318">
        <v>99</v>
      </c>
      <c r="P95" s="330" t="s">
        <v>134</v>
      </c>
      <c r="Q95" s="318" t="s">
        <v>75</v>
      </c>
      <c r="R95" s="318" t="s">
        <v>75</v>
      </c>
      <c r="S95" s="318" t="s">
        <v>233</v>
      </c>
      <c r="T95" s="318" t="s">
        <v>75</v>
      </c>
      <c r="U95" s="318">
        <v>312</v>
      </c>
      <c r="V95" s="318">
        <v>31400</v>
      </c>
      <c r="W95" s="318">
        <v>6</v>
      </c>
      <c r="X95" s="318"/>
      <c r="Y95" s="318"/>
      <c r="Z95" s="318"/>
      <c r="AA95" s="318">
        <v>312</v>
      </c>
      <c r="AB95" s="318"/>
      <c r="AC95" s="318"/>
      <c r="AD95" s="318"/>
      <c r="AE95" s="318"/>
      <c r="AF95" s="318"/>
      <c r="AG95" s="318"/>
      <c r="AH95" s="318"/>
      <c r="AI95" s="318"/>
      <c r="AJ95" s="301">
        <f t="shared" si="7"/>
        <v>312</v>
      </c>
      <c r="AK95" s="318">
        <v>3920</v>
      </c>
      <c r="AL95" s="318">
        <v>3880.8</v>
      </c>
      <c r="AU95" s="266" t="s">
        <v>1254</v>
      </c>
    </row>
    <row r="96" spans="1:47" s="266" customFormat="1" ht="16.5" customHeight="1">
      <c r="A96" s="260">
        <v>205</v>
      </c>
      <c r="B96" s="316" t="s">
        <v>855</v>
      </c>
      <c r="C96" s="316" t="s">
        <v>1260</v>
      </c>
      <c r="D96" s="317">
        <v>40179</v>
      </c>
      <c r="E96" s="317">
        <v>40269</v>
      </c>
      <c r="F96" s="316" t="s">
        <v>5</v>
      </c>
      <c r="G96" s="252" t="s">
        <v>1451</v>
      </c>
      <c r="H96" s="266" t="s">
        <v>1255</v>
      </c>
      <c r="I96" s="254" t="s">
        <v>2331</v>
      </c>
      <c r="J96" s="318">
        <v>1100</v>
      </c>
      <c r="K96" s="318">
        <v>83930</v>
      </c>
      <c r="L96" s="318">
        <v>83930</v>
      </c>
      <c r="M96" s="318">
        <v>79129</v>
      </c>
      <c r="N96" s="256">
        <f t="shared" si="6"/>
        <v>71.935454545454547</v>
      </c>
      <c r="O96" s="318">
        <v>100</v>
      </c>
      <c r="P96" s="318">
        <v>1100</v>
      </c>
      <c r="Q96" s="318" t="s">
        <v>75</v>
      </c>
      <c r="R96" s="318">
        <v>1100</v>
      </c>
      <c r="S96" s="318" t="s">
        <v>233</v>
      </c>
      <c r="T96" s="318" t="s">
        <v>75</v>
      </c>
      <c r="U96" s="318" t="s">
        <v>75</v>
      </c>
      <c r="V96" s="318" t="s">
        <v>66</v>
      </c>
      <c r="W96" s="318" t="s">
        <v>66</v>
      </c>
      <c r="X96" s="349"/>
      <c r="Y96" s="318"/>
      <c r="Z96" s="318"/>
      <c r="AA96" s="318"/>
      <c r="AB96" s="318"/>
      <c r="AC96" s="318"/>
      <c r="AD96" s="318"/>
      <c r="AE96" s="318"/>
      <c r="AF96" s="318"/>
      <c r="AG96" s="318"/>
      <c r="AH96" s="318"/>
      <c r="AI96" s="318"/>
      <c r="AJ96" s="301">
        <f t="shared" si="7"/>
        <v>0</v>
      </c>
      <c r="AK96" s="318" t="s">
        <v>66</v>
      </c>
      <c r="AL96" s="318" t="s">
        <v>66</v>
      </c>
      <c r="AU96" s="266" t="s">
        <v>1256</v>
      </c>
    </row>
    <row r="97" spans="1:47" s="266" customFormat="1" ht="18.75" customHeight="1">
      <c r="A97" s="260">
        <v>206</v>
      </c>
      <c r="B97" s="316" t="s">
        <v>22</v>
      </c>
      <c r="C97" s="316" t="s">
        <v>1286</v>
      </c>
      <c r="D97" s="317">
        <v>40179</v>
      </c>
      <c r="E97" s="317">
        <v>40299</v>
      </c>
      <c r="F97" s="316" t="s">
        <v>79</v>
      </c>
      <c r="G97" s="252" t="s">
        <v>1453</v>
      </c>
      <c r="H97" s="266" t="s">
        <v>1262</v>
      </c>
      <c r="I97" s="254" t="s">
        <v>2331</v>
      </c>
      <c r="J97" s="330" t="s">
        <v>134</v>
      </c>
      <c r="K97" s="318">
        <v>23986</v>
      </c>
      <c r="L97" s="318">
        <v>23432</v>
      </c>
      <c r="M97" s="318">
        <v>23432</v>
      </c>
      <c r="N97" s="256"/>
      <c r="O97" s="318">
        <v>98</v>
      </c>
      <c r="P97" s="318"/>
      <c r="Q97" s="318"/>
      <c r="R97" s="318"/>
      <c r="S97" s="318" t="s">
        <v>233</v>
      </c>
      <c r="T97" s="318"/>
      <c r="U97" s="318"/>
      <c r="V97" s="318" t="s">
        <v>66</v>
      </c>
      <c r="W97" s="318" t="s">
        <v>66</v>
      </c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01">
        <f t="shared" si="7"/>
        <v>0</v>
      </c>
      <c r="AK97" s="318" t="s">
        <v>66</v>
      </c>
      <c r="AL97" s="318" t="s">
        <v>66</v>
      </c>
      <c r="AS97" s="266">
        <v>1</v>
      </c>
      <c r="AT97" s="266" t="s">
        <v>1263</v>
      </c>
      <c r="AU97" s="266" t="s">
        <v>1259</v>
      </c>
    </row>
    <row r="98" spans="1:47" s="333" customFormat="1" ht="15.75" customHeight="1">
      <c r="A98" s="260">
        <v>207</v>
      </c>
      <c r="B98" s="331" t="s">
        <v>12</v>
      </c>
      <c r="C98" s="316" t="s">
        <v>1299</v>
      </c>
      <c r="D98" s="332">
        <v>40299</v>
      </c>
      <c r="E98" s="332">
        <v>40452</v>
      </c>
      <c r="F98" s="331" t="s">
        <v>5</v>
      </c>
      <c r="G98" s="252" t="s">
        <v>1451</v>
      </c>
      <c r="H98" s="481" t="s">
        <v>1385</v>
      </c>
      <c r="I98" s="278" t="s">
        <v>2438</v>
      </c>
      <c r="J98" s="334">
        <v>141164</v>
      </c>
      <c r="K98" s="335">
        <v>8757898</v>
      </c>
      <c r="L98" s="335">
        <v>2375971</v>
      </c>
      <c r="M98" s="335">
        <v>2402905</v>
      </c>
      <c r="N98" s="256">
        <f t="shared" si="6"/>
        <v>17.022080700461874</v>
      </c>
      <c r="O98" s="335">
        <v>27</v>
      </c>
      <c r="P98" s="334">
        <v>141164</v>
      </c>
      <c r="Q98" s="334"/>
      <c r="R98" s="334">
        <v>141164</v>
      </c>
      <c r="S98" s="335" t="s">
        <v>2</v>
      </c>
      <c r="T98" s="335">
        <v>47</v>
      </c>
      <c r="U98" s="335">
        <v>1506</v>
      </c>
      <c r="V98" s="335">
        <v>1276540</v>
      </c>
      <c r="W98" s="335">
        <v>344665.8</v>
      </c>
      <c r="X98" s="349">
        <f>W98/R98</f>
        <v>2.4415984245274998</v>
      </c>
      <c r="Y98" s="334"/>
      <c r="Z98" s="334"/>
      <c r="AA98" s="334"/>
      <c r="AB98" s="334">
        <v>250</v>
      </c>
      <c r="AC98" s="334"/>
      <c r="AD98" s="334"/>
      <c r="AE98" s="334">
        <v>13157</v>
      </c>
      <c r="AF98" s="334"/>
      <c r="AG98" s="334"/>
      <c r="AH98" s="334">
        <v>76</v>
      </c>
      <c r="AI98" s="334"/>
      <c r="AJ98" s="301">
        <f t="shared" si="7"/>
        <v>76</v>
      </c>
      <c r="AK98" s="335">
        <v>472185</v>
      </c>
      <c r="AL98" s="335">
        <v>127489.95</v>
      </c>
      <c r="AU98" s="336" t="s">
        <v>1384</v>
      </c>
    </row>
    <row r="99" spans="1:47" s="333" customFormat="1" ht="15.75" customHeight="1">
      <c r="A99" s="260">
        <v>208</v>
      </c>
      <c r="B99" s="331" t="s">
        <v>1400</v>
      </c>
      <c r="C99" s="331" t="s">
        <v>1260</v>
      </c>
      <c r="D99" s="332">
        <v>40330</v>
      </c>
      <c r="E99" s="332">
        <v>40513</v>
      </c>
      <c r="F99" s="333" t="s">
        <v>512</v>
      </c>
      <c r="G99" s="273" t="s">
        <v>1452</v>
      </c>
      <c r="H99" s="481" t="s">
        <v>1409</v>
      </c>
      <c r="I99" s="278" t="s">
        <v>2438</v>
      </c>
      <c r="J99" s="334">
        <v>100000</v>
      </c>
      <c r="K99" s="335">
        <v>1166159</v>
      </c>
      <c r="L99" s="335">
        <v>300000</v>
      </c>
      <c r="M99" s="335">
        <v>300000</v>
      </c>
      <c r="N99" s="256">
        <f t="shared" ref="N99:N130" si="8">M99/J99</f>
        <v>3</v>
      </c>
      <c r="O99" s="335">
        <v>96</v>
      </c>
      <c r="P99" s="334"/>
      <c r="Q99" s="334"/>
      <c r="R99" s="334"/>
      <c r="S99" s="335"/>
      <c r="T99" s="335"/>
      <c r="U99" s="335"/>
      <c r="V99" s="335"/>
      <c r="W99" s="335"/>
      <c r="X99" s="335"/>
      <c r="Y99" s="334"/>
      <c r="Z99" s="334"/>
      <c r="AA99" s="334"/>
      <c r="AB99" s="334"/>
      <c r="AC99" s="334"/>
      <c r="AD99" s="334"/>
      <c r="AE99" s="334"/>
      <c r="AF99" s="334"/>
      <c r="AG99" s="334"/>
      <c r="AH99" s="334"/>
      <c r="AI99" s="334"/>
      <c r="AJ99" s="301">
        <f t="shared" ref="AJ99:AJ130" si="9">SUM(Z99,AA99,AH99)</f>
        <v>0</v>
      </c>
      <c r="AK99" s="335">
        <v>78000</v>
      </c>
      <c r="AL99" s="335"/>
      <c r="AU99" s="336" t="s">
        <v>1408</v>
      </c>
    </row>
    <row r="100" spans="1:47" s="333" customFormat="1" ht="12.75" customHeight="1">
      <c r="A100" s="260">
        <v>209</v>
      </c>
      <c r="B100" s="331" t="s">
        <v>932</v>
      </c>
      <c r="C100" s="331" t="s">
        <v>1260</v>
      </c>
      <c r="D100" s="332">
        <v>40330</v>
      </c>
      <c r="E100" s="332">
        <v>40664</v>
      </c>
      <c r="F100" s="331" t="s">
        <v>1161</v>
      </c>
      <c r="G100" s="273" t="s">
        <v>1452</v>
      </c>
      <c r="H100" s="333" t="s">
        <v>1386</v>
      </c>
      <c r="I100" s="278" t="s">
        <v>2438</v>
      </c>
      <c r="J100" s="334">
        <v>5265</v>
      </c>
      <c r="K100" s="335">
        <v>965069</v>
      </c>
      <c r="L100" s="335">
        <v>453070</v>
      </c>
      <c r="M100" s="335">
        <v>451575</v>
      </c>
      <c r="N100" s="256">
        <f t="shared" si="8"/>
        <v>85.769230769230774</v>
      </c>
      <c r="O100" s="335">
        <v>47</v>
      </c>
      <c r="P100" s="334">
        <v>5265</v>
      </c>
      <c r="Q100" s="334"/>
      <c r="R100" s="334">
        <v>5265</v>
      </c>
      <c r="S100" s="335" t="s">
        <v>233</v>
      </c>
      <c r="T100" s="335"/>
      <c r="U100" s="335">
        <v>5265</v>
      </c>
      <c r="V100" s="335">
        <v>26640</v>
      </c>
      <c r="W100" s="335">
        <v>36434</v>
      </c>
      <c r="X100" s="349">
        <f>W100/R100</f>
        <v>6.9200379867046538</v>
      </c>
      <c r="Y100" s="334"/>
      <c r="Z100" s="334">
        <v>4286</v>
      </c>
      <c r="AA100" s="334"/>
      <c r="AB100" s="334">
        <v>60</v>
      </c>
      <c r="AC100" s="334"/>
      <c r="AD100" s="334"/>
      <c r="AE100" s="334"/>
      <c r="AF100" s="334"/>
      <c r="AG100" s="334"/>
      <c r="AH100" s="334"/>
      <c r="AI100" s="334"/>
      <c r="AJ100" s="301">
        <f t="shared" si="9"/>
        <v>4286</v>
      </c>
      <c r="AK100" s="335">
        <v>7600</v>
      </c>
      <c r="AL100" s="335">
        <v>2485</v>
      </c>
      <c r="AU100" s="336" t="s">
        <v>1387</v>
      </c>
    </row>
    <row r="101" spans="1:47" s="333" customFormat="1" ht="18" customHeight="1">
      <c r="A101" s="260">
        <v>210</v>
      </c>
      <c r="B101" s="331" t="s">
        <v>1921</v>
      </c>
      <c r="C101" s="331" t="s">
        <v>1261</v>
      </c>
      <c r="D101" s="332">
        <v>40238</v>
      </c>
      <c r="E101" s="332">
        <v>40452</v>
      </c>
      <c r="F101" s="331" t="s">
        <v>1322</v>
      </c>
      <c r="G101" s="273" t="s">
        <v>1453</v>
      </c>
      <c r="H101" s="331" t="s">
        <v>1391</v>
      </c>
      <c r="I101" s="278" t="s">
        <v>2438</v>
      </c>
      <c r="J101" s="334">
        <v>13600</v>
      </c>
      <c r="K101" s="335">
        <v>1312670</v>
      </c>
      <c r="L101" s="335">
        <v>1310155</v>
      </c>
      <c r="M101" s="335">
        <v>1310155</v>
      </c>
      <c r="N101" s="256">
        <f t="shared" si="8"/>
        <v>96.334926470588229</v>
      </c>
      <c r="O101" s="335">
        <v>100</v>
      </c>
      <c r="P101" s="334"/>
      <c r="Q101" s="334"/>
      <c r="R101" s="334"/>
      <c r="S101" s="335"/>
      <c r="T101" s="335"/>
      <c r="U101" s="335"/>
      <c r="V101" s="335" t="s">
        <v>66</v>
      </c>
      <c r="W101" s="335" t="s">
        <v>66</v>
      </c>
      <c r="X101" s="335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4"/>
      <c r="AI101" s="334"/>
      <c r="AJ101" s="301">
        <f t="shared" si="9"/>
        <v>0</v>
      </c>
      <c r="AK101" s="335">
        <v>31300</v>
      </c>
      <c r="AL101" s="335">
        <v>31235</v>
      </c>
      <c r="AU101" s="333" t="s">
        <v>1390</v>
      </c>
    </row>
    <row r="102" spans="1:47" s="333" customFormat="1" ht="16.5" customHeight="1">
      <c r="A102" s="260">
        <v>211</v>
      </c>
      <c r="B102" s="331" t="s">
        <v>855</v>
      </c>
      <c r="C102" s="331" t="s">
        <v>1260</v>
      </c>
      <c r="D102" s="332">
        <v>40483</v>
      </c>
      <c r="E102" s="332">
        <v>40575</v>
      </c>
      <c r="F102" s="331" t="s">
        <v>5</v>
      </c>
      <c r="G102" s="273" t="s">
        <v>1451</v>
      </c>
      <c r="H102" s="333" t="s">
        <v>1389</v>
      </c>
      <c r="I102" s="254" t="s">
        <v>2331</v>
      </c>
      <c r="J102" s="334">
        <v>1350</v>
      </c>
      <c r="K102" s="335">
        <v>50255</v>
      </c>
      <c r="L102" s="334">
        <v>50255</v>
      </c>
      <c r="M102" s="334">
        <v>50255</v>
      </c>
      <c r="N102" s="256">
        <f t="shared" si="8"/>
        <v>37.225925925925928</v>
      </c>
      <c r="O102" s="335">
        <v>100</v>
      </c>
      <c r="P102" s="334"/>
      <c r="Q102" s="334"/>
      <c r="R102" s="334"/>
      <c r="S102" s="335"/>
      <c r="T102" s="335"/>
      <c r="U102" s="335"/>
      <c r="V102" s="335"/>
      <c r="W102" s="335"/>
      <c r="X102" s="335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4"/>
      <c r="AI102" s="334"/>
      <c r="AJ102" s="301">
        <f t="shared" si="9"/>
        <v>0</v>
      </c>
      <c r="AK102" s="335"/>
      <c r="AL102" s="335"/>
      <c r="AU102" s="336" t="s">
        <v>1388</v>
      </c>
    </row>
    <row r="103" spans="1:47" s="333" customFormat="1" ht="15" customHeight="1">
      <c r="A103" s="260">
        <v>212</v>
      </c>
      <c r="B103" s="331" t="s">
        <v>1381</v>
      </c>
      <c r="C103" s="331" t="s">
        <v>1286</v>
      </c>
      <c r="D103" s="332">
        <v>40210</v>
      </c>
      <c r="E103" s="332">
        <v>40513</v>
      </c>
      <c r="F103" s="331" t="s">
        <v>5</v>
      </c>
      <c r="G103" s="273" t="s">
        <v>1451</v>
      </c>
      <c r="H103" s="333" t="s">
        <v>1392</v>
      </c>
      <c r="I103" s="254" t="s">
        <v>2331</v>
      </c>
      <c r="J103" s="334">
        <v>19399</v>
      </c>
      <c r="K103" s="335">
        <v>291903</v>
      </c>
      <c r="L103" s="335">
        <v>229865</v>
      </c>
      <c r="M103" s="335">
        <v>229865</v>
      </c>
      <c r="N103" s="256">
        <f t="shared" si="8"/>
        <v>11.849322130006701</v>
      </c>
      <c r="O103" s="335">
        <v>79</v>
      </c>
      <c r="P103" s="334">
        <v>11120</v>
      </c>
      <c r="Q103" s="334"/>
      <c r="R103" s="334">
        <v>11120</v>
      </c>
      <c r="S103" s="335"/>
      <c r="T103" s="335"/>
      <c r="U103" s="335">
        <v>6040</v>
      </c>
      <c r="V103" s="335">
        <v>20029</v>
      </c>
      <c r="W103" s="335">
        <v>18893</v>
      </c>
      <c r="X103" s="349">
        <f>W103/R103</f>
        <v>1.6990107913669066</v>
      </c>
      <c r="Y103" s="334"/>
      <c r="Z103" s="334">
        <v>6040</v>
      </c>
      <c r="AA103" s="334">
        <v>6040</v>
      </c>
      <c r="AB103" s="334">
        <v>39</v>
      </c>
      <c r="AC103" s="334"/>
      <c r="AD103" s="334"/>
      <c r="AE103" s="334"/>
      <c r="AF103" s="334"/>
      <c r="AG103" s="334"/>
      <c r="AH103" s="334"/>
      <c r="AI103" s="334"/>
      <c r="AJ103" s="301">
        <f t="shared" si="9"/>
        <v>12080</v>
      </c>
      <c r="AK103" s="335"/>
      <c r="AL103" s="335"/>
      <c r="AS103" s="331" t="s">
        <v>1543</v>
      </c>
      <c r="AU103" s="336" t="s">
        <v>1394</v>
      </c>
    </row>
    <row r="104" spans="1:47" s="333" customFormat="1" ht="12.75" customHeight="1">
      <c r="A104" s="260">
        <v>213</v>
      </c>
      <c r="B104" s="331" t="s">
        <v>1</v>
      </c>
      <c r="C104" s="331" t="s">
        <v>1299</v>
      </c>
      <c r="D104" s="332">
        <v>40269</v>
      </c>
      <c r="E104" s="332">
        <v>40513</v>
      </c>
      <c r="F104" s="333" t="s">
        <v>1397</v>
      </c>
      <c r="G104" s="273" t="s">
        <v>1452</v>
      </c>
      <c r="H104" s="333" t="s">
        <v>1403</v>
      </c>
      <c r="I104" s="278" t="s">
        <v>2438</v>
      </c>
      <c r="J104" s="334">
        <v>400425</v>
      </c>
      <c r="K104" s="335">
        <v>1252369</v>
      </c>
      <c r="L104" s="335">
        <v>1048247</v>
      </c>
      <c r="M104" s="335">
        <v>872070</v>
      </c>
      <c r="N104" s="256">
        <f t="shared" si="8"/>
        <v>2.1778610226634201</v>
      </c>
      <c r="O104" s="335">
        <v>84</v>
      </c>
      <c r="P104" s="334"/>
      <c r="Q104" s="334"/>
      <c r="R104" s="334"/>
      <c r="S104" s="335"/>
      <c r="T104" s="335"/>
      <c r="U104" s="335"/>
      <c r="V104" s="335"/>
      <c r="W104" s="335">
        <v>4556</v>
      </c>
      <c r="X104" s="335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4"/>
      <c r="AI104" s="334"/>
      <c r="AJ104" s="301">
        <f t="shared" si="9"/>
        <v>0</v>
      </c>
      <c r="AK104" s="335"/>
      <c r="AL104" s="335"/>
      <c r="AU104" s="336" t="s">
        <v>1402</v>
      </c>
    </row>
    <row r="105" spans="1:47" s="333" customFormat="1" ht="15" customHeight="1">
      <c r="A105" s="260">
        <v>214</v>
      </c>
      <c r="B105" s="331" t="s">
        <v>1398</v>
      </c>
      <c r="C105" s="331" t="s">
        <v>1261</v>
      </c>
      <c r="D105" s="332">
        <v>40452</v>
      </c>
      <c r="E105" s="332">
        <v>40513</v>
      </c>
      <c r="F105" s="333" t="s">
        <v>7</v>
      </c>
      <c r="G105" s="273" t="s">
        <v>1451</v>
      </c>
      <c r="H105" s="333" t="s">
        <v>1405</v>
      </c>
      <c r="I105" s="254" t="s">
        <v>2331</v>
      </c>
      <c r="J105" s="334">
        <v>11832</v>
      </c>
      <c r="K105" s="335">
        <v>356617</v>
      </c>
      <c r="L105" s="335">
        <v>356617</v>
      </c>
      <c r="M105" s="335">
        <v>356617</v>
      </c>
      <c r="N105" s="256">
        <f t="shared" si="8"/>
        <v>30.140043948613929</v>
      </c>
      <c r="O105" s="335">
        <v>100</v>
      </c>
      <c r="P105" s="334"/>
      <c r="Q105" s="334"/>
      <c r="R105" s="334"/>
      <c r="S105" s="335"/>
      <c r="T105" s="335"/>
      <c r="U105" s="335"/>
      <c r="V105" s="335"/>
      <c r="W105" s="335"/>
      <c r="X105" s="335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4"/>
      <c r="AI105" s="334"/>
      <c r="AJ105" s="301">
        <f t="shared" si="9"/>
        <v>0</v>
      </c>
      <c r="AK105" s="335"/>
      <c r="AL105" s="335"/>
      <c r="AU105" s="336" t="s">
        <v>1404</v>
      </c>
    </row>
    <row r="106" spans="1:47" s="333" customFormat="1" ht="64.5">
      <c r="A106" s="260">
        <v>215</v>
      </c>
      <c r="B106" s="331" t="s">
        <v>148</v>
      </c>
      <c r="C106" s="331" t="s">
        <v>1299</v>
      </c>
      <c r="D106" s="332">
        <v>40360</v>
      </c>
      <c r="E106" s="332">
        <v>40422</v>
      </c>
      <c r="F106" s="333" t="s">
        <v>1399</v>
      </c>
      <c r="G106" s="273" t="s">
        <v>1464</v>
      </c>
      <c r="H106" s="333" t="s">
        <v>1406</v>
      </c>
      <c r="I106" s="254" t="s">
        <v>2331</v>
      </c>
      <c r="J106" s="334">
        <v>400000</v>
      </c>
      <c r="K106" s="335">
        <v>112097</v>
      </c>
      <c r="L106" s="335">
        <v>112097</v>
      </c>
      <c r="M106" s="335">
        <v>112097</v>
      </c>
      <c r="N106" s="256">
        <f t="shared" si="8"/>
        <v>0.28024250000000001</v>
      </c>
      <c r="O106" s="335">
        <v>100</v>
      </c>
      <c r="P106" s="334"/>
      <c r="Q106" s="334"/>
      <c r="R106" s="334"/>
      <c r="S106" s="335"/>
      <c r="T106" s="335"/>
      <c r="U106" s="335"/>
      <c r="V106" s="335"/>
      <c r="W106" s="335"/>
      <c r="X106" s="335"/>
      <c r="Y106" s="334"/>
      <c r="Z106" s="334"/>
      <c r="AA106" s="334">
        <v>55</v>
      </c>
      <c r="AB106" s="334"/>
      <c r="AC106" s="334"/>
      <c r="AD106" s="334"/>
      <c r="AE106" s="334"/>
      <c r="AF106" s="334"/>
      <c r="AG106" s="334"/>
      <c r="AH106" s="334"/>
      <c r="AI106" s="334"/>
      <c r="AJ106" s="301">
        <f t="shared" si="9"/>
        <v>55</v>
      </c>
      <c r="AK106" s="335">
        <v>31604</v>
      </c>
      <c r="AL106" s="335"/>
      <c r="AU106" s="336" t="s">
        <v>1407</v>
      </c>
    </row>
    <row r="107" spans="1:47" s="339" customFormat="1" ht="15.75" customHeight="1">
      <c r="A107" s="260">
        <v>216</v>
      </c>
      <c r="B107" s="337" t="s">
        <v>2380</v>
      </c>
      <c r="C107" s="316" t="s">
        <v>1299</v>
      </c>
      <c r="D107" s="338">
        <v>40513</v>
      </c>
      <c r="E107" s="338">
        <v>40878</v>
      </c>
      <c r="F107" s="337" t="s">
        <v>615</v>
      </c>
      <c r="G107" s="273" t="s">
        <v>1452</v>
      </c>
      <c r="H107" s="339" t="s">
        <v>1294</v>
      </c>
      <c r="I107" s="278" t="s">
        <v>2438</v>
      </c>
      <c r="J107" s="334">
        <v>57500</v>
      </c>
      <c r="K107" s="334">
        <v>4872842</v>
      </c>
      <c r="L107" s="334">
        <v>2902469</v>
      </c>
      <c r="M107" s="340">
        <v>2902469</v>
      </c>
      <c r="N107" s="256">
        <f t="shared" si="8"/>
        <v>50.477721739130438</v>
      </c>
      <c r="O107" s="340">
        <v>59</v>
      </c>
      <c r="P107" s="334">
        <v>50000</v>
      </c>
      <c r="Q107" s="334">
        <v>50000</v>
      </c>
      <c r="R107" s="334">
        <v>50000</v>
      </c>
      <c r="S107" s="334" t="s">
        <v>2</v>
      </c>
      <c r="T107" s="334">
        <v>150</v>
      </c>
      <c r="U107" s="334">
        <v>50000</v>
      </c>
      <c r="V107" s="334">
        <v>649981</v>
      </c>
      <c r="W107" s="340">
        <v>383488.79</v>
      </c>
      <c r="X107" s="349">
        <f>W107/R107</f>
        <v>7.6697757999999991</v>
      </c>
      <c r="Y107" s="334"/>
      <c r="Z107" s="334">
        <v>10000</v>
      </c>
      <c r="AA107" s="334">
        <v>250</v>
      </c>
      <c r="AB107" s="334">
        <v>57500</v>
      </c>
      <c r="AC107" s="334">
        <v>150</v>
      </c>
      <c r="AD107" s="334">
        <v>30</v>
      </c>
      <c r="AE107" s="334">
        <v>23000</v>
      </c>
      <c r="AF107" s="334"/>
      <c r="AG107" s="334"/>
      <c r="AH107" s="334"/>
      <c r="AI107" s="334"/>
      <c r="AJ107" s="301">
        <f t="shared" si="9"/>
        <v>10250</v>
      </c>
      <c r="AK107" s="334">
        <v>15251</v>
      </c>
      <c r="AL107" s="334"/>
      <c r="AU107" s="336" t="s">
        <v>1293</v>
      </c>
    </row>
    <row r="108" spans="1:47" s="339" customFormat="1" ht="18.75" customHeight="1">
      <c r="A108" s="260">
        <v>217</v>
      </c>
      <c r="B108" s="337" t="s">
        <v>1295</v>
      </c>
      <c r="C108" s="316" t="s">
        <v>1286</v>
      </c>
      <c r="D108" s="338">
        <v>40210</v>
      </c>
      <c r="E108" s="338">
        <v>41334</v>
      </c>
      <c r="F108" s="337" t="s">
        <v>24</v>
      </c>
      <c r="G108" s="252" t="s">
        <v>1454</v>
      </c>
      <c r="H108" s="339" t="s">
        <v>1296</v>
      </c>
      <c r="I108" s="278" t="s">
        <v>2438</v>
      </c>
      <c r="J108" s="334">
        <v>50000</v>
      </c>
      <c r="K108" s="256">
        <v>16075870</v>
      </c>
      <c r="L108" s="256">
        <v>14389505</v>
      </c>
      <c r="M108" s="256">
        <v>7803419</v>
      </c>
      <c r="N108" s="256">
        <f t="shared" si="8"/>
        <v>156.06837999999999</v>
      </c>
      <c r="O108" s="334">
        <v>90</v>
      </c>
      <c r="P108" s="334"/>
      <c r="Q108" s="334">
        <v>2000</v>
      </c>
      <c r="R108" s="334">
        <v>2000</v>
      </c>
      <c r="S108" s="334" t="s">
        <v>2</v>
      </c>
      <c r="T108" s="334">
        <v>7</v>
      </c>
      <c r="U108" s="334">
        <v>50000</v>
      </c>
      <c r="V108" s="256">
        <v>740954</v>
      </c>
      <c r="W108" s="334">
        <v>131603</v>
      </c>
      <c r="X108" s="349">
        <f>W108/R108</f>
        <v>65.801500000000004</v>
      </c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4"/>
      <c r="AI108" s="334"/>
      <c r="AJ108" s="301">
        <f t="shared" si="9"/>
        <v>0</v>
      </c>
      <c r="AK108" s="256">
        <v>150046</v>
      </c>
      <c r="AL108" s="334">
        <v>85</v>
      </c>
      <c r="AQ108" s="339">
        <v>1</v>
      </c>
      <c r="AR108" s="339">
        <v>2</v>
      </c>
      <c r="AU108" s="339" t="s">
        <v>1297</v>
      </c>
    </row>
    <row r="109" spans="1:47" s="333" customFormat="1" ht="15" customHeight="1">
      <c r="A109" s="260">
        <v>218</v>
      </c>
      <c r="B109" s="331" t="s">
        <v>18</v>
      </c>
      <c r="C109" s="331" t="s">
        <v>1286</v>
      </c>
      <c r="D109" s="332">
        <v>40179</v>
      </c>
      <c r="E109" s="332">
        <v>41974</v>
      </c>
      <c r="F109" s="337" t="s">
        <v>24</v>
      </c>
      <c r="G109" s="273" t="s">
        <v>1454</v>
      </c>
      <c r="H109" s="331" t="s">
        <v>1542</v>
      </c>
      <c r="I109" s="278" t="s">
        <v>2438</v>
      </c>
      <c r="J109" s="334">
        <v>400000</v>
      </c>
      <c r="K109" s="335">
        <v>247279612</v>
      </c>
      <c r="L109" s="335">
        <v>224347532</v>
      </c>
      <c r="M109" s="335">
        <v>156006676</v>
      </c>
      <c r="N109" s="256">
        <f t="shared" si="8"/>
        <v>390.01668999999998</v>
      </c>
      <c r="O109" s="335">
        <v>91</v>
      </c>
      <c r="P109" s="334">
        <v>22500</v>
      </c>
      <c r="Q109" s="334">
        <v>37295</v>
      </c>
      <c r="R109" s="334">
        <v>137082</v>
      </c>
      <c r="S109" s="335" t="s">
        <v>2</v>
      </c>
      <c r="T109" s="335">
        <f>316+166+51+28</f>
        <v>561</v>
      </c>
      <c r="U109" s="335">
        <v>136202</v>
      </c>
      <c r="V109" s="335">
        <v>20956936</v>
      </c>
      <c r="W109" s="335">
        <v>19607395</v>
      </c>
      <c r="X109" s="349">
        <f>W109/R109</f>
        <v>143.03405990574984</v>
      </c>
      <c r="Y109" s="334"/>
      <c r="Z109" s="334"/>
      <c r="AA109" s="334">
        <v>136202</v>
      </c>
      <c r="AB109" s="334">
        <v>55</v>
      </c>
      <c r="AC109" s="334">
        <v>211</v>
      </c>
      <c r="AD109" s="334">
        <v>29</v>
      </c>
      <c r="AE109" s="334">
        <v>5159</v>
      </c>
      <c r="AF109" s="334"/>
      <c r="AG109" s="334">
        <v>15319</v>
      </c>
      <c r="AH109" s="334"/>
      <c r="AI109" s="334"/>
      <c r="AJ109" s="301">
        <f t="shared" si="9"/>
        <v>136202</v>
      </c>
      <c r="AK109" s="335">
        <v>1079729</v>
      </c>
      <c r="AL109" s="335">
        <v>720865</v>
      </c>
      <c r="AN109" s="333">
        <v>2</v>
      </c>
      <c r="AO109" s="333">
        <v>3</v>
      </c>
      <c r="AQ109" s="333">
        <v>2</v>
      </c>
      <c r="AR109" s="333">
        <v>4</v>
      </c>
      <c r="AU109" s="336" t="s">
        <v>1383</v>
      </c>
    </row>
    <row r="110" spans="1:47" s="333" customFormat="1" ht="15" customHeight="1">
      <c r="A110" s="260">
        <v>219</v>
      </c>
      <c r="B110" s="331" t="s">
        <v>28</v>
      </c>
      <c r="C110" s="331" t="s">
        <v>1261</v>
      </c>
      <c r="D110" s="332">
        <v>40391</v>
      </c>
      <c r="E110" s="332">
        <v>40725</v>
      </c>
      <c r="F110" s="331" t="s">
        <v>1382</v>
      </c>
      <c r="G110" s="273" t="s">
        <v>1451</v>
      </c>
      <c r="H110" s="333" t="s">
        <v>1393</v>
      </c>
      <c r="I110" s="278" t="s">
        <v>2438</v>
      </c>
      <c r="J110" s="334">
        <v>1600000</v>
      </c>
      <c r="K110" s="335">
        <v>129768678</v>
      </c>
      <c r="L110" s="335">
        <v>77200222</v>
      </c>
      <c r="M110" s="341">
        <v>56188166</v>
      </c>
      <c r="N110" s="256">
        <f t="shared" si="8"/>
        <v>35.117603750000001</v>
      </c>
      <c r="O110" s="335">
        <v>71</v>
      </c>
      <c r="P110" s="334">
        <v>156500</v>
      </c>
      <c r="Q110" s="334">
        <v>20025</v>
      </c>
      <c r="R110" s="334">
        <v>156500</v>
      </c>
      <c r="S110" s="335" t="s">
        <v>2</v>
      </c>
      <c r="T110" s="335">
        <v>18</v>
      </c>
      <c r="U110" s="335">
        <v>12994</v>
      </c>
      <c r="V110" s="335">
        <v>7326300</v>
      </c>
      <c r="W110" s="335">
        <v>2008803</v>
      </c>
      <c r="X110" s="349">
        <f>W110/R110</f>
        <v>12.835801916932907</v>
      </c>
      <c r="Y110" s="334">
        <v>60016</v>
      </c>
      <c r="Z110" s="334"/>
      <c r="AA110" s="334">
        <v>935823</v>
      </c>
      <c r="AB110" s="334">
        <v>312</v>
      </c>
      <c r="AC110" s="334"/>
      <c r="AD110" s="334"/>
      <c r="AE110" s="334"/>
      <c r="AF110" s="334"/>
      <c r="AG110" s="334"/>
      <c r="AH110" s="334"/>
      <c r="AI110" s="334"/>
      <c r="AJ110" s="301">
        <f t="shared" si="9"/>
        <v>935823</v>
      </c>
      <c r="AK110" s="335">
        <v>2537500</v>
      </c>
      <c r="AL110" s="335">
        <v>708664</v>
      </c>
      <c r="AN110" s="333">
        <v>2</v>
      </c>
      <c r="AO110" s="333">
        <v>1</v>
      </c>
      <c r="AP110" s="333">
        <v>1</v>
      </c>
      <c r="AR110" s="333">
        <v>2</v>
      </c>
      <c r="AS110" s="331" t="s">
        <v>1543</v>
      </c>
      <c r="AU110" s="336" t="s">
        <v>1441</v>
      </c>
    </row>
    <row r="111" spans="1:47" s="333" customFormat="1" ht="19.5" customHeight="1">
      <c r="A111" s="260">
        <v>220</v>
      </c>
      <c r="B111" s="331" t="s">
        <v>1395</v>
      </c>
      <c r="C111" s="331" t="s">
        <v>1278</v>
      </c>
      <c r="D111" s="332">
        <v>40179</v>
      </c>
      <c r="E111" s="332">
        <v>40513</v>
      </c>
      <c r="F111" s="331" t="s">
        <v>1396</v>
      </c>
      <c r="G111" s="273" t="s">
        <v>1452</v>
      </c>
      <c r="H111" s="333" t="s">
        <v>1546</v>
      </c>
      <c r="I111" s="278" t="s">
        <v>2438</v>
      </c>
      <c r="J111" s="334">
        <v>68000</v>
      </c>
      <c r="K111" s="335">
        <v>3216107</v>
      </c>
      <c r="L111" s="335"/>
      <c r="M111" s="335"/>
      <c r="N111" s="256">
        <f t="shared" si="8"/>
        <v>0</v>
      </c>
      <c r="O111" s="335"/>
      <c r="P111" s="334"/>
      <c r="Q111" s="334"/>
      <c r="R111" s="334"/>
      <c r="S111" s="335"/>
      <c r="T111" s="335"/>
      <c r="U111" s="335">
        <v>13000</v>
      </c>
      <c r="V111" s="335"/>
      <c r="W111" s="335"/>
      <c r="X111" s="335"/>
      <c r="Y111" s="334"/>
      <c r="Z111" s="334"/>
      <c r="AA111" s="334">
        <v>20</v>
      </c>
      <c r="AB111" s="334">
        <v>45000</v>
      </c>
      <c r="AC111" s="334"/>
      <c r="AD111" s="334"/>
      <c r="AE111" s="334"/>
      <c r="AF111" s="334"/>
      <c r="AG111" s="334"/>
      <c r="AH111" s="334"/>
      <c r="AI111" s="334"/>
      <c r="AJ111" s="301">
        <f t="shared" si="9"/>
        <v>20</v>
      </c>
      <c r="AK111" s="335">
        <v>1145000</v>
      </c>
      <c r="AL111" s="335"/>
      <c r="AU111" s="336" t="s">
        <v>1547</v>
      </c>
    </row>
    <row r="112" spans="1:47" s="333" customFormat="1" ht="64.5">
      <c r="A112" s="260">
        <v>221</v>
      </c>
      <c r="B112" s="331" t="s">
        <v>1401</v>
      </c>
      <c r="C112" s="331" t="s">
        <v>1286</v>
      </c>
      <c r="D112" s="332">
        <v>40513</v>
      </c>
      <c r="E112" s="332">
        <v>40756</v>
      </c>
      <c r="F112" s="333" t="s">
        <v>5</v>
      </c>
      <c r="G112" s="273" t="s">
        <v>1451</v>
      </c>
      <c r="H112" s="333" t="s">
        <v>1411</v>
      </c>
      <c r="I112" s="278" t="s">
        <v>2438</v>
      </c>
      <c r="J112" s="334">
        <v>12500</v>
      </c>
      <c r="K112" s="335">
        <v>575146</v>
      </c>
      <c r="L112" s="335">
        <v>429887</v>
      </c>
      <c r="M112" s="335">
        <v>429887</v>
      </c>
      <c r="N112" s="256">
        <f t="shared" si="8"/>
        <v>34.39096</v>
      </c>
      <c r="O112" s="335"/>
      <c r="P112" s="334"/>
      <c r="Q112" s="334"/>
      <c r="R112" s="334"/>
      <c r="S112" s="335"/>
      <c r="T112" s="335"/>
      <c r="U112" s="335">
        <v>5255</v>
      </c>
      <c r="V112" s="335">
        <v>276750</v>
      </c>
      <c r="W112" s="335">
        <v>196822</v>
      </c>
      <c r="X112" s="335"/>
      <c r="Y112" s="334"/>
      <c r="Z112" s="334">
        <v>750</v>
      </c>
      <c r="AA112" s="334"/>
      <c r="AB112" s="334">
        <v>87</v>
      </c>
      <c r="AC112" s="334"/>
      <c r="AD112" s="334"/>
      <c r="AE112" s="334"/>
      <c r="AF112" s="334"/>
      <c r="AG112" s="334"/>
      <c r="AH112" s="334"/>
      <c r="AI112" s="334"/>
      <c r="AJ112" s="301">
        <f t="shared" si="9"/>
        <v>750</v>
      </c>
      <c r="AK112" s="335"/>
      <c r="AL112" s="335"/>
      <c r="AU112" s="336" t="s">
        <v>1410</v>
      </c>
    </row>
    <row r="113" spans="1:47" s="333" customFormat="1" ht="18.75" customHeight="1">
      <c r="A113" s="260">
        <v>222</v>
      </c>
      <c r="B113" s="331" t="s">
        <v>2305</v>
      </c>
      <c r="C113" s="331" t="s">
        <v>1286</v>
      </c>
      <c r="D113" s="332">
        <v>40422</v>
      </c>
      <c r="E113" s="332">
        <v>40513</v>
      </c>
      <c r="F113" s="333" t="s">
        <v>1576</v>
      </c>
      <c r="G113" s="273" t="s">
        <v>1450</v>
      </c>
      <c r="H113" s="333" t="s">
        <v>1574</v>
      </c>
      <c r="I113" s="254" t="s">
        <v>2331</v>
      </c>
      <c r="J113" s="334">
        <v>7600</v>
      </c>
      <c r="K113" s="335">
        <v>20000</v>
      </c>
      <c r="L113" s="335">
        <v>18317</v>
      </c>
      <c r="M113" s="335">
        <v>18317</v>
      </c>
      <c r="N113" s="256">
        <f t="shared" si="8"/>
        <v>2.4101315789473685</v>
      </c>
      <c r="O113" s="335">
        <v>92</v>
      </c>
      <c r="P113" s="334"/>
      <c r="Q113" s="334"/>
      <c r="R113" s="334"/>
      <c r="S113" s="335"/>
      <c r="T113" s="335"/>
      <c r="U113" s="335"/>
      <c r="V113" s="335"/>
      <c r="W113" s="335"/>
      <c r="X113" s="335"/>
      <c r="Y113" s="334"/>
      <c r="Z113" s="334"/>
      <c r="AA113" s="334"/>
      <c r="AB113" s="334"/>
      <c r="AC113" s="334"/>
      <c r="AD113" s="334"/>
      <c r="AE113" s="334"/>
      <c r="AF113" s="334"/>
      <c r="AG113" s="334"/>
      <c r="AH113" s="334"/>
      <c r="AI113" s="334"/>
      <c r="AJ113" s="288">
        <f t="shared" si="9"/>
        <v>0</v>
      </c>
      <c r="AK113" s="335"/>
      <c r="AL113" s="335"/>
      <c r="AU113" s="336" t="s">
        <v>1573</v>
      </c>
    </row>
    <row r="114" spans="1:47" s="333" customFormat="1" ht="64.5">
      <c r="A114" s="260">
        <v>223</v>
      </c>
      <c r="B114" s="331" t="s">
        <v>1578</v>
      </c>
      <c r="C114" s="331" t="s">
        <v>1581</v>
      </c>
      <c r="D114" s="332">
        <v>40422</v>
      </c>
      <c r="E114" s="332">
        <v>40513</v>
      </c>
      <c r="F114" s="333" t="s">
        <v>1579</v>
      </c>
      <c r="G114" s="273" t="s">
        <v>1450</v>
      </c>
      <c r="H114" s="333" t="s">
        <v>1580</v>
      </c>
      <c r="I114" s="254" t="s">
        <v>2331</v>
      </c>
      <c r="J114" s="334">
        <v>525</v>
      </c>
      <c r="K114" s="335">
        <v>51127</v>
      </c>
      <c r="L114" s="335">
        <v>49006</v>
      </c>
      <c r="M114" s="335">
        <v>49006</v>
      </c>
      <c r="N114" s="256">
        <f t="shared" si="8"/>
        <v>93.34476190476191</v>
      </c>
      <c r="O114" s="335">
        <v>96</v>
      </c>
      <c r="P114" s="334"/>
      <c r="Q114" s="334"/>
      <c r="R114" s="334"/>
      <c r="S114" s="335"/>
      <c r="T114" s="335"/>
      <c r="U114" s="335"/>
      <c r="V114" s="335"/>
      <c r="W114" s="335"/>
      <c r="X114" s="335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4"/>
      <c r="AI114" s="334"/>
      <c r="AJ114" s="288">
        <f t="shared" si="9"/>
        <v>0</v>
      </c>
      <c r="AK114" s="335"/>
      <c r="AL114" s="335"/>
      <c r="AU114" s="336" t="s">
        <v>1577</v>
      </c>
    </row>
    <row r="115" spans="1:47" s="333" customFormat="1" ht="25.5" customHeight="1">
      <c r="A115" s="260">
        <v>224</v>
      </c>
      <c r="B115" s="331" t="s">
        <v>1207</v>
      </c>
      <c r="C115" s="331" t="s">
        <v>1260</v>
      </c>
      <c r="D115" s="332">
        <v>40513</v>
      </c>
      <c r="E115" s="332">
        <v>40603</v>
      </c>
      <c r="F115" s="333" t="s">
        <v>1584</v>
      </c>
      <c r="G115" s="273" t="s">
        <v>1451</v>
      </c>
      <c r="H115" s="333" t="s">
        <v>1582</v>
      </c>
      <c r="I115" s="254" t="s">
        <v>2331</v>
      </c>
      <c r="J115" s="334">
        <v>12000</v>
      </c>
      <c r="K115" s="335"/>
      <c r="L115" s="335"/>
      <c r="M115" s="335">
        <v>204030.57</v>
      </c>
      <c r="N115" s="256">
        <f t="shared" si="8"/>
        <v>17.002547500000002</v>
      </c>
      <c r="O115" s="335"/>
      <c r="P115" s="334"/>
      <c r="Q115" s="334"/>
      <c r="R115" s="334"/>
      <c r="S115" s="335"/>
      <c r="T115" s="335"/>
      <c r="U115" s="335"/>
      <c r="V115" s="335"/>
      <c r="W115" s="335"/>
      <c r="X115" s="335"/>
      <c r="Y115" s="334"/>
      <c r="Z115" s="334"/>
      <c r="AA115" s="334"/>
      <c r="AB115" s="334"/>
      <c r="AC115" s="334"/>
      <c r="AD115" s="334"/>
      <c r="AE115" s="334"/>
      <c r="AF115" s="334"/>
      <c r="AG115" s="334"/>
      <c r="AH115" s="334"/>
      <c r="AI115" s="334"/>
      <c r="AJ115" s="288">
        <f t="shared" si="9"/>
        <v>0</v>
      </c>
      <c r="AK115" s="335"/>
      <c r="AL115" s="335"/>
      <c r="AU115" s="336" t="s">
        <v>1583</v>
      </c>
    </row>
    <row r="116" spans="1:47" s="333" customFormat="1" ht="15" customHeight="1">
      <c r="A116" s="260">
        <v>225</v>
      </c>
      <c r="B116" s="331" t="s">
        <v>1585</v>
      </c>
      <c r="C116" s="331" t="s">
        <v>1260</v>
      </c>
      <c r="D116" s="332">
        <v>40299</v>
      </c>
      <c r="E116" s="332">
        <v>40422</v>
      </c>
      <c r="F116" s="333" t="s">
        <v>5</v>
      </c>
      <c r="G116" s="273" t="s">
        <v>1451</v>
      </c>
      <c r="H116" s="333" t="s">
        <v>1586</v>
      </c>
      <c r="I116" s="254" t="s">
        <v>2331</v>
      </c>
      <c r="J116" s="334">
        <v>2195</v>
      </c>
      <c r="K116" s="335"/>
      <c r="L116" s="335"/>
      <c r="M116" s="335">
        <v>171321</v>
      </c>
      <c r="N116" s="256">
        <f t="shared" si="8"/>
        <v>78.050569476082003</v>
      </c>
      <c r="O116" s="335"/>
      <c r="P116" s="334"/>
      <c r="Q116" s="334"/>
      <c r="R116" s="334"/>
      <c r="S116" s="335"/>
      <c r="T116" s="335"/>
      <c r="U116" s="335"/>
      <c r="V116" s="335"/>
      <c r="W116" s="335"/>
      <c r="X116" s="335"/>
      <c r="Y116" s="334"/>
      <c r="Z116" s="334"/>
      <c r="AA116" s="334"/>
      <c r="AB116" s="334"/>
      <c r="AC116" s="334"/>
      <c r="AD116" s="334"/>
      <c r="AE116" s="334"/>
      <c r="AF116" s="334"/>
      <c r="AG116" s="334"/>
      <c r="AH116" s="334"/>
      <c r="AI116" s="334"/>
      <c r="AJ116" s="288">
        <f t="shared" si="9"/>
        <v>0</v>
      </c>
      <c r="AK116" s="335"/>
      <c r="AL116" s="335"/>
      <c r="AU116" s="336" t="s">
        <v>1589</v>
      </c>
    </row>
    <row r="117" spans="1:47" s="333" customFormat="1" ht="64.5">
      <c r="A117" s="260">
        <v>226</v>
      </c>
      <c r="B117" s="331" t="s">
        <v>6</v>
      </c>
      <c r="C117" s="331" t="s">
        <v>1261</v>
      </c>
      <c r="D117" s="332">
        <v>40179</v>
      </c>
      <c r="E117" s="332">
        <v>40238</v>
      </c>
      <c r="F117" s="333" t="s">
        <v>1195</v>
      </c>
      <c r="G117" s="273" t="s">
        <v>1453</v>
      </c>
      <c r="H117" s="333" t="s">
        <v>1588</v>
      </c>
      <c r="I117" s="254" t="s">
        <v>2331</v>
      </c>
      <c r="J117" s="334">
        <v>50000</v>
      </c>
      <c r="K117" s="335"/>
      <c r="L117" s="335"/>
      <c r="M117" s="335">
        <v>200989.66</v>
      </c>
      <c r="N117" s="256">
        <f t="shared" si="8"/>
        <v>4.0197932000000005</v>
      </c>
      <c r="O117" s="335"/>
      <c r="P117" s="334"/>
      <c r="Q117" s="334"/>
      <c r="R117" s="334"/>
      <c r="S117" s="335"/>
      <c r="T117" s="335"/>
      <c r="U117" s="335"/>
      <c r="V117" s="335"/>
      <c r="W117" s="335"/>
      <c r="X117" s="335"/>
      <c r="Y117" s="334"/>
      <c r="Z117" s="334"/>
      <c r="AA117" s="334"/>
      <c r="AB117" s="334"/>
      <c r="AC117" s="334"/>
      <c r="AD117" s="334"/>
      <c r="AE117" s="334"/>
      <c r="AF117" s="334"/>
      <c r="AG117" s="334"/>
      <c r="AH117" s="334"/>
      <c r="AI117" s="334"/>
      <c r="AJ117" s="288">
        <f t="shared" si="9"/>
        <v>0</v>
      </c>
      <c r="AK117" s="335"/>
      <c r="AL117" s="335"/>
      <c r="AU117" s="336" t="s">
        <v>1587</v>
      </c>
    </row>
    <row r="118" spans="1:47" s="333" customFormat="1" ht="64.5">
      <c r="A118" s="260">
        <v>227</v>
      </c>
      <c r="B118" s="331" t="s">
        <v>6</v>
      </c>
      <c r="C118" s="331" t="s">
        <v>1261</v>
      </c>
      <c r="D118" s="332">
        <v>40269</v>
      </c>
      <c r="E118" s="332">
        <v>40391</v>
      </c>
      <c r="F118" s="333" t="s">
        <v>1590</v>
      </c>
      <c r="G118" s="273" t="s">
        <v>1450</v>
      </c>
      <c r="H118" s="333" t="s">
        <v>1592</v>
      </c>
      <c r="I118" s="254" t="s">
        <v>2331</v>
      </c>
      <c r="J118" s="334">
        <v>22500</v>
      </c>
      <c r="K118" s="335"/>
      <c r="L118" s="335"/>
      <c r="M118" s="335">
        <v>251252.61</v>
      </c>
      <c r="N118" s="256">
        <f t="shared" si="8"/>
        <v>11.166782666666666</v>
      </c>
      <c r="O118" s="335"/>
      <c r="P118" s="334"/>
      <c r="Q118" s="334"/>
      <c r="R118" s="334"/>
      <c r="S118" s="335"/>
      <c r="T118" s="335"/>
      <c r="U118" s="335"/>
      <c r="V118" s="335"/>
      <c r="W118" s="335"/>
      <c r="X118" s="335"/>
      <c r="Y118" s="334"/>
      <c r="Z118" s="334"/>
      <c r="AA118" s="334"/>
      <c r="AB118" s="334"/>
      <c r="AC118" s="334"/>
      <c r="AD118" s="334"/>
      <c r="AE118" s="334"/>
      <c r="AF118" s="334"/>
      <c r="AG118" s="334"/>
      <c r="AH118" s="334"/>
      <c r="AI118" s="334"/>
      <c r="AJ118" s="288">
        <f t="shared" si="9"/>
        <v>0</v>
      </c>
      <c r="AK118" s="335"/>
      <c r="AL118" s="335"/>
      <c r="AU118" s="336" t="s">
        <v>1591</v>
      </c>
    </row>
    <row r="119" spans="1:47" s="333" customFormat="1" ht="17.25" customHeight="1">
      <c r="A119" s="260">
        <v>228</v>
      </c>
      <c r="B119" s="331" t="s">
        <v>6</v>
      </c>
      <c r="C119" s="331" t="s">
        <v>1261</v>
      </c>
      <c r="D119" s="332">
        <v>40330</v>
      </c>
      <c r="E119" s="332">
        <v>40422</v>
      </c>
      <c r="F119" s="333" t="s">
        <v>1595</v>
      </c>
      <c r="G119" s="273" t="s">
        <v>1451</v>
      </c>
      <c r="H119" s="333" t="s">
        <v>1594</v>
      </c>
      <c r="I119" s="254" t="s">
        <v>2331</v>
      </c>
      <c r="J119" s="334">
        <v>6500</v>
      </c>
      <c r="K119" s="335"/>
      <c r="L119" s="335"/>
      <c r="M119" s="335">
        <v>109677.84</v>
      </c>
      <c r="N119" s="256">
        <f t="shared" si="8"/>
        <v>16.873513846153845</v>
      </c>
      <c r="O119" s="335"/>
      <c r="P119" s="334"/>
      <c r="Q119" s="334"/>
      <c r="R119" s="334"/>
      <c r="S119" s="335"/>
      <c r="T119" s="335"/>
      <c r="U119" s="335"/>
      <c r="V119" s="335"/>
      <c r="W119" s="335"/>
      <c r="X119" s="335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288">
        <f t="shared" si="9"/>
        <v>0</v>
      </c>
      <c r="AK119" s="335"/>
      <c r="AL119" s="335"/>
      <c r="AU119" s="336" t="s">
        <v>1593</v>
      </c>
    </row>
    <row r="120" spans="1:47" s="333" customFormat="1" ht="64.5">
      <c r="A120" s="260">
        <v>229</v>
      </c>
      <c r="B120" s="331" t="s">
        <v>515</v>
      </c>
      <c r="C120" s="331" t="s">
        <v>1299</v>
      </c>
      <c r="D120" s="332">
        <v>40269</v>
      </c>
      <c r="E120" s="332">
        <v>40391</v>
      </c>
      <c r="F120" s="333" t="s">
        <v>987</v>
      </c>
      <c r="G120" s="273" t="s">
        <v>1452</v>
      </c>
      <c r="H120" s="333" t="s">
        <v>1597</v>
      </c>
      <c r="I120" s="254" t="s">
        <v>2331</v>
      </c>
      <c r="J120" s="334">
        <v>60000</v>
      </c>
      <c r="K120" s="335"/>
      <c r="L120" s="335"/>
      <c r="M120" s="335">
        <v>21291.05</v>
      </c>
      <c r="N120" s="256">
        <f t="shared" si="8"/>
        <v>0.35485083333333334</v>
      </c>
      <c r="O120" s="335"/>
      <c r="P120" s="334"/>
      <c r="Q120" s="334"/>
      <c r="R120" s="334"/>
      <c r="S120" s="335"/>
      <c r="T120" s="335"/>
      <c r="U120" s="335"/>
      <c r="V120" s="335"/>
      <c r="W120" s="335"/>
      <c r="X120" s="335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288">
        <f t="shared" si="9"/>
        <v>0</v>
      </c>
      <c r="AK120" s="335"/>
      <c r="AL120" s="335"/>
      <c r="AU120" s="336" t="s">
        <v>1596</v>
      </c>
    </row>
    <row r="121" spans="1:47" s="333" customFormat="1" ht="64.5">
      <c r="A121" s="260">
        <v>230</v>
      </c>
      <c r="B121" s="331" t="s">
        <v>1598</v>
      </c>
      <c r="C121" s="331" t="s">
        <v>1286</v>
      </c>
      <c r="D121" s="332">
        <v>40269</v>
      </c>
      <c r="E121" s="332">
        <v>40360</v>
      </c>
      <c r="F121" s="333" t="s">
        <v>5</v>
      </c>
      <c r="G121" s="273" t="s">
        <v>1451</v>
      </c>
      <c r="H121" s="333" t="s">
        <v>1599</v>
      </c>
      <c r="I121" s="254" t="s">
        <v>2331</v>
      </c>
      <c r="J121" s="334">
        <v>15000</v>
      </c>
      <c r="K121" s="335"/>
      <c r="L121" s="335"/>
      <c r="M121" s="335">
        <v>151580.1</v>
      </c>
      <c r="N121" s="256">
        <f t="shared" si="8"/>
        <v>10.10534</v>
      </c>
      <c r="O121" s="335"/>
      <c r="P121" s="334"/>
      <c r="Q121" s="334"/>
      <c r="R121" s="334"/>
      <c r="S121" s="335"/>
      <c r="T121" s="335"/>
      <c r="U121" s="335"/>
      <c r="V121" s="335"/>
      <c r="W121" s="335"/>
      <c r="X121" s="335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288">
        <f t="shared" si="9"/>
        <v>0</v>
      </c>
      <c r="AK121" s="335"/>
      <c r="AL121" s="335"/>
      <c r="AU121" s="336" t="s">
        <v>1600</v>
      </c>
    </row>
    <row r="122" spans="1:47" s="333" customFormat="1" ht="23.25" customHeight="1">
      <c r="A122" s="260">
        <v>231</v>
      </c>
      <c r="B122" s="331" t="s">
        <v>536</v>
      </c>
      <c r="C122" s="331" t="s">
        <v>1286</v>
      </c>
      <c r="D122" s="332">
        <v>40483</v>
      </c>
      <c r="E122" s="332">
        <v>40210</v>
      </c>
      <c r="F122" s="333" t="s">
        <v>5</v>
      </c>
      <c r="G122" s="273" t="s">
        <v>1451</v>
      </c>
      <c r="H122" s="333" t="s">
        <v>1602</v>
      </c>
      <c r="I122" s="254" t="s">
        <v>2331</v>
      </c>
      <c r="J122" s="334">
        <v>3020</v>
      </c>
      <c r="K122" s="335"/>
      <c r="L122" s="335"/>
      <c r="M122" s="335">
        <v>20143.73</v>
      </c>
      <c r="N122" s="256">
        <f t="shared" si="8"/>
        <v>6.6701092715231782</v>
      </c>
      <c r="O122" s="335"/>
      <c r="P122" s="334"/>
      <c r="Q122" s="334"/>
      <c r="R122" s="334"/>
      <c r="S122" s="335"/>
      <c r="T122" s="335"/>
      <c r="U122" s="335"/>
      <c r="V122" s="335"/>
      <c r="W122" s="335"/>
      <c r="X122" s="335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288">
        <f t="shared" si="9"/>
        <v>0</v>
      </c>
      <c r="AK122" s="335"/>
      <c r="AL122" s="335"/>
      <c r="AU122" s="333" t="s">
        <v>1601</v>
      </c>
    </row>
    <row r="123" spans="1:47" s="333" customFormat="1" ht="18.75" customHeight="1">
      <c r="A123" s="260">
        <v>232</v>
      </c>
      <c r="B123" s="331" t="s">
        <v>607</v>
      </c>
      <c r="C123" s="331" t="s">
        <v>1299</v>
      </c>
      <c r="D123" s="332">
        <v>40422</v>
      </c>
      <c r="E123" s="332">
        <v>40483</v>
      </c>
      <c r="F123" s="333" t="s">
        <v>5</v>
      </c>
      <c r="G123" s="273" t="s">
        <v>1451</v>
      </c>
      <c r="H123" s="333" t="s">
        <v>1604</v>
      </c>
      <c r="I123" s="254" t="s">
        <v>2331</v>
      </c>
      <c r="J123" s="334">
        <v>25000</v>
      </c>
      <c r="K123" s="335"/>
      <c r="L123" s="335"/>
      <c r="M123" s="335">
        <v>130813.95</v>
      </c>
      <c r="N123" s="256">
        <f t="shared" si="8"/>
        <v>5.232558</v>
      </c>
      <c r="O123" s="335"/>
      <c r="P123" s="334"/>
      <c r="Q123" s="334"/>
      <c r="R123" s="334"/>
      <c r="S123" s="335"/>
      <c r="T123" s="335"/>
      <c r="U123" s="335"/>
      <c r="V123" s="335"/>
      <c r="W123" s="335"/>
      <c r="X123" s="335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4"/>
      <c r="AI123" s="334"/>
      <c r="AJ123" s="288">
        <f t="shared" si="9"/>
        <v>0</v>
      </c>
      <c r="AK123" s="335"/>
      <c r="AL123" s="335"/>
      <c r="AU123" s="336" t="s">
        <v>1603</v>
      </c>
    </row>
    <row r="124" spans="1:47" s="333" customFormat="1" ht="21.75" customHeight="1">
      <c r="A124" s="260">
        <v>233</v>
      </c>
      <c r="B124" s="331" t="s">
        <v>1040</v>
      </c>
      <c r="C124" s="331" t="s">
        <v>1286</v>
      </c>
      <c r="D124" s="332">
        <v>40330</v>
      </c>
      <c r="E124" s="332">
        <v>40391</v>
      </c>
      <c r="F124" s="333" t="s">
        <v>1575</v>
      </c>
      <c r="G124" s="273" t="s">
        <v>1450</v>
      </c>
      <c r="H124" s="333" t="s">
        <v>1606</v>
      </c>
      <c r="I124" s="254" t="s">
        <v>2331</v>
      </c>
      <c r="J124" s="334">
        <v>2460</v>
      </c>
      <c r="K124" s="335"/>
      <c r="L124" s="335"/>
      <c r="M124" s="335">
        <v>76915.7</v>
      </c>
      <c r="N124" s="256">
        <f t="shared" si="8"/>
        <v>31.266544715447154</v>
      </c>
      <c r="O124" s="335"/>
      <c r="P124" s="334"/>
      <c r="Q124" s="334"/>
      <c r="R124" s="334"/>
      <c r="S124" s="335"/>
      <c r="T124" s="335"/>
      <c r="U124" s="335"/>
      <c r="V124" s="335"/>
      <c r="W124" s="335"/>
      <c r="X124" s="335"/>
      <c r="Y124" s="334"/>
      <c r="Z124" s="334"/>
      <c r="AA124" s="334"/>
      <c r="AB124" s="334"/>
      <c r="AC124" s="334"/>
      <c r="AD124" s="334"/>
      <c r="AE124" s="334"/>
      <c r="AF124" s="334"/>
      <c r="AG124" s="334"/>
      <c r="AH124" s="334"/>
      <c r="AI124" s="334"/>
      <c r="AJ124" s="288">
        <f t="shared" si="9"/>
        <v>0</v>
      </c>
      <c r="AK124" s="335"/>
      <c r="AL124" s="335"/>
      <c r="AU124" s="336" t="s">
        <v>1605</v>
      </c>
    </row>
    <row r="125" spans="1:47" s="333" customFormat="1" ht="18" customHeight="1">
      <c r="A125" s="260">
        <v>234</v>
      </c>
      <c r="B125" s="331" t="s">
        <v>1337</v>
      </c>
      <c r="C125" s="331" t="s">
        <v>1261</v>
      </c>
      <c r="D125" s="332">
        <v>40422</v>
      </c>
      <c r="E125" s="332">
        <v>40603</v>
      </c>
      <c r="F125" s="333" t="s">
        <v>5</v>
      </c>
      <c r="G125" s="273" t="s">
        <v>1451</v>
      </c>
      <c r="H125" s="333" t="s">
        <v>1608</v>
      </c>
      <c r="I125" s="254" t="s">
        <v>2331</v>
      </c>
      <c r="J125" s="334">
        <v>25000</v>
      </c>
      <c r="K125" s="335"/>
      <c r="L125" s="335"/>
      <c r="M125" s="335">
        <v>145824.09</v>
      </c>
      <c r="N125" s="256">
        <f t="shared" si="8"/>
        <v>5.8329636000000002</v>
      </c>
      <c r="O125" s="335"/>
      <c r="P125" s="334"/>
      <c r="Q125" s="334"/>
      <c r="R125" s="334"/>
      <c r="S125" s="335"/>
      <c r="T125" s="335"/>
      <c r="U125" s="335"/>
      <c r="V125" s="335"/>
      <c r="W125" s="335"/>
      <c r="X125" s="335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4"/>
      <c r="AI125" s="334"/>
      <c r="AJ125" s="288">
        <f t="shared" si="9"/>
        <v>0</v>
      </c>
      <c r="AK125" s="335"/>
      <c r="AL125" s="335"/>
      <c r="AU125" s="336" t="s">
        <v>1607</v>
      </c>
    </row>
    <row r="126" spans="1:47" s="333" customFormat="1" ht="14.25" customHeight="1">
      <c r="A126" s="260">
        <v>235</v>
      </c>
      <c r="B126" s="331" t="s">
        <v>374</v>
      </c>
      <c r="C126" s="331" t="s">
        <v>1278</v>
      </c>
      <c r="D126" s="332">
        <v>40210</v>
      </c>
      <c r="E126" s="332">
        <v>40299</v>
      </c>
      <c r="F126" s="333" t="s">
        <v>1609</v>
      </c>
      <c r="G126" s="273" t="s">
        <v>1463</v>
      </c>
      <c r="H126" s="333" t="s">
        <v>1611</v>
      </c>
      <c r="I126" s="254" t="s">
        <v>2331</v>
      </c>
      <c r="J126" s="334">
        <v>23701</v>
      </c>
      <c r="K126" s="335"/>
      <c r="L126" s="335"/>
      <c r="M126" s="335">
        <v>23700.07</v>
      </c>
      <c r="N126" s="256">
        <f t="shared" si="8"/>
        <v>0.99996076114931853</v>
      </c>
      <c r="O126" s="335"/>
      <c r="P126" s="334"/>
      <c r="Q126" s="334"/>
      <c r="R126" s="334"/>
      <c r="S126" s="335"/>
      <c r="T126" s="335"/>
      <c r="U126" s="335"/>
      <c r="V126" s="335"/>
      <c r="W126" s="335"/>
      <c r="X126" s="335"/>
      <c r="Y126" s="334"/>
      <c r="Z126" s="334"/>
      <c r="AA126" s="334"/>
      <c r="AB126" s="334"/>
      <c r="AC126" s="334"/>
      <c r="AD126" s="334"/>
      <c r="AE126" s="334"/>
      <c r="AF126" s="334"/>
      <c r="AG126" s="334"/>
      <c r="AH126" s="334"/>
      <c r="AI126" s="334"/>
      <c r="AJ126" s="288">
        <f t="shared" si="9"/>
        <v>0</v>
      </c>
      <c r="AK126" s="335"/>
      <c r="AL126" s="335"/>
      <c r="AU126" s="336" t="s">
        <v>1610</v>
      </c>
    </row>
    <row r="127" spans="1:47" s="333" customFormat="1" ht="18" customHeight="1">
      <c r="A127" s="260">
        <v>236</v>
      </c>
      <c r="B127" s="331" t="s">
        <v>1612</v>
      </c>
      <c r="C127" s="331" t="s">
        <v>1278</v>
      </c>
      <c r="D127" s="332">
        <v>40179</v>
      </c>
      <c r="E127" s="332">
        <v>40238</v>
      </c>
      <c r="F127" s="333" t="s">
        <v>623</v>
      </c>
      <c r="G127" s="273" t="s">
        <v>1451</v>
      </c>
      <c r="H127" s="333" t="s">
        <v>1614</v>
      </c>
      <c r="I127" s="254" t="s">
        <v>2331</v>
      </c>
      <c r="J127" s="334">
        <v>1875</v>
      </c>
      <c r="K127" s="335"/>
      <c r="L127" s="335"/>
      <c r="M127" s="335">
        <v>75552.92</v>
      </c>
      <c r="N127" s="256">
        <f t="shared" si="8"/>
        <v>40.294890666666667</v>
      </c>
      <c r="O127" s="335"/>
      <c r="P127" s="334"/>
      <c r="Q127" s="334"/>
      <c r="R127" s="334"/>
      <c r="S127" s="335"/>
      <c r="T127" s="335"/>
      <c r="U127" s="335"/>
      <c r="V127" s="335"/>
      <c r="W127" s="335"/>
      <c r="X127" s="335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4"/>
      <c r="AI127" s="334"/>
      <c r="AJ127" s="288">
        <f t="shared" si="9"/>
        <v>0</v>
      </c>
      <c r="AK127" s="335"/>
      <c r="AL127" s="335"/>
      <c r="AU127" s="336" t="s">
        <v>1613</v>
      </c>
    </row>
    <row r="128" spans="1:47" s="333" customFormat="1" ht="21" customHeight="1">
      <c r="A128" s="260">
        <v>237</v>
      </c>
      <c r="B128" s="331" t="s">
        <v>871</v>
      </c>
      <c r="C128" s="331" t="s">
        <v>1260</v>
      </c>
      <c r="D128" s="332">
        <v>40391</v>
      </c>
      <c r="E128" s="332">
        <v>40513</v>
      </c>
      <c r="F128" s="333" t="s">
        <v>1615</v>
      </c>
      <c r="G128" s="273" t="s">
        <v>1453</v>
      </c>
      <c r="H128" s="333" t="s">
        <v>1617</v>
      </c>
      <c r="I128" s="254" t="s">
        <v>2331</v>
      </c>
      <c r="J128" s="334">
        <v>5067</v>
      </c>
      <c r="K128" s="335"/>
      <c r="L128" s="335"/>
      <c r="M128" s="335">
        <v>111771.35</v>
      </c>
      <c r="N128" s="256">
        <f t="shared" si="8"/>
        <v>22.05868363923426</v>
      </c>
      <c r="O128" s="335"/>
      <c r="P128" s="334"/>
      <c r="Q128" s="334"/>
      <c r="R128" s="334"/>
      <c r="S128" s="335"/>
      <c r="T128" s="335"/>
      <c r="U128" s="335"/>
      <c r="V128" s="335"/>
      <c r="W128" s="335"/>
      <c r="X128" s="335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4"/>
      <c r="AI128" s="334"/>
      <c r="AJ128" s="288">
        <f t="shared" si="9"/>
        <v>0</v>
      </c>
      <c r="AK128" s="335"/>
      <c r="AL128" s="335"/>
      <c r="AU128" s="336" t="s">
        <v>1616</v>
      </c>
    </row>
    <row r="129" spans="1:47" s="333" customFormat="1" ht="18.75" customHeight="1">
      <c r="A129" s="260">
        <v>238</v>
      </c>
      <c r="B129" s="331" t="s">
        <v>871</v>
      </c>
      <c r="C129" s="331" t="s">
        <v>1260</v>
      </c>
      <c r="D129" s="332">
        <v>40299</v>
      </c>
      <c r="E129" s="332">
        <v>40483</v>
      </c>
      <c r="F129" s="333" t="s">
        <v>1710</v>
      </c>
      <c r="G129" s="273" t="s">
        <v>1464</v>
      </c>
      <c r="I129" s="333" t="s">
        <v>2331</v>
      </c>
      <c r="J129" s="334">
        <v>250</v>
      </c>
      <c r="K129" s="335"/>
      <c r="L129" s="335"/>
      <c r="M129" s="335">
        <v>27878.9</v>
      </c>
      <c r="N129" s="256">
        <f t="shared" si="8"/>
        <v>111.51560000000001</v>
      </c>
      <c r="O129" s="335"/>
      <c r="P129" s="334"/>
      <c r="Q129" s="334"/>
      <c r="R129" s="334"/>
      <c r="S129" s="335"/>
      <c r="T129" s="335"/>
      <c r="U129" s="335"/>
      <c r="V129" s="335"/>
      <c r="W129" s="335"/>
      <c r="X129" s="335"/>
      <c r="Y129" s="334"/>
      <c r="Z129" s="334">
        <v>250</v>
      </c>
      <c r="AA129" s="334"/>
      <c r="AB129" s="334"/>
      <c r="AC129" s="334"/>
      <c r="AD129" s="334"/>
      <c r="AE129" s="334"/>
      <c r="AF129" s="334"/>
      <c r="AG129" s="334"/>
      <c r="AH129" s="334"/>
      <c r="AI129" s="334"/>
      <c r="AJ129" s="288">
        <f t="shared" si="9"/>
        <v>250</v>
      </c>
      <c r="AK129" s="335"/>
      <c r="AL129" s="335"/>
      <c r="AU129" s="17" t="s">
        <v>910</v>
      </c>
    </row>
    <row r="130" spans="1:47" s="266" customFormat="1" ht="14.25" customHeight="1">
      <c r="A130" s="260">
        <v>239</v>
      </c>
      <c r="B130" s="278" t="s">
        <v>140</v>
      </c>
      <c r="C130" s="261" t="s">
        <v>1299</v>
      </c>
      <c r="D130" s="262">
        <v>40513</v>
      </c>
      <c r="E130" s="262">
        <v>40422</v>
      </c>
      <c r="F130" s="304" t="s">
        <v>886</v>
      </c>
      <c r="G130" s="273" t="s">
        <v>1449</v>
      </c>
      <c r="H130" s="278" t="s">
        <v>887</v>
      </c>
      <c r="I130" s="254" t="s">
        <v>2331</v>
      </c>
      <c r="J130" s="263">
        <v>80000</v>
      </c>
      <c r="K130" s="263">
        <v>125701</v>
      </c>
      <c r="L130" s="263">
        <v>125701</v>
      </c>
      <c r="M130" s="263">
        <v>106244</v>
      </c>
      <c r="N130" s="256">
        <f t="shared" si="8"/>
        <v>1.32805</v>
      </c>
      <c r="O130" s="263">
        <v>100</v>
      </c>
      <c r="P130" s="263"/>
      <c r="Q130" s="263"/>
      <c r="R130" s="263"/>
      <c r="S130" s="261"/>
      <c r="T130" s="261"/>
      <c r="U130" s="261"/>
      <c r="V130" s="263"/>
      <c r="W130" s="263"/>
      <c r="X130" s="263"/>
      <c r="Y130" s="263">
        <v>70000</v>
      </c>
      <c r="Z130" s="263"/>
      <c r="AA130" s="263">
        <v>70000</v>
      </c>
      <c r="AB130" s="263">
        <v>800</v>
      </c>
      <c r="AC130" s="263" t="s">
        <v>714</v>
      </c>
      <c r="AD130" s="263" t="s">
        <v>94</v>
      </c>
      <c r="AE130" s="263"/>
      <c r="AF130" s="263"/>
      <c r="AG130" s="263"/>
      <c r="AH130" s="263"/>
      <c r="AI130" s="263"/>
      <c r="AJ130" s="301">
        <f t="shared" si="9"/>
        <v>70000</v>
      </c>
      <c r="AK130" s="263">
        <v>9738</v>
      </c>
      <c r="AL130" s="263">
        <v>9738</v>
      </c>
      <c r="AM130" s="261"/>
      <c r="AN130" s="261"/>
      <c r="AO130" s="261"/>
      <c r="AP130" s="261"/>
      <c r="AQ130" s="261"/>
      <c r="AR130" s="261"/>
      <c r="AS130" s="261"/>
      <c r="AT130" s="261"/>
      <c r="AU130" s="293" t="s">
        <v>888</v>
      </c>
    </row>
    <row r="132" spans="1:47" s="1" customFormat="1">
      <c r="A132" s="511" t="s">
        <v>1521</v>
      </c>
      <c r="B132" s="511"/>
      <c r="C132" s="511"/>
      <c r="D132" s="511"/>
      <c r="E132" s="511"/>
      <c r="F132" s="511"/>
      <c r="G132" s="511"/>
      <c r="H132" s="511"/>
      <c r="I132" s="511"/>
      <c r="J132" s="511">
        <f>SUBTOTAL(9,J3:J130)</f>
        <v>17039001</v>
      </c>
      <c r="K132" s="511">
        <f t="shared" ref="K132:L132" si="10">SUBTOTAL(9,K3:K130)</f>
        <v>544934870</v>
      </c>
      <c r="L132" s="511">
        <f t="shared" si="10"/>
        <v>406220618</v>
      </c>
      <c r="M132" s="511">
        <f t="shared" ref="M132" si="11">SUBTOTAL(9,M3:M130)</f>
        <v>305656574.18000001</v>
      </c>
      <c r="N132" s="511">
        <f>SUBTOTAL(1,N3:N130)</f>
        <v>42.218196165445775</v>
      </c>
      <c r="O132" s="511">
        <f>SUBTOTAL(1,O3:O130)</f>
        <v>88.547981651376148</v>
      </c>
      <c r="P132" s="511">
        <f>SUBTOTAL(9,P3:P130)</f>
        <v>2308854</v>
      </c>
      <c r="Q132" s="511">
        <f t="shared" ref="Q132:V132" si="12">SUBTOTAL(9,Q3:Q130)</f>
        <v>890088</v>
      </c>
      <c r="R132" s="511">
        <f t="shared" si="12"/>
        <v>2523041</v>
      </c>
      <c r="S132" s="511">
        <f>COUNTIF(S3:S130,S17)</f>
        <v>18</v>
      </c>
      <c r="T132" s="511">
        <f t="shared" si="12"/>
        <v>3859</v>
      </c>
      <c r="U132" s="511">
        <f t="shared" si="12"/>
        <v>2600598</v>
      </c>
      <c r="V132" s="511">
        <f t="shared" si="12"/>
        <v>38999626</v>
      </c>
      <c r="W132" s="511">
        <f>SUBTOTAL(9,W3:W130)</f>
        <v>27694680.520000003</v>
      </c>
      <c r="X132" s="511">
        <f>SUBTOTAL(1,X3:X130)</f>
        <v>9.4993021580779295</v>
      </c>
      <c r="Y132" s="511">
        <f>SUBTOTAL(9,Y3:Y131)</f>
        <v>2756208</v>
      </c>
      <c r="Z132" s="511">
        <f>SUBTOTAL(9,Z3:Z131)</f>
        <v>51603</v>
      </c>
      <c r="AA132" s="511">
        <f>SUBTOTAL(9,AA3:AA131)</f>
        <v>5211845</v>
      </c>
      <c r="AB132" s="511">
        <f t="shared" ref="AB132:AI132" si="13">SUBTOTAL(9,AB3:AB131)</f>
        <v>169536</v>
      </c>
      <c r="AC132" s="511">
        <f>COUNTIF(AC3:AC130,AC130)+ COUNT(AC3:AC130)</f>
        <v>13</v>
      </c>
      <c r="AD132" s="511">
        <f>COUNTIF(AD3:AD130,AD130)+ COUNT(AD3:AD130)</f>
        <v>8</v>
      </c>
      <c r="AE132" s="511">
        <f t="shared" si="13"/>
        <v>159875</v>
      </c>
      <c r="AF132" s="511">
        <f t="shared" si="13"/>
        <v>0</v>
      </c>
      <c r="AG132" s="511">
        <f t="shared" si="13"/>
        <v>32164</v>
      </c>
      <c r="AH132" s="511">
        <f t="shared" si="13"/>
        <v>36970</v>
      </c>
      <c r="AI132" s="511">
        <f t="shared" si="13"/>
        <v>384</v>
      </c>
      <c r="AJ132" s="511">
        <f>SUBTOTAL(9,AJ3:AJ130)</f>
        <v>5300418</v>
      </c>
      <c r="AK132" s="511">
        <f>SUBTOTAL(9,AK3:AK130)</f>
        <v>8919089</v>
      </c>
      <c r="AL132" s="511">
        <f>SUBTOTAL(9,AL3:AL130)</f>
        <v>4454019.75</v>
      </c>
      <c r="AM132" s="511"/>
      <c r="AN132" s="511"/>
      <c r="AO132" s="511"/>
      <c r="AP132" s="511"/>
      <c r="AQ132" s="511"/>
      <c r="AR132" s="511"/>
      <c r="AS132" s="511"/>
      <c r="AT132" s="511"/>
      <c r="AU132" s="511"/>
    </row>
  </sheetData>
  <autoFilter ref="A2:BV130"/>
  <mergeCells count="9">
    <mergeCell ref="AN1:AR1"/>
    <mergeCell ref="AS1:AT1"/>
    <mergeCell ref="AU1:AU2"/>
    <mergeCell ref="J1:O1"/>
    <mergeCell ref="P1:R1"/>
    <mergeCell ref="S1:U1"/>
    <mergeCell ref="V1:X1"/>
    <mergeCell ref="Y1:AI1"/>
    <mergeCell ref="AK1:AL1"/>
  </mergeCells>
  <hyperlinks>
    <hyperlink ref="AU3" r:id="rId1"/>
    <hyperlink ref="AU4" r:id="rId2"/>
    <hyperlink ref="AU5" r:id="rId3"/>
    <hyperlink ref="AU6" r:id="rId4"/>
    <hyperlink ref="AU12" r:id="rId5"/>
    <hyperlink ref="AU9" r:id="rId6"/>
    <hyperlink ref="AU15" r:id="rId7"/>
    <hyperlink ref="AU14" r:id="rId8"/>
    <hyperlink ref="AU13" r:id="rId9"/>
    <hyperlink ref="AU11" r:id="rId10"/>
    <hyperlink ref="AU10" r:id="rId11"/>
    <hyperlink ref="AU7" r:id="rId12"/>
    <hyperlink ref="AU8" r:id="rId13"/>
    <hyperlink ref="AU17" r:id="rId14"/>
    <hyperlink ref="AU16" r:id="rId15"/>
    <hyperlink ref="AU18" r:id="rId16"/>
    <hyperlink ref="AU19" r:id="rId17"/>
    <hyperlink ref="AU20" r:id="rId18"/>
    <hyperlink ref="AU22" r:id="rId19"/>
    <hyperlink ref="AU21" r:id="rId20"/>
    <hyperlink ref="AU23" r:id="rId21"/>
    <hyperlink ref="AU24" r:id="rId22"/>
    <hyperlink ref="AU25" r:id="rId23"/>
    <hyperlink ref="AU26" r:id="rId24"/>
    <hyperlink ref="AU27" r:id="rId25"/>
    <hyperlink ref="AU28" r:id="rId26"/>
    <hyperlink ref="AU29" r:id="rId27"/>
    <hyperlink ref="AU31" r:id="rId28"/>
    <hyperlink ref="AU30" r:id="rId29"/>
    <hyperlink ref="AU32" r:id="rId30"/>
    <hyperlink ref="AU33" r:id="rId31"/>
    <hyperlink ref="AU34" r:id="rId32"/>
    <hyperlink ref="AU36" r:id="rId33"/>
    <hyperlink ref="AU35" r:id="rId34"/>
    <hyperlink ref="AU37" r:id="rId35"/>
    <hyperlink ref="AU38" r:id="rId36"/>
    <hyperlink ref="AU39" r:id="rId37"/>
    <hyperlink ref="AU40:AU46" r:id="rId38" display="http://www.ifrc.org/docs/appeals/10/MDRKE013dfr.pdf"/>
    <hyperlink ref="AU40" r:id="rId39"/>
    <hyperlink ref="AU47:AU55" r:id="rId40" display="http://www.ifrc.org/docs/appeals/10/MDRKE013dfr.pdf"/>
    <hyperlink ref="AU48" r:id="rId41"/>
    <hyperlink ref="AU56" r:id="rId42"/>
    <hyperlink ref="AU60" r:id="rId43"/>
    <hyperlink ref="AU67" r:id="rId44"/>
    <hyperlink ref="AU69:AU72" r:id="rId45" display="http://www.ifrc.org/docs/appeals/09/MDRPK003%20final.pdf"/>
    <hyperlink ref="AU70" r:id="rId46"/>
    <hyperlink ref="AU72" r:id="rId47"/>
    <hyperlink ref="AU73" r:id="rId48" display="http://www.ifrc.org/docs/appeals/09/MDRPK003%20final.pdf"/>
    <hyperlink ref="AU94" r:id="rId49"/>
    <hyperlink ref="AU98" r:id="rId50"/>
    <hyperlink ref="AU102" r:id="rId51"/>
    <hyperlink ref="AU103" r:id="rId52"/>
    <hyperlink ref="AU93" r:id="rId53"/>
    <hyperlink ref="AU88" r:id="rId54"/>
    <hyperlink ref="AU109" r:id="rId55"/>
    <hyperlink ref="AU100" r:id="rId56"/>
    <hyperlink ref="AU110" r:id="rId57"/>
    <hyperlink ref="AU107" r:id="rId58"/>
    <hyperlink ref="AU104" r:id="rId59"/>
    <hyperlink ref="AU105" r:id="rId60"/>
    <hyperlink ref="AU99" r:id="rId61"/>
    <hyperlink ref="AU106" r:id="rId62"/>
    <hyperlink ref="AU111" r:id="rId63"/>
    <hyperlink ref="AU112" r:id="rId64"/>
    <hyperlink ref="AU128" r:id="rId65"/>
    <hyperlink ref="AU119" r:id="rId66"/>
    <hyperlink ref="AU64" r:id="rId67"/>
    <hyperlink ref="AU49" r:id="rId68"/>
    <hyperlink ref="AU55" r:id="rId69" display="http://www.ifrc.org/docs/appeals/10/MDRRU007dfr.pdf"/>
    <hyperlink ref="AU80" r:id="rId70"/>
    <hyperlink ref="AU92" r:id="rId71"/>
    <hyperlink ref="AU81" r:id="rId72"/>
    <hyperlink ref="AU130" r:id="rId73"/>
    <hyperlink ref="AU79" r:id="rId74"/>
    <hyperlink ref="AU113" r:id="rId75"/>
    <hyperlink ref="AU129" r:id="rId76"/>
  </hyperlinks>
  <pageMargins left="0.7" right="0.7" top="0.75" bottom="0.75" header="0.3" footer="0.3"/>
  <legacyDrawing r:id="rId77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97"/>
  <sheetViews>
    <sheetView workbookViewId="0">
      <pane ySplit="1" topLeftCell="A2" activePane="bottomLeft" state="frozen"/>
      <selection pane="bottomLeft" activeCell="AJ97" sqref="AJ97:AK97"/>
    </sheetView>
  </sheetViews>
  <sheetFormatPr defaultRowHeight="12.75"/>
  <cols>
    <col min="10" max="10" width="10.7109375" customWidth="1"/>
    <col min="11" max="11" width="11" customWidth="1"/>
    <col min="12" max="12" width="12.42578125" customWidth="1"/>
    <col min="13" max="13" width="11.7109375" customWidth="1"/>
    <col min="25" max="25" width="10.28515625" customWidth="1"/>
    <col min="27" max="27" width="10.140625" bestFit="1" customWidth="1"/>
    <col min="36" max="36" width="11.85546875" customWidth="1"/>
  </cols>
  <sheetData>
    <row r="1" spans="1:48" s="495" customFormat="1" ht="60" customHeight="1">
      <c r="A1" s="497" t="s">
        <v>3</v>
      </c>
      <c r="B1" s="497" t="s">
        <v>46</v>
      </c>
      <c r="C1" s="498" t="s">
        <v>1038</v>
      </c>
      <c r="D1" s="493" t="s">
        <v>41</v>
      </c>
      <c r="E1" s="493"/>
      <c r="F1" s="492" t="s">
        <v>42</v>
      </c>
      <c r="G1" s="497" t="s">
        <v>1448</v>
      </c>
      <c r="H1" s="497" t="s">
        <v>2436</v>
      </c>
      <c r="I1" s="499" t="s">
        <v>2439</v>
      </c>
      <c r="J1" s="1050" t="s">
        <v>1505</v>
      </c>
      <c r="K1" s="1051"/>
      <c r="L1" s="1051"/>
      <c r="M1" s="1051"/>
      <c r="N1" s="1051"/>
      <c r="O1" s="1052"/>
      <c r="P1" s="1053" t="s">
        <v>2442</v>
      </c>
      <c r="Q1" s="1054"/>
      <c r="R1" s="1055"/>
      <c r="S1" s="1053" t="s">
        <v>2445</v>
      </c>
      <c r="T1" s="1054"/>
      <c r="U1" s="1056"/>
      <c r="V1" s="1057" t="s">
        <v>2434</v>
      </c>
      <c r="W1" s="1058"/>
      <c r="X1" s="1059"/>
      <c r="Y1" s="1060" t="s">
        <v>31</v>
      </c>
      <c r="Z1" s="1061"/>
      <c r="AA1" s="1061"/>
      <c r="AB1" s="1061"/>
      <c r="AC1" s="1061"/>
      <c r="AD1" s="1061"/>
      <c r="AE1" s="1061"/>
      <c r="AF1" s="1061"/>
      <c r="AG1" s="1061"/>
      <c r="AH1" s="1061"/>
      <c r="AI1" s="1062"/>
      <c r="AJ1" s="1065" t="s">
        <v>1557</v>
      </c>
      <c r="AK1" s="1063" t="s">
        <v>2435</v>
      </c>
      <c r="AL1" s="1064"/>
      <c r="AM1" s="1067"/>
      <c r="AN1" s="494"/>
      <c r="AO1" s="1044" t="s">
        <v>35</v>
      </c>
      <c r="AP1" s="1045"/>
      <c r="AQ1" s="1045"/>
      <c r="AR1" s="1045"/>
      <c r="AS1" s="1046"/>
      <c r="AT1" s="1047" t="s">
        <v>112</v>
      </c>
      <c r="AU1" s="1046"/>
      <c r="AV1" s="1048" t="s">
        <v>51</v>
      </c>
    </row>
    <row r="2" spans="1:48" s="496" customFormat="1" ht="48" customHeight="1">
      <c r="A2" s="244"/>
      <c r="B2" s="244"/>
      <c r="C2" s="245"/>
      <c r="D2" s="247" t="s">
        <v>108</v>
      </c>
      <c r="E2" s="247" t="s">
        <v>107</v>
      </c>
      <c r="F2" s="244"/>
      <c r="G2" s="244"/>
      <c r="H2" s="244"/>
      <c r="I2" s="251"/>
      <c r="J2" s="246" t="s">
        <v>13</v>
      </c>
      <c r="K2" s="246" t="s">
        <v>45</v>
      </c>
      <c r="L2" s="250" t="s">
        <v>111</v>
      </c>
      <c r="M2" s="246" t="s">
        <v>67</v>
      </c>
      <c r="N2" s="500" t="s">
        <v>2299</v>
      </c>
      <c r="O2" s="246" t="s">
        <v>115</v>
      </c>
      <c r="P2" s="478" t="s">
        <v>2443</v>
      </c>
      <c r="Q2" s="249" t="s">
        <v>2444</v>
      </c>
      <c r="R2" s="249" t="s">
        <v>50</v>
      </c>
      <c r="S2" s="248" t="s">
        <v>93</v>
      </c>
      <c r="T2" s="248" t="s">
        <v>92</v>
      </c>
      <c r="U2" s="248" t="s">
        <v>91</v>
      </c>
      <c r="V2" s="249" t="s">
        <v>48</v>
      </c>
      <c r="W2" s="249" t="s">
        <v>49</v>
      </c>
      <c r="X2" s="501" t="s">
        <v>2360</v>
      </c>
      <c r="Y2" s="471" t="s">
        <v>38</v>
      </c>
      <c r="Z2" s="471" t="s">
        <v>76</v>
      </c>
      <c r="AA2" s="471" t="s">
        <v>77</v>
      </c>
      <c r="AB2" s="471" t="s">
        <v>82</v>
      </c>
      <c r="AC2" s="471" t="s">
        <v>109</v>
      </c>
      <c r="AD2" s="471" t="s">
        <v>110</v>
      </c>
      <c r="AE2" s="471" t="s">
        <v>81</v>
      </c>
      <c r="AF2" s="471" t="s">
        <v>33</v>
      </c>
      <c r="AG2" s="471" t="s">
        <v>34</v>
      </c>
      <c r="AH2" s="471" t="s">
        <v>32</v>
      </c>
      <c r="AI2" s="472" t="s">
        <v>86</v>
      </c>
      <c r="AJ2" s="1066"/>
      <c r="AK2" s="477" t="s">
        <v>47</v>
      </c>
      <c r="AL2" s="477" t="s">
        <v>74</v>
      </c>
      <c r="AM2" s="512" t="s">
        <v>2446</v>
      </c>
      <c r="AN2" s="479" t="s">
        <v>0</v>
      </c>
      <c r="AO2" s="480" t="s">
        <v>57</v>
      </c>
      <c r="AP2" s="480" t="s">
        <v>39</v>
      </c>
      <c r="AQ2" s="480" t="s">
        <v>40</v>
      </c>
      <c r="AR2" s="480" t="s">
        <v>37</v>
      </c>
      <c r="AS2" s="480" t="s">
        <v>36</v>
      </c>
      <c r="AT2" s="480" t="s">
        <v>113</v>
      </c>
      <c r="AU2" s="479" t="s">
        <v>114</v>
      </c>
      <c r="AV2" s="1049"/>
    </row>
    <row r="3" spans="1:48" s="259" customFormat="1" ht="19.5" customHeight="1">
      <c r="A3" s="260">
        <v>240</v>
      </c>
      <c r="B3" s="261" t="s">
        <v>472</v>
      </c>
      <c r="C3" s="261" t="s">
        <v>1299</v>
      </c>
      <c r="D3" s="262">
        <v>39923</v>
      </c>
      <c r="E3" s="262"/>
      <c r="F3" s="342" t="s">
        <v>721</v>
      </c>
      <c r="G3" s="259" t="s">
        <v>1450</v>
      </c>
      <c r="H3" s="261" t="s">
        <v>720</v>
      </c>
      <c r="I3" s="254" t="s">
        <v>2331</v>
      </c>
      <c r="J3" s="263">
        <v>800</v>
      </c>
      <c r="K3" s="263">
        <v>58070</v>
      </c>
      <c r="L3" s="263">
        <v>57708</v>
      </c>
      <c r="M3" s="263">
        <v>57708</v>
      </c>
      <c r="N3" s="256">
        <f t="shared" ref="N3:N34" si="0">M3/J3</f>
        <v>72.135000000000005</v>
      </c>
      <c r="O3" s="263">
        <v>99</v>
      </c>
      <c r="P3" s="263" t="s">
        <v>75</v>
      </c>
      <c r="Q3" s="263" t="s">
        <v>75</v>
      </c>
      <c r="R3" s="263">
        <v>1600</v>
      </c>
      <c r="S3" s="264" t="s">
        <v>95</v>
      </c>
      <c r="T3" s="264" t="s">
        <v>75</v>
      </c>
      <c r="U3" s="263" t="s">
        <v>75</v>
      </c>
      <c r="V3" s="263" t="s">
        <v>75</v>
      </c>
      <c r="W3" s="263" t="s">
        <v>75</v>
      </c>
      <c r="X3" s="349"/>
      <c r="Y3" s="263" t="s">
        <v>75</v>
      </c>
      <c r="Z3" s="263" t="s">
        <v>75</v>
      </c>
      <c r="AA3" s="263" t="s">
        <v>75</v>
      </c>
      <c r="AB3" s="263" t="s">
        <v>75</v>
      </c>
      <c r="AC3" s="263" t="s">
        <v>75</v>
      </c>
      <c r="AD3" s="263" t="s">
        <v>75</v>
      </c>
      <c r="AE3" s="263">
        <v>320</v>
      </c>
      <c r="AF3" s="263" t="s">
        <v>75</v>
      </c>
      <c r="AG3" s="263" t="s">
        <v>75</v>
      </c>
      <c r="AH3" s="263" t="s">
        <v>75</v>
      </c>
      <c r="AI3" s="263" t="s">
        <v>75</v>
      </c>
      <c r="AJ3" s="301">
        <f t="shared" ref="AJ3:AJ34" si="1">SUM(Z3,AA3,AH3)</f>
        <v>0</v>
      </c>
      <c r="AK3" s="263" t="s">
        <v>75</v>
      </c>
      <c r="AL3" s="263" t="s">
        <v>75</v>
      </c>
      <c r="AM3" s="263"/>
      <c r="AN3" s="264"/>
      <c r="AO3" s="264" t="s">
        <v>75</v>
      </c>
      <c r="AP3" s="264" t="s">
        <v>75</v>
      </c>
      <c r="AQ3" s="264" t="s">
        <v>75</v>
      </c>
      <c r="AR3" s="264" t="s">
        <v>75</v>
      </c>
      <c r="AS3" s="264" t="s">
        <v>75</v>
      </c>
      <c r="AT3" s="264" t="s">
        <v>75</v>
      </c>
      <c r="AU3" s="264" t="s">
        <v>460</v>
      </c>
      <c r="AV3" s="276" t="s">
        <v>719</v>
      </c>
    </row>
    <row r="4" spans="1:48" s="261" customFormat="1" ht="14.25" customHeight="1">
      <c r="A4" s="260">
        <v>241</v>
      </c>
      <c r="B4" s="266" t="s">
        <v>18</v>
      </c>
      <c r="C4" s="266" t="s">
        <v>1286</v>
      </c>
      <c r="D4" s="317">
        <v>40057</v>
      </c>
      <c r="E4" s="317">
        <v>40299</v>
      </c>
      <c r="F4" s="266" t="s">
        <v>5</v>
      </c>
      <c r="G4" s="259" t="s">
        <v>1451</v>
      </c>
      <c r="H4" s="266" t="s">
        <v>1269</v>
      </c>
      <c r="I4" s="254" t="s">
        <v>2331</v>
      </c>
      <c r="J4" s="318">
        <v>815</v>
      </c>
      <c r="K4" s="318">
        <v>50118</v>
      </c>
      <c r="L4" s="318">
        <v>39868</v>
      </c>
      <c r="M4" s="318">
        <v>39868</v>
      </c>
      <c r="N4" s="256">
        <f t="shared" si="0"/>
        <v>48.917791411042941</v>
      </c>
      <c r="O4" s="318">
        <v>80</v>
      </c>
      <c r="P4" s="318">
        <v>815</v>
      </c>
      <c r="Q4" s="318" t="s">
        <v>75</v>
      </c>
      <c r="R4" s="318">
        <v>815</v>
      </c>
      <c r="S4" s="319" t="s">
        <v>233</v>
      </c>
      <c r="T4" s="319" t="s">
        <v>75</v>
      </c>
      <c r="U4" s="318" t="s">
        <v>75</v>
      </c>
      <c r="V4" s="318">
        <v>11777</v>
      </c>
      <c r="W4" s="318">
        <v>9791</v>
      </c>
      <c r="X4" s="349">
        <f>W4/R4</f>
        <v>12.013496932515338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01">
        <f t="shared" si="1"/>
        <v>0</v>
      </c>
      <c r="AK4" s="318" t="s">
        <v>66</v>
      </c>
      <c r="AL4" s="318" t="s">
        <v>66</v>
      </c>
      <c r="AM4" s="318"/>
      <c r="AN4" s="319"/>
      <c r="AO4" s="319"/>
      <c r="AP4" s="319"/>
      <c r="AQ4" s="319"/>
      <c r="AR4" s="319"/>
      <c r="AS4" s="319"/>
      <c r="AT4" s="319" t="s">
        <v>204</v>
      </c>
      <c r="AU4" s="319"/>
      <c r="AV4" s="266" t="s">
        <v>1268</v>
      </c>
    </row>
    <row r="5" spans="1:48" s="261" customFormat="1" ht="14.25" customHeight="1">
      <c r="A5" s="260">
        <v>242</v>
      </c>
      <c r="B5" s="266" t="s">
        <v>871</v>
      </c>
      <c r="C5" s="266" t="s">
        <v>1260</v>
      </c>
      <c r="D5" s="317">
        <v>40148</v>
      </c>
      <c r="E5" s="317">
        <v>40360</v>
      </c>
      <c r="F5" s="266" t="s">
        <v>781</v>
      </c>
      <c r="G5" s="259" t="s">
        <v>1464</v>
      </c>
      <c r="H5" s="266" t="s">
        <v>1199</v>
      </c>
      <c r="I5" s="254" t="s">
        <v>2331</v>
      </c>
      <c r="J5" s="318">
        <v>1000</v>
      </c>
      <c r="K5" s="318">
        <v>29592</v>
      </c>
      <c r="L5" s="318">
        <v>29592</v>
      </c>
      <c r="M5" s="318">
        <v>24835</v>
      </c>
      <c r="N5" s="256">
        <f t="shared" si="0"/>
        <v>24.835000000000001</v>
      </c>
      <c r="O5" s="318">
        <v>100</v>
      </c>
      <c r="P5" s="318" t="s">
        <v>75</v>
      </c>
      <c r="Q5" s="318" t="s">
        <v>75</v>
      </c>
      <c r="R5" s="318" t="s">
        <v>75</v>
      </c>
      <c r="S5" s="319" t="s">
        <v>233</v>
      </c>
      <c r="T5" s="319" t="s">
        <v>75</v>
      </c>
      <c r="U5" s="318" t="s">
        <v>75</v>
      </c>
      <c r="V5" s="318" t="s">
        <v>66</v>
      </c>
      <c r="W5" s="318" t="s">
        <v>66</v>
      </c>
      <c r="X5" s="318"/>
      <c r="Y5" s="318"/>
      <c r="Z5" s="318">
        <v>1000</v>
      </c>
      <c r="AA5" s="318"/>
      <c r="AB5" s="318" t="s">
        <v>134</v>
      </c>
      <c r="AC5" s="318"/>
      <c r="AD5" s="318"/>
      <c r="AE5" s="318"/>
      <c r="AF5" s="318"/>
      <c r="AG5" s="318"/>
      <c r="AH5" s="318"/>
      <c r="AI5" s="318"/>
      <c r="AJ5" s="301">
        <f t="shared" si="1"/>
        <v>1000</v>
      </c>
      <c r="AK5" s="318" t="s">
        <v>66</v>
      </c>
      <c r="AL5" s="318" t="s">
        <v>66</v>
      </c>
      <c r="AM5" s="318"/>
      <c r="AN5" s="319"/>
      <c r="AO5" s="319"/>
      <c r="AP5" s="319"/>
      <c r="AQ5" s="319"/>
      <c r="AR5" s="319"/>
      <c r="AS5" s="319"/>
      <c r="AT5" s="319"/>
      <c r="AU5" s="319"/>
      <c r="AV5" s="343" t="s">
        <v>1198</v>
      </c>
    </row>
    <row r="6" spans="1:48" s="261" customFormat="1" ht="14.25" customHeight="1">
      <c r="A6" s="260">
        <v>243</v>
      </c>
      <c r="B6" s="261" t="s">
        <v>353</v>
      </c>
      <c r="C6" s="261" t="s">
        <v>1299</v>
      </c>
      <c r="D6" s="262">
        <v>39937</v>
      </c>
      <c r="E6" s="262">
        <v>40087</v>
      </c>
      <c r="F6" s="342" t="s">
        <v>718</v>
      </c>
      <c r="G6" s="254" t="s">
        <v>1450</v>
      </c>
      <c r="H6" s="261" t="s">
        <v>717</v>
      </c>
      <c r="I6" s="254" t="s">
        <v>2331</v>
      </c>
      <c r="J6" s="263">
        <v>1230</v>
      </c>
      <c r="K6" s="263">
        <v>81924</v>
      </c>
      <c r="L6" s="263">
        <v>81122</v>
      </c>
      <c r="M6" s="263">
        <v>81122</v>
      </c>
      <c r="N6" s="256">
        <f t="shared" si="0"/>
        <v>65.952845528455285</v>
      </c>
      <c r="O6" s="263">
        <v>100</v>
      </c>
      <c r="P6" s="263">
        <v>1230</v>
      </c>
      <c r="Q6" s="263" t="s">
        <v>339</v>
      </c>
      <c r="R6" s="263">
        <v>1230</v>
      </c>
      <c r="S6" s="264" t="s">
        <v>95</v>
      </c>
      <c r="T6" s="264">
        <v>180</v>
      </c>
      <c r="U6" s="263">
        <v>1230</v>
      </c>
      <c r="V6" s="263" t="s">
        <v>75</v>
      </c>
      <c r="W6" s="263">
        <v>1936</v>
      </c>
      <c r="X6" s="349">
        <f>W6/R6</f>
        <v>1.5739837398373984</v>
      </c>
      <c r="Y6" s="263" t="s">
        <v>75</v>
      </c>
      <c r="Z6" s="263" t="s">
        <v>75</v>
      </c>
      <c r="AA6" s="263" t="s">
        <v>75</v>
      </c>
      <c r="AB6" s="263" t="s">
        <v>75</v>
      </c>
      <c r="AC6" s="263" t="s">
        <v>75</v>
      </c>
      <c r="AD6" s="263" t="s">
        <v>75</v>
      </c>
      <c r="AE6" s="263">
        <v>492</v>
      </c>
      <c r="AF6" s="263" t="s">
        <v>75</v>
      </c>
      <c r="AG6" s="263" t="s">
        <v>75</v>
      </c>
      <c r="AH6" s="263" t="s">
        <v>75</v>
      </c>
      <c r="AI6" s="263" t="s">
        <v>75</v>
      </c>
      <c r="AJ6" s="301">
        <f t="shared" si="1"/>
        <v>0</v>
      </c>
      <c r="AK6" s="263" t="s">
        <v>75</v>
      </c>
      <c r="AL6" s="263" t="s">
        <v>75</v>
      </c>
      <c r="AM6" s="263"/>
      <c r="AN6" s="264"/>
      <c r="AO6" s="264" t="s">
        <v>75</v>
      </c>
      <c r="AP6" s="264" t="s">
        <v>75</v>
      </c>
      <c r="AQ6" s="264" t="s">
        <v>75</v>
      </c>
      <c r="AR6" s="264" t="s">
        <v>75</v>
      </c>
      <c r="AS6" s="264" t="s">
        <v>75</v>
      </c>
      <c r="AT6" s="264" t="s">
        <v>75</v>
      </c>
      <c r="AU6" s="264" t="s">
        <v>75</v>
      </c>
      <c r="AV6" s="276" t="s">
        <v>716</v>
      </c>
    </row>
    <row r="7" spans="1:48" s="266" customFormat="1" ht="14.25" customHeight="1">
      <c r="A7" s="260">
        <v>244</v>
      </c>
      <c r="B7" s="266" t="s">
        <v>15</v>
      </c>
      <c r="C7" s="266" t="s">
        <v>1286</v>
      </c>
      <c r="D7" s="317">
        <v>40118</v>
      </c>
      <c r="E7" s="317">
        <v>40210</v>
      </c>
      <c r="F7" s="266" t="s">
        <v>5</v>
      </c>
      <c r="G7" s="259" t="s">
        <v>1451</v>
      </c>
      <c r="H7" s="266" t="s">
        <v>1265</v>
      </c>
      <c r="I7" s="254" t="s">
        <v>2331</v>
      </c>
      <c r="J7" s="318">
        <v>1250</v>
      </c>
      <c r="K7" s="318">
        <v>55038</v>
      </c>
      <c r="L7" s="318">
        <v>47471</v>
      </c>
      <c r="M7" s="318">
        <v>47471</v>
      </c>
      <c r="N7" s="256">
        <f t="shared" si="0"/>
        <v>37.976799999999997</v>
      </c>
      <c r="O7" s="318">
        <v>86</v>
      </c>
      <c r="P7" s="318">
        <v>1250</v>
      </c>
      <c r="Q7" s="318" t="s">
        <v>75</v>
      </c>
      <c r="R7" s="318">
        <v>1250</v>
      </c>
      <c r="S7" s="319" t="s">
        <v>233</v>
      </c>
      <c r="T7" s="319" t="s">
        <v>75</v>
      </c>
      <c r="U7" s="318" t="s">
        <v>75</v>
      </c>
      <c r="V7" s="318" t="s">
        <v>66</v>
      </c>
      <c r="W7" s="318" t="s">
        <v>66</v>
      </c>
      <c r="X7" s="349"/>
      <c r="Y7" s="318"/>
      <c r="Z7" s="318"/>
      <c r="AA7" s="318"/>
      <c r="AB7" s="318"/>
      <c r="AC7" s="318"/>
      <c r="AD7" s="318"/>
      <c r="AE7" s="318">
        <v>1500</v>
      </c>
      <c r="AF7" s="318"/>
      <c r="AG7" s="318"/>
      <c r="AH7" s="318"/>
      <c r="AI7" s="318"/>
      <c r="AJ7" s="301">
        <f t="shared" si="1"/>
        <v>0</v>
      </c>
      <c r="AK7" s="318" t="s">
        <v>66</v>
      </c>
      <c r="AL7" s="318" t="s">
        <v>66</v>
      </c>
      <c r="AM7" s="318"/>
      <c r="AN7" s="319"/>
      <c r="AO7" s="319"/>
      <c r="AP7" s="319"/>
      <c r="AQ7" s="319"/>
      <c r="AR7" s="319"/>
      <c r="AS7" s="319"/>
      <c r="AT7" s="319"/>
      <c r="AU7" s="319"/>
      <c r="AV7" s="266" t="s">
        <v>1264</v>
      </c>
    </row>
    <row r="8" spans="1:48" s="266" customFormat="1" ht="15" customHeight="1">
      <c r="A8" s="260">
        <v>245</v>
      </c>
      <c r="B8" s="261" t="s">
        <v>353</v>
      </c>
      <c r="C8" s="261" t="s">
        <v>1299</v>
      </c>
      <c r="D8" s="262">
        <v>39846</v>
      </c>
      <c r="E8" s="262"/>
      <c r="F8" s="342" t="s">
        <v>676</v>
      </c>
      <c r="G8" s="254" t="s">
        <v>1450</v>
      </c>
      <c r="H8" s="261" t="s">
        <v>675</v>
      </c>
      <c r="I8" s="254" t="s">
        <v>2331</v>
      </c>
      <c r="J8" s="263">
        <v>1390</v>
      </c>
      <c r="K8" s="263">
        <v>91644</v>
      </c>
      <c r="L8" s="263">
        <v>74493</v>
      </c>
      <c r="M8" s="263">
        <v>74493</v>
      </c>
      <c r="N8" s="256">
        <f t="shared" si="0"/>
        <v>53.592086330935253</v>
      </c>
      <c r="O8" s="263">
        <v>81</v>
      </c>
      <c r="P8" s="263" t="s">
        <v>339</v>
      </c>
      <c r="Q8" s="263" t="s">
        <v>339</v>
      </c>
      <c r="R8" s="263">
        <v>1738</v>
      </c>
      <c r="S8" s="264" t="s">
        <v>95</v>
      </c>
      <c r="T8" s="264">
        <v>30</v>
      </c>
      <c r="U8" s="263">
        <v>2329</v>
      </c>
      <c r="V8" s="263" t="s">
        <v>583</v>
      </c>
      <c r="W8" s="263">
        <v>143</v>
      </c>
      <c r="X8" s="349">
        <f>W8/R8</f>
        <v>8.2278481012658222E-2</v>
      </c>
      <c r="Y8" s="263" t="s">
        <v>75</v>
      </c>
      <c r="Z8" s="263" t="s">
        <v>75</v>
      </c>
      <c r="AA8" s="263" t="s">
        <v>75</v>
      </c>
      <c r="AB8" s="263" t="s">
        <v>75</v>
      </c>
      <c r="AC8" s="263" t="s">
        <v>75</v>
      </c>
      <c r="AD8" s="263" t="s">
        <v>75</v>
      </c>
      <c r="AE8" s="263">
        <v>278</v>
      </c>
      <c r="AF8" s="263" t="s">
        <v>75</v>
      </c>
      <c r="AG8" s="263" t="s">
        <v>75</v>
      </c>
      <c r="AH8" s="263" t="s">
        <v>75</v>
      </c>
      <c r="AI8" s="263" t="s">
        <v>75</v>
      </c>
      <c r="AJ8" s="301">
        <f t="shared" si="1"/>
        <v>0</v>
      </c>
      <c r="AK8" s="263" t="s">
        <v>75</v>
      </c>
      <c r="AL8" s="263" t="s">
        <v>75</v>
      </c>
      <c r="AM8" s="263"/>
      <c r="AN8" s="264"/>
      <c r="AO8" s="264" t="s">
        <v>75</v>
      </c>
      <c r="AP8" s="264" t="s">
        <v>75</v>
      </c>
      <c r="AQ8" s="264" t="s">
        <v>75</v>
      </c>
      <c r="AR8" s="264" t="s">
        <v>75</v>
      </c>
      <c r="AS8" s="264" t="s">
        <v>75</v>
      </c>
      <c r="AT8" s="264" t="s">
        <v>75</v>
      </c>
      <c r="AU8" s="264" t="s">
        <v>75</v>
      </c>
      <c r="AV8" s="344" t="s">
        <v>674</v>
      </c>
    </row>
    <row r="9" spans="1:48" s="266" customFormat="1" ht="12.75" customHeight="1">
      <c r="A9" s="260">
        <v>246</v>
      </c>
      <c r="B9" s="266" t="s">
        <v>871</v>
      </c>
      <c r="C9" s="266" t="s">
        <v>1260</v>
      </c>
      <c r="D9" s="317">
        <v>39995</v>
      </c>
      <c r="E9" s="317">
        <v>40422</v>
      </c>
      <c r="F9" s="266" t="s">
        <v>518</v>
      </c>
      <c r="G9" s="261" t="s">
        <v>1461</v>
      </c>
      <c r="H9" s="266" t="s">
        <v>1228</v>
      </c>
      <c r="I9" s="254" t="s">
        <v>2331</v>
      </c>
      <c r="J9" s="318">
        <v>2100</v>
      </c>
      <c r="K9" s="318">
        <v>29973</v>
      </c>
      <c r="L9" s="318">
        <v>29973</v>
      </c>
      <c r="M9" s="318">
        <v>29905</v>
      </c>
      <c r="N9" s="256">
        <f t="shared" si="0"/>
        <v>14.240476190476191</v>
      </c>
      <c r="O9" s="318">
        <v>100</v>
      </c>
      <c r="P9" s="318">
        <v>1800</v>
      </c>
      <c r="Q9" s="318"/>
      <c r="R9" s="318">
        <v>1800</v>
      </c>
      <c r="S9" s="319"/>
      <c r="T9" s="319">
        <v>12</v>
      </c>
      <c r="U9" s="318"/>
      <c r="V9" s="318">
        <v>9500</v>
      </c>
      <c r="W9" s="318">
        <v>9500</v>
      </c>
      <c r="X9" s="349">
        <f>W9/R9</f>
        <v>5.2777777777777777</v>
      </c>
      <c r="Y9" s="318"/>
      <c r="Z9" s="318">
        <v>300</v>
      </c>
      <c r="AA9" s="318"/>
      <c r="AB9" s="318"/>
      <c r="AC9" s="318"/>
      <c r="AD9" s="318"/>
      <c r="AE9" s="318"/>
      <c r="AF9" s="318"/>
      <c r="AG9" s="318"/>
      <c r="AH9" s="318"/>
      <c r="AI9" s="318"/>
      <c r="AJ9" s="301">
        <f t="shared" si="1"/>
        <v>300</v>
      </c>
      <c r="AK9" s="318"/>
      <c r="AL9" s="318"/>
      <c r="AM9" s="318"/>
      <c r="AN9" s="319"/>
      <c r="AO9" s="319"/>
      <c r="AP9" s="319"/>
      <c r="AQ9" s="319"/>
      <c r="AR9" s="319"/>
      <c r="AS9" s="319"/>
      <c r="AT9" s="319"/>
      <c r="AU9" s="319"/>
      <c r="AV9" s="266" t="s">
        <v>1229</v>
      </c>
    </row>
    <row r="10" spans="1:48" s="266" customFormat="1" ht="16.5" customHeight="1">
      <c r="A10" s="260">
        <v>247</v>
      </c>
      <c r="B10" s="266" t="s">
        <v>27</v>
      </c>
      <c r="C10" s="266" t="s">
        <v>1299</v>
      </c>
      <c r="D10" s="317">
        <v>39995</v>
      </c>
      <c r="E10" s="317">
        <v>40087</v>
      </c>
      <c r="F10" s="266" t="s">
        <v>1004</v>
      </c>
      <c r="G10" s="259" t="s">
        <v>1450</v>
      </c>
      <c r="H10" s="266" t="s">
        <v>1005</v>
      </c>
      <c r="I10" s="254" t="s">
        <v>2331</v>
      </c>
      <c r="J10" s="318">
        <v>2124</v>
      </c>
      <c r="K10" s="318">
        <v>75305</v>
      </c>
      <c r="L10" s="318">
        <v>75240</v>
      </c>
      <c r="M10" s="318">
        <v>75240</v>
      </c>
      <c r="N10" s="256">
        <f t="shared" si="0"/>
        <v>35.423728813559322</v>
      </c>
      <c r="O10" s="318">
        <v>100</v>
      </c>
      <c r="P10" s="318"/>
      <c r="Q10" s="318"/>
      <c r="R10" s="318"/>
      <c r="S10" s="319"/>
      <c r="T10" s="319">
        <v>40</v>
      </c>
      <c r="U10" s="318" t="s">
        <v>134</v>
      </c>
      <c r="V10" s="318" t="s">
        <v>66</v>
      </c>
      <c r="W10" s="318" t="s">
        <v>66</v>
      </c>
      <c r="X10" s="318"/>
      <c r="Y10" s="318"/>
      <c r="Z10" s="318"/>
      <c r="AA10" s="318"/>
      <c r="AB10" s="318">
        <v>40</v>
      </c>
      <c r="AC10" s="318"/>
      <c r="AD10" s="318"/>
      <c r="AE10" s="318">
        <v>300</v>
      </c>
      <c r="AF10" s="318"/>
      <c r="AG10" s="318"/>
      <c r="AH10" s="318"/>
      <c r="AI10" s="318"/>
      <c r="AJ10" s="301">
        <f t="shared" si="1"/>
        <v>0</v>
      </c>
      <c r="AK10" s="318" t="s">
        <v>66</v>
      </c>
      <c r="AL10" s="318" t="s">
        <v>66</v>
      </c>
      <c r="AM10" s="318"/>
      <c r="AN10" s="319"/>
      <c r="AO10" s="319"/>
      <c r="AP10" s="319"/>
      <c r="AQ10" s="319"/>
      <c r="AR10" s="319"/>
      <c r="AS10" s="319"/>
      <c r="AT10" s="319"/>
      <c r="AU10" s="319"/>
      <c r="AV10" s="319" t="s">
        <v>1006</v>
      </c>
    </row>
    <row r="11" spans="1:48" s="266" customFormat="1" ht="15" customHeight="1">
      <c r="A11" s="260">
        <v>248</v>
      </c>
      <c r="B11" s="266" t="s">
        <v>18</v>
      </c>
      <c r="C11" s="266" t="s">
        <v>1286</v>
      </c>
      <c r="D11" s="317">
        <v>40118</v>
      </c>
      <c r="E11" s="317">
        <v>40299</v>
      </c>
      <c r="F11" s="266" t="s">
        <v>5</v>
      </c>
      <c r="G11" s="259" t="s">
        <v>1451</v>
      </c>
      <c r="H11" s="266" t="s">
        <v>1271</v>
      </c>
      <c r="I11" s="254" t="s">
        <v>2331</v>
      </c>
      <c r="J11" s="318">
        <v>2500</v>
      </c>
      <c r="K11" s="318">
        <v>105656</v>
      </c>
      <c r="L11" s="318">
        <v>82066</v>
      </c>
      <c r="M11" s="318">
        <v>82066</v>
      </c>
      <c r="N11" s="256">
        <f t="shared" si="0"/>
        <v>32.8264</v>
      </c>
      <c r="O11" s="318">
        <v>78</v>
      </c>
      <c r="P11" s="318">
        <v>2500</v>
      </c>
      <c r="Q11" s="318" t="s">
        <v>75</v>
      </c>
      <c r="R11" s="318" t="s">
        <v>75</v>
      </c>
      <c r="S11" s="319" t="s">
        <v>233</v>
      </c>
      <c r="T11" s="319" t="s">
        <v>75</v>
      </c>
      <c r="U11" s="318" t="s">
        <v>75</v>
      </c>
      <c r="V11" s="318">
        <v>9717</v>
      </c>
      <c r="W11" s="318">
        <v>7579.26</v>
      </c>
      <c r="X11" s="318"/>
      <c r="Y11" s="318">
        <v>344</v>
      </c>
      <c r="Z11" s="318"/>
      <c r="AA11" s="318"/>
      <c r="AB11" s="318"/>
      <c r="AC11" s="318"/>
      <c r="AD11" s="318"/>
      <c r="AE11" s="318">
        <v>1000</v>
      </c>
      <c r="AF11" s="318"/>
      <c r="AG11" s="318"/>
      <c r="AH11" s="318"/>
      <c r="AI11" s="318"/>
      <c r="AJ11" s="301">
        <f t="shared" si="1"/>
        <v>0</v>
      </c>
      <c r="AK11" s="318">
        <v>3068</v>
      </c>
      <c r="AL11" s="318">
        <v>3214</v>
      </c>
      <c r="AM11" s="318"/>
      <c r="AN11" s="319"/>
      <c r="AO11" s="319"/>
      <c r="AP11" s="319"/>
      <c r="AQ11" s="319"/>
      <c r="AR11" s="319"/>
      <c r="AS11" s="319"/>
      <c r="AT11" s="319" t="s">
        <v>204</v>
      </c>
      <c r="AU11" s="319"/>
      <c r="AV11" s="266" t="s">
        <v>1270</v>
      </c>
    </row>
    <row r="12" spans="1:48" s="266" customFormat="1" ht="15.75" customHeight="1">
      <c r="A12" s="260">
        <v>249</v>
      </c>
      <c r="B12" s="345" t="s">
        <v>1029</v>
      </c>
      <c r="C12" s="266" t="s">
        <v>1299</v>
      </c>
      <c r="D12" s="317">
        <v>39965</v>
      </c>
      <c r="E12" s="317">
        <v>40148</v>
      </c>
      <c r="F12" s="266" t="s">
        <v>5</v>
      </c>
      <c r="G12" s="259" t="s">
        <v>1451</v>
      </c>
      <c r="H12" s="266" t="s">
        <v>1030</v>
      </c>
      <c r="I12" s="254" t="s">
        <v>2331</v>
      </c>
      <c r="J12" s="318">
        <v>3100</v>
      </c>
      <c r="K12" s="318">
        <v>153978</v>
      </c>
      <c r="L12" s="318">
        <v>153978</v>
      </c>
      <c r="M12" s="318">
        <v>135301</v>
      </c>
      <c r="N12" s="256">
        <f t="shared" si="0"/>
        <v>43.645483870967745</v>
      </c>
      <c r="O12" s="318">
        <v>100</v>
      </c>
      <c r="P12" s="318">
        <v>3100</v>
      </c>
      <c r="Q12" s="318" t="s">
        <v>75</v>
      </c>
      <c r="R12" s="318">
        <v>3100</v>
      </c>
      <c r="S12" s="319" t="s">
        <v>233</v>
      </c>
      <c r="T12" s="319" t="s">
        <v>134</v>
      </c>
      <c r="U12" s="318">
        <v>3100</v>
      </c>
      <c r="V12" s="318">
        <v>12000</v>
      </c>
      <c r="W12" s="318">
        <v>13512</v>
      </c>
      <c r="X12" s="349">
        <f>W12/R12</f>
        <v>4.3587096774193546</v>
      </c>
      <c r="Y12" s="318" t="s">
        <v>75</v>
      </c>
      <c r="Z12" s="318" t="s">
        <v>75</v>
      </c>
      <c r="AA12" s="318" t="s">
        <v>75</v>
      </c>
      <c r="AB12" s="318" t="s">
        <v>75</v>
      </c>
      <c r="AC12" s="318" t="s">
        <v>75</v>
      </c>
      <c r="AD12" s="318" t="s">
        <v>75</v>
      </c>
      <c r="AE12" s="318" t="s">
        <v>75</v>
      </c>
      <c r="AF12" s="318" t="s">
        <v>75</v>
      </c>
      <c r="AG12" s="318" t="s">
        <v>75</v>
      </c>
      <c r="AH12" s="318" t="s">
        <v>75</v>
      </c>
      <c r="AI12" s="318" t="s">
        <v>75</v>
      </c>
      <c r="AJ12" s="301">
        <f t="shared" si="1"/>
        <v>0</v>
      </c>
      <c r="AK12" s="318"/>
      <c r="AL12" s="318"/>
      <c r="AM12" s="318"/>
      <c r="AN12" s="319"/>
      <c r="AO12" s="319"/>
      <c r="AP12" s="319"/>
      <c r="AQ12" s="319"/>
      <c r="AR12" s="319"/>
      <c r="AS12" s="319"/>
      <c r="AT12" s="319" t="s">
        <v>75</v>
      </c>
      <c r="AU12" s="319" t="s">
        <v>75</v>
      </c>
      <c r="AV12" s="320" t="s">
        <v>1031</v>
      </c>
    </row>
    <row r="13" spans="1:48" s="266" customFormat="1" ht="11.25" customHeight="1">
      <c r="A13" s="260">
        <v>250</v>
      </c>
      <c r="B13" s="266" t="s">
        <v>25</v>
      </c>
      <c r="C13" s="266" t="s">
        <v>1260</v>
      </c>
      <c r="D13" s="317">
        <v>40118</v>
      </c>
      <c r="E13" s="317">
        <v>40238</v>
      </c>
      <c r="F13" s="266" t="s">
        <v>5</v>
      </c>
      <c r="G13" s="259" t="s">
        <v>1451</v>
      </c>
      <c r="H13" s="266" t="s">
        <v>1273</v>
      </c>
      <c r="I13" s="254" t="s">
        <v>2331</v>
      </c>
      <c r="J13" s="318">
        <v>3210</v>
      </c>
      <c r="K13" s="318">
        <v>51027</v>
      </c>
      <c r="L13" s="318">
        <v>51027</v>
      </c>
      <c r="M13" s="318">
        <v>41478</v>
      </c>
      <c r="N13" s="256">
        <f t="shared" si="0"/>
        <v>12.921495327102804</v>
      </c>
      <c r="O13" s="318">
        <v>100</v>
      </c>
      <c r="P13" s="318"/>
      <c r="Q13" s="318" t="s">
        <v>75</v>
      </c>
      <c r="R13" s="318">
        <v>450</v>
      </c>
      <c r="S13" s="319" t="s">
        <v>233</v>
      </c>
      <c r="T13" s="319">
        <v>8</v>
      </c>
      <c r="U13" s="318">
        <v>3210</v>
      </c>
      <c r="V13" s="318">
        <v>6600</v>
      </c>
      <c r="W13" s="318">
        <v>6600</v>
      </c>
      <c r="X13" s="349">
        <f>W13/R13</f>
        <v>14.666666666666666</v>
      </c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18"/>
      <c r="AJ13" s="301">
        <f t="shared" si="1"/>
        <v>0</v>
      </c>
      <c r="AK13" s="318" t="s">
        <v>66</v>
      </c>
      <c r="AL13" s="318" t="s">
        <v>66</v>
      </c>
      <c r="AM13" s="318"/>
      <c r="AN13" s="319"/>
      <c r="AO13" s="319"/>
      <c r="AP13" s="319"/>
      <c r="AQ13" s="319"/>
      <c r="AR13" s="319"/>
      <c r="AS13" s="319"/>
      <c r="AT13" s="319"/>
      <c r="AU13" s="319"/>
      <c r="AV13" s="343" t="s">
        <v>1272</v>
      </c>
    </row>
    <row r="14" spans="1:48" s="266" customFormat="1" ht="16.5" customHeight="1">
      <c r="A14" s="260">
        <v>251</v>
      </c>
      <c r="B14" s="266" t="s">
        <v>196</v>
      </c>
      <c r="C14" s="266" t="s">
        <v>1260</v>
      </c>
      <c r="D14" s="317">
        <v>39934</v>
      </c>
      <c r="E14" s="317">
        <v>40330</v>
      </c>
      <c r="F14" s="266" t="s">
        <v>980</v>
      </c>
      <c r="G14" s="259" t="s">
        <v>1451</v>
      </c>
      <c r="H14" s="266" t="s">
        <v>981</v>
      </c>
      <c r="I14" s="278" t="s">
        <v>2438</v>
      </c>
      <c r="J14" s="318">
        <v>4320</v>
      </c>
      <c r="K14" s="318">
        <v>892624</v>
      </c>
      <c r="L14" s="318">
        <v>812327</v>
      </c>
      <c r="M14" s="318">
        <v>798541</v>
      </c>
      <c r="N14" s="256">
        <f t="shared" si="0"/>
        <v>184.84745370370371</v>
      </c>
      <c r="O14" s="318">
        <v>91</v>
      </c>
      <c r="P14" s="318">
        <v>2410</v>
      </c>
      <c r="Q14" s="318"/>
      <c r="R14" s="318">
        <v>2410</v>
      </c>
      <c r="S14" s="319"/>
      <c r="T14" s="319"/>
      <c r="U14" s="318">
        <v>2410</v>
      </c>
      <c r="V14" s="318">
        <v>21761</v>
      </c>
      <c r="W14" s="318">
        <v>2523</v>
      </c>
      <c r="X14" s="349">
        <f>W14/R14</f>
        <v>1.0468879668049793</v>
      </c>
      <c r="Y14" s="318"/>
      <c r="Z14" s="318"/>
      <c r="AA14" s="318">
        <v>2410</v>
      </c>
      <c r="AB14" s="318"/>
      <c r="AC14" s="318"/>
      <c r="AD14" s="318"/>
      <c r="AE14" s="318"/>
      <c r="AF14" s="318"/>
      <c r="AG14" s="318"/>
      <c r="AH14" s="318"/>
      <c r="AI14" s="318"/>
      <c r="AJ14" s="301">
        <f t="shared" si="1"/>
        <v>2410</v>
      </c>
      <c r="AK14" s="318">
        <v>1440</v>
      </c>
      <c r="AL14" s="318">
        <v>773</v>
      </c>
      <c r="AM14" s="318">
        <f t="shared" ref="AM14:AM15" si="2">AL14/AJ14</f>
        <v>0.32074688796680501</v>
      </c>
      <c r="AN14" s="319"/>
      <c r="AO14" s="319"/>
      <c r="AP14" s="319"/>
      <c r="AQ14" s="319"/>
      <c r="AR14" s="319"/>
      <c r="AS14" s="319"/>
      <c r="AT14" s="319"/>
      <c r="AU14" s="319"/>
      <c r="AV14" s="320" t="s">
        <v>982</v>
      </c>
    </row>
    <row r="15" spans="1:48" s="266" customFormat="1" ht="14.25" customHeight="1">
      <c r="A15" s="260">
        <v>252</v>
      </c>
      <c r="B15" s="261" t="s">
        <v>10</v>
      </c>
      <c r="C15" s="261" t="s">
        <v>1261</v>
      </c>
      <c r="D15" s="262">
        <v>40087</v>
      </c>
      <c r="E15" s="262">
        <v>40664</v>
      </c>
      <c r="F15" s="261" t="s">
        <v>100</v>
      </c>
      <c r="G15" s="259" t="s">
        <v>1454</v>
      </c>
      <c r="H15" s="261" t="s">
        <v>439</v>
      </c>
      <c r="I15" s="278" t="s">
        <v>2438</v>
      </c>
      <c r="J15" s="263">
        <v>5000</v>
      </c>
      <c r="K15" s="263">
        <v>2506427</v>
      </c>
      <c r="L15" s="263">
        <v>2202703</v>
      </c>
      <c r="M15" s="263">
        <v>2202703</v>
      </c>
      <c r="N15" s="256">
        <f t="shared" si="0"/>
        <v>440.54059999999998</v>
      </c>
      <c r="O15" s="263">
        <v>87.7</v>
      </c>
      <c r="P15" s="263">
        <v>5000</v>
      </c>
      <c r="Q15" s="263">
        <v>1700</v>
      </c>
      <c r="R15" s="263">
        <v>5000</v>
      </c>
      <c r="S15" s="264"/>
      <c r="T15" s="264">
        <v>38</v>
      </c>
      <c r="U15" s="263">
        <v>5000</v>
      </c>
      <c r="V15" s="263">
        <v>489078</v>
      </c>
      <c r="W15" s="263">
        <v>489078</v>
      </c>
      <c r="X15" s="349">
        <f>W15/R15</f>
        <v>97.815600000000003</v>
      </c>
      <c r="Y15" s="263">
        <v>2910</v>
      </c>
      <c r="Z15" s="263" t="s">
        <v>2</v>
      </c>
      <c r="AA15" s="263">
        <v>2910</v>
      </c>
      <c r="AB15" s="263">
        <v>30</v>
      </c>
      <c r="AC15" s="263" t="s">
        <v>2</v>
      </c>
      <c r="AD15" s="263"/>
      <c r="AE15" s="263"/>
      <c r="AF15" s="263"/>
      <c r="AG15" s="263"/>
      <c r="AH15" s="263"/>
      <c r="AI15" s="263"/>
      <c r="AJ15" s="301">
        <f t="shared" si="1"/>
        <v>2910</v>
      </c>
      <c r="AK15" s="263">
        <v>4342</v>
      </c>
      <c r="AL15" s="263">
        <v>4342</v>
      </c>
      <c r="AM15" s="318">
        <f t="shared" si="2"/>
        <v>1.4920962199312715</v>
      </c>
      <c r="AN15" s="264"/>
      <c r="AO15" s="264"/>
      <c r="AP15" s="264"/>
      <c r="AQ15" s="264"/>
      <c r="AR15" s="264"/>
      <c r="AS15" s="264"/>
      <c r="AT15" s="264" t="s">
        <v>204</v>
      </c>
      <c r="AU15" s="264"/>
      <c r="AV15" s="265" t="s">
        <v>101</v>
      </c>
    </row>
    <row r="16" spans="1:48" s="266" customFormat="1" ht="12" customHeight="1">
      <c r="A16" s="260">
        <v>253</v>
      </c>
      <c r="B16" s="266" t="s">
        <v>649</v>
      </c>
      <c r="C16" s="266" t="s">
        <v>1261</v>
      </c>
      <c r="D16" s="317">
        <v>40057</v>
      </c>
      <c r="E16" s="317">
        <v>40483</v>
      </c>
      <c r="F16" s="266" t="s">
        <v>1050</v>
      </c>
      <c r="G16" s="259" t="s">
        <v>1449</v>
      </c>
      <c r="H16" s="266" t="s">
        <v>1051</v>
      </c>
      <c r="I16" s="254" t="s">
        <v>2331</v>
      </c>
      <c r="J16" s="318">
        <v>5000</v>
      </c>
      <c r="K16" s="318">
        <v>359058</v>
      </c>
      <c r="L16" s="318">
        <v>359058</v>
      </c>
      <c r="M16" s="318">
        <v>246774</v>
      </c>
      <c r="N16" s="256">
        <f t="shared" si="0"/>
        <v>49.354799999999997</v>
      </c>
      <c r="O16" s="318">
        <v>100</v>
      </c>
      <c r="P16" s="318"/>
      <c r="Q16" s="318"/>
      <c r="R16" s="318"/>
      <c r="S16" s="319"/>
      <c r="T16" s="319">
        <v>11</v>
      </c>
      <c r="U16" s="318">
        <v>50535</v>
      </c>
      <c r="V16" s="318">
        <v>16000</v>
      </c>
      <c r="W16" s="318">
        <v>16000</v>
      </c>
      <c r="X16" s="318"/>
      <c r="Y16" s="318"/>
      <c r="Z16" s="318"/>
      <c r="AA16" s="318">
        <v>50535</v>
      </c>
      <c r="AB16" s="318">
        <v>366</v>
      </c>
      <c r="AC16" s="318"/>
      <c r="AD16" s="318"/>
      <c r="AE16" s="318"/>
      <c r="AF16" s="318"/>
      <c r="AG16" s="318"/>
      <c r="AH16" s="318">
        <v>111</v>
      </c>
      <c r="AI16" s="318"/>
      <c r="AJ16" s="301">
        <f t="shared" si="1"/>
        <v>50646</v>
      </c>
      <c r="AK16" s="318"/>
      <c r="AL16" s="318"/>
      <c r="AM16" s="318"/>
      <c r="AN16" s="319"/>
      <c r="AO16" s="319"/>
      <c r="AP16" s="319"/>
      <c r="AQ16" s="319"/>
      <c r="AR16" s="319"/>
      <c r="AS16" s="319"/>
      <c r="AT16" s="319"/>
      <c r="AU16" s="319"/>
      <c r="AV16" s="319" t="s">
        <v>1052</v>
      </c>
    </row>
    <row r="17" spans="1:48" s="266" customFormat="1" ht="14.25" customHeight="1">
      <c r="A17" s="260">
        <v>254</v>
      </c>
      <c r="B17" s="266" t="s">
        <v>1084</v>
      </c>
      <c r="C17" s="266" t="s">
        <v>1260</v>
      </c>
      <c r="D17" s="317">
        <v>40057</v>
      </c>
      <c r="E17" s="317">
        <v>39845</v>
      </c>
      <c r="F17" s="266" t="s">
        <v>5</v>
      </c>
      <c r="G17" s="259" t="s">
        <v>1451</v>
      </c>
      <c r="H17" s="266" t="s">
        <v>1230</v>
      </c>
      <c r="I17" s="254" t="s">
        <v>2331</v>
      </c>
      <c r="J17" s="318">
        <v>5000</v>
      </c>
      <c r="K17" s="318">
        <v>294118</v>
      </c>
      <c r="L17" s="318">
        <v>294118</v>
      </c>
      <c r="M17" s="318">
        <v>290840</v>
      </c>
      <c r="N17" s="256">
        <f t="shared" si="0"/>
        <v>58.167999999999999</v>
      </c>
      <c r="O17" s="318">
        <v>100</v>
      </c>
      <c r="P17" s="318"/>
      <c r="Q17" s="318"/>
      <c r="R17" s="318">
        <v>5000</v>
      </c>
      <c r="S17" s="319"/>
      <c r="T17" s="319">
        <v>223</v>
      </c>
      <c r="U17" s="318">
        <v>5000</v>
      </c>
      <c r="V17" s="318">
        <v>75000</v>
      </c>
      <c r="W17" s="318">
        <v>75000</v>
      </c>
      <c r="X17" s="349">
        <f>W17/R17</f>
        <v>15</v>
      </c>
      <c r="Y17" s="318"/>
      <c r="Z17" s="318"/>
      <c r="AA17" s="318"/>
      <c r="AB17" s="318"/>
      <c r="AC17" s="318"/>
      <c r="AD17" s="318"/>
      <c r="AE17" s="318"/>
      <c r="AF17" s="318"/>
      <c r="AG17" s="318"/>
      <c r="AH17" s="318"/>
      <c r="AI17" s="318"/>
      <c r="AJ17" s="301">
        <f t="shared" si="1"/>
        <v>0</v>
      </c>
      <c r="AK17" s="318"/>
      <c r="AL17" s="318"/>
      <c r="AM17" s="318"/>
      <c r="AN17" s="319"/>
      <c r="AO17" s="319"/>
      <c r="AP17" s="319"/>
      <c r="AQ17" s="319"/>
      <c r="AR17" s="319"/>
      <c r="AS17" s="319"/>
      <c r="AT17" s="319"/>
      <c r="AU17" s="319"/>
      <c r="AV17" s="266" t="s">
        <v>1231</v>
      </c>
    </row>
    <row r="18" spans="1:48" s="266" customFormat="1" ht="12" customHeight="1">
      <c r="A18" s="260">
        <v>255</v>
      </c>
      <c r="B18" s="266" t="s">
        <v>1247</v>
      </c>
      <c r="C18" s="266" t="s">
        <v>1260</v>
      </c>
      <c r="D18" s="317">
        <v>39995</v>
      </c>
      <c r="E18" s="317">
        <v>40179</v>
      </c>
      <c r="F18" s="266" t="s">
        <v>5</v>
      </c>
      <c r="G18" s="254" t="s">
        <v>1451</v>
      </c>
      <c r="H18" s="266" t="s">
        <v>1248</v>
      </c>
      <c r="I18" s="254" t="s">
        <v>2331</v>
      </c>
      <c r="J18" s="318">
        <v>5000</v>
      </c>
      <c r="K18" s="318">
        <v>295187</v>
      </c>
      <c r="L18" s="318">
        <v>295187</v>
      </c>
      <c r="M18" s="318">
        <v>247435</v>
      </c>
      <c r="N18" s="256">
        <f t="shared" si="0"/>
        <v>49.487000000000002</v>
      </c>
      <c r="O18" s="318">
        <v>100</v>
      </c>
      <c r="P18" s="318">
        <v>3150</v>
      </c>
      <c r="Q18" s="318"/>
      <c r="R18" s="318">
        <v>3150</v>
      </c>
      <c r="S18" s="319"/>
      <c r="T18" s="319">
        <v>500</v>
      </c>
      <c r="U18" s="318">
        <v>3150</v>
      </c>
      <c r="V18" s="318">
        <v>266000</v>
      </c>
      <c r="W18" s="318">
        <v>266000</v>
      </c>
      <c r="X18" s="349">
        <f>W18/R18</f>
        <v>84.444444444444443</v>
      </c>
      <c r="Y18" s="318"/>
      <c r="Z18" s="318"/>
      <c r="AA18" s="318"/>
      <c r="AB18" s="318"/>
      <c r="AC18" s="318"/>
      <c r="AD18" s="318"/>
      <c r="AE18" s="318"/>
      <c r="AF18" s="318"/>
      <c r="AG18" s="318"/>
      <c r="AH18" s="318"/>
      <c r="AI18" s="318"/>
      <c r="AJ18" s="301">
        <f t="shared" si="1"/>
        <v>0</v>
      </c>
      <c r="AK18" s="318"/>
      <c r="AL18" s="318"/>
      <c r="AM18" s="318"/>
      <c r="AN18" s="319"/>
      <c r="AO18" s="319"/>
      <c r="AP18" s="319"/>
      <c r="AQ18" s="319"/>
      <c r="AR18" s="319"/>
      <c r="AS18" s="319"/>
      <c r="AT18" s="319"/>
      <c r="AU18" s="319"/>
      <c r="AV18" s="343" t="s">
        <v>1249</v>
      </c>
    </row>
    <row r="19" spans="1:48" s="266" customFormat="1" ht="14.25" customHeight="1">
      <c r="A19" s="260">
        <v>256</v>
      </c>
      <c r="B19" s="266" t="s">
        <v>291</v>
      </c>
      <c r="C19" s="266" t="s">
        <v>1299</v>
      </c>
      <c r="D19" s="317">
        <v>39995</v>
      </c>
      <c r="E19" s="317">
        <v>40118</v>
      </c>
      <c r="F19" s="266" t="s">
        <v>5</v>
      </c>
      <c r="G19" s="259" t="s">
        <v>1451</v>
      </c>
      <c r="H19" s="266" t="s">
        <v>1267</v>
      </c>
      <c r="I19" s="254" t="s">
        <v>2331</v>
      </c>
      <c r="J19" s="318">
        <v>5000</v>
      </c>
      <c r="K19" s="318">
        <v>101264</v>
      </c>
      <c r="L19" s="318">
        <v>74860</v>
      </c>
      <c r="M19" s="318">
        <v>74860</v>
      </c>
      <c r="N19" s="256">
        <f t="shared" si="0"/>
        <v>14.972</v>
      </c>
      <c r="O19" s="318">
        <v>74</v>
      </c>
      <c r="P19" s="318" t="s">
        <v>75</v>
      </c>
      <c r="Q19" s="318" t="s">
        <v>75</v>
      </c>
      <c r="R19" s="318" t="s">
        <v>75</v>
      </c>
      <c r="S19" s="319" t="s">
        <v>233</v>
      </c>
      <c r="T19" s="319" t="s">
        <v>75</v>
      </c>
      <c r="U19" s="318" t="s">
        <v>75</v>
      </c>
      <c r="V19" s="318" t="s">
        <v>66</v>
      </c>
      <c r="W19" s="318" t="s">
        <v>66</v>
      </c>
      <c r="X19" s="318"/>
      <c r="Y19" s="318"/>
      <c r="Z19" s="318">
        <v>5000</v>
      </c>
      <c r="AA19" s="318">
        <v>5000</v>
      </c>
      <c r="AB19" s="318" t="s">
        <v>134</v>
      </c>
      <c r="AC19" s="318"/>
      <c r="AD19" s="318"/>
      <c r="AE19" s="318">
        <v>1959</v>
      </c>
      <c r="AF19" s="318"/>
      <c r="AG19" s="318"/>
      <c r="AH19" s="318"/>
      <c r="AI19" s="318"/>
      <c r="AJ19" s="301">
        <f t="shared" si="1"/>
        <v>10000</v>
      </c>
      <c r="AK19" s="318" t="s">
        <v>66</v>
      </c>
      <c r="AL19" s="318" t="s">
        <v>66</v>
      </c>
      <c r="AM19" s="318"/>
      <c r="AN19" s="319"/>
      <c r="AO19" s="319"/>
      <c r="AP19" s="319"/>
      <c r="AQ19" s="319"/>
      <c r="AR19" s="319"/>
      <c r="AS19" s="319"/>
      <c r="AT19" s="319" t="s">
        <v>204</v>
      </c>
      <c r="AU19" s="319"/>
      <c r="AV19" s="266" t="s">
        <v>1266</v>
      </c>
    </row>
    <row r="20" spans="1:48" s="266" customFormat="1" ht="14.25" customHeight="1">
      <c r="A20" s="260">
        <v>257</v>
      </c>
      <c r="B20" s="266" t="s">
        <v>160</v>
      </c>
      <c r="C20" s="266" t="s">
        <v>1278</v>
      </c>
      <c r="D20" s="317">
        <v>40057</v>
      </c>
      <c r="E20" s="317">
        <v>40238</v>
      </c>
      <c r="F20" s="266" t="s">
        <v>623</v>
      </c>
      <c r="G20" s="259" t="s">
        <v>1451</v>
      </c>
      <c r="H20" s="266" t="s">
        <v>960</v>
      </c>
      <c r="I20" s="254" t="s">
        <v>2331</v>
      </c>
      <c r="J20" s="318">
        <v>5100</v>
      </c>
      <c r="K20" s="318">
        <v>160749</v>
      </c>
      <c r="L20" s="318">
        <v>160749</v>
      </c>
      <c r="M20" s="318">
        <v>160692</v>
      </c>
      <c r="N20" s="256">
        <f t="shared" si="0"/>
        <v>31.508235294117647</v>
      </c>
      <c r="O20" s="318">
        <v>100</v>
      </c>
      <c r="P20" s="318"/>
      <c r="Q20" s="318"/>
      <c r="R20" s="318"/>
      <c r="S20" s="319"/>
      <c r="T20" s="319"/>
      <c r="U20" s="318">
        <v>5100</v>
      </c>
      <c r="V20" s="318"/>
      <c r="W20" s="318"/>
      <c r="X20" s="318"/>
      <c r="Y20" s="318">
        <v>5100</v>
      </c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01">
        <f t="shared" si="1"/>
        <v>0</v>
      </c>
      <c r="AK20" s="318"/>
      <c r="AL20" s="318"/>
      <c r="AM20" s="318"/>
      <c r="AN20" s="319"/>
      <c r="AO20" s="319"/>
      <c r="AP20" s="319"/>
      <c r="AQ20" s="319"/>
      <c r="AR20" s="319"/>
      <c r="AS20" s="319"/>
      <c r="AT20" s="319"/>
      <c r="AU20" s="319"/>
      <c r="AV20" s="320" t="s">
        <v>961</v>
      </c>
    </row>
    <row r="21" spans="1:48" s="266" customFormat="1" ht="16.5" customHeight="1">
      <c r="A21" s="260">
        <v>258</v>
      </c>
      <c r="B21" s="266" t="s">
        <v>353</v>
      </c>
      <c r="C21" s="266" t="s">
        <v>1299</v>
      </c>
      <c r="D21" s="317">
        <v>40026</v>
      </c>
      <c r="E21" s="317">
        <v>40179</v>
      </c>
      <c r="F21" s="266" t="s">
        <v>5</v>
      </c>
      <c r="G21" s="254" t="s">
        <v>1451</v>
      </c>
      <c r="H21" s="266" t="s">
        <v>970</v>
      </c>
      <c r="I21" s="278" t="s">
        <v>2438</v>
      </c>
      <c r="J21" s="318">
        <v>6000</v>
      </c>
      <c r="K21" s="318">
        <v>805260</v>
      </c>
      <c r="L21" s="318">
        <v>154986</v>
      </c>
      <c r="M21" s="318">
        <v>154986</v>
      </c>
      <c r="N21" s="256">
        <f t="shared" si="0"/>
        <v>25.831</v>
      </c>
      <c r="O21" s="318">
        <v>19</v>
      </c>
      <c r="P21" s="318"/>
      <c r="Q21" s="318"/>
      <c r="R21" s="318"/>
      <c r="S21" s="319"/>
      <c r="T21" s="319"/>
      <c r="U21" s="318">
        <v>6000</v>
      </c>
      <c r="V21" s="318">
        <v>231055</v>
      </c>
      <c r="W21" s="318">
        <v>400</v>
      </c>
      <c r="X21" s="318"/>
      <c r="Y21" s="318"/>
      <c r="Z21" s="318"/>
      <c r="AA21" s="318"/>
      <c r="AB21" s="318">
        <v>80</v>
      </c>
      <c r="AC21" s="318"/>
      <c r="AD21" s="318"/>
      <c r="AE21" s="318"/>
      <c r="AF21" s="318"/>
      <c r="AG21" s="318"/>
      <c r="AH21" s="318"/>
      <c r="AI21" s="318"/>
      <c r="AJ21" s="301">
        <f t="shared" si="1"/>
        <v>0</v>
      </c>
      <c r="AK21" s="318">
        <v>17690</v>
      </c>
      <c r="AL21" s="318">
        <v>568</v>
      </c>
      <c r="AM21" s="318"/>
      <c r="AN21" s="319"/>
      <c r="AO21" s="319"/>
      <c r="AP21" s="319"/>
      <c r="AQ21" s="319"/>
      <c r="AR21" s="319"/>
      <c r="AS21" s="319"/>
      <c r="AT21" s="319"/>
      <c r="AU21" s="319"/>
      <c r="AV21" s="320" t="s">
        <v>971</v>
      </c>
    </row>
    <row r="22" spans="1:48" s="266" customFormat="1" ht="14.25" customHeight="1">
      <c r="A22" s="260">
        <v>259</v>
      </c>
      <c r="B22" s="266" t="s">
        <v>764</v>
      </c>
      <c r="C22" s="266" t="s">
        <v>1299</v>
      </c>
      <c r="D22" s="317">
        <v>39873</v>
      </c>
      <c r="E22" s="317">
        <v>40238</v>
      </c>
      <c r="F22" s="266" t="s">
        <v>5</v>
      </c>
      <c r="G22" s="254" t="s">
        <v>1451</v>
      </c>
      <c r="H22" s="266" t="s">
        <v>1277</v>
      </c>
      <c r="I22" s="254" t="s">
        <v>2331</v>
      </c>
      <c r="J22" s="318">
        <v>6000</v>
      </c>
      <c r="K22" s="318">
        <v>132235</v>
      </c>
      <c r="L22" s="318">
        <v>132235</v>
      </c>
      <c r="M22" s="318">
        <v>87116</v>
      </c>
      <c r="N22" s="256">
        <f t="shared" si="0"/>
        <v>14.519333333333334</v>
      </c>
      <c r="O22" s="318">
        <v>100</v>
      </c>
      <c r="P22" s="318">
        <v>3080</v>
      </c>
      <c r="Q22" s="318">
        <v>2200</v>
      </c>
      <c r="R22" s="318">
        <v>3080</v>
      </c>
      <c r="S22" s="319" t="s">
        <v>233</v>
      </c>
      <c r="T22" s="319" t="s">
        <v>134</v>
      </c>
      <c r="U22" s="318" t="s">
        <v>134</v>
      </c>
      <c r="V22" s="318">
        <v>8435</v>
      </c>
      <c r="W22" s="318">
        <v>8435</v>
      </c>
      <c r="X22" s="349">
        <f>W22/R22</f>
        <v>2.7386363636363638</v>
      </c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01">
        <f t="shared" si="1"/>
        <v>0</v>
      </c>
      <c r="AK22" s="318">
        <v>8534</v>
      </c>
      <c r="AL22" s="318">
        <v>8534</v>
      </c>
      <c r="AM22" s="318"/>
      <c r="AN22" s="319"/>
      <c r="AO22" s="319"/>
      <c r="AP22" s="319"/>
      <c r="AQ22" s="319"/>
      <c r="AR22" s="319"/>
      <c r="AS22" s="319"/>
      <c r="AT22" s="319"/>
      <c r="AU22" s="319"/>
      <c r="AV22" s="343" t="s">
        <v>1276</v>
      </c>
    </row>
    <row r="23" spans="1:48" s="266" customFormat="1" ht="20.25" customHeight="1">
      <c r="A23" s="260">
        <v>260</v>
      </c>
      <c r="B23" s="266" t="s">
        <v>1000</v>
      </c>
      <c r="C23" s="266" t="s">
        <v>1261</v>
      </c>
      <c r="D23" s="317">
        <v>40026</v>
      </c>
      <c r="E23" s="317">
        <v>40148</v>
      </c>
      <c r="F23" s="266" t="s">
        <v>1001</v>
      </c>
      <c r="G23" s="259" t="s">
        <v>1449</v>
      </c>
      <c r="H23" s="266" t="s">
        <v>1002</v>
      </c>
      <c r="I23" s="254" t="s">
        <v>2331</v>
      </c>
      <c r="J23" s="318">
        <v>8000</v>
      </c>
      <c r="K23" s="318">
        <v>50000</v>
      </c>
      <c r="L23" s="318">
        <v>50000</v>
      </c>
      <c r="M23" s="318">
        <v>45718</v>
      </c>
      <c r="N23" s="256">
        <f t="shared" si="0"/>
        <v>5.7147500000000004</v>
      </c>
      <c r="O23" s="318">
        <v>100</v>
      </c>
      <c r="P23" s="318"/>
      <c r="Q23" s="318"/>
      <c r="R23" s="318"/>
      <c r="S23" s="319"/>
      <c r="T23" s="319"/>
      <c r="U23" s="318"/>
      <c r="V23" s="318"/>
      <c r="W23" s="318"/>
      <c r="X23" s="318"/>
      <c r="Y23" s="318">
        <v>5000</v>
      </c>
      <c r="Z23" s="318"/>
      <c r="AA23" s="318">
        <v>1200</v>
      </c>
      <c r="AB23" s="318"/>
      <c r="AC23" s="318"/>
      <c r="AD23" s="318"/>
      <c r="AE23" s="318"/>
      <c r="AF23" s="318"/>
      <c r="AG23" s="318"/>
      <c r="AH23" s="318"/>
      <c r="AI23" s="318"/>
      <c r="AJ23" s="301">
        <f t="shared" si="1"/>
        <v>1200</v>
      </c>
      <c r="AK23" s="318">
        <v>33022</v>
      </c>
      <c r="AL23" s="318">
        <v>16264</v>
      </c>
      <c r="AM23" s="318">
        <f t="shared" ref="AM23" si="3">AL23/AJ23</f>
        <v>13.553333333333333</v>
      </c>
      <c r="AN23" s="319"/>
      <c r="AO23" s="319"/>
      <c r="AP23" s="319"/>
      <c r="AQ23" s="319"/>
      <c r="AR23" s="319"/>
      <c r="AS23" s="319"/>
      <c r="AT23" s="319"/>
      <c r="AU23" s="319"/>
      <c r="AV23" s="319" t="s">
        <v>1003</v>
      </c>
    </row>
    <row r="24" spans="1:48" s="266" customFormat="1" ht="12" customHeight="1">
      <c r="A24" s="260">
        <v>261</v>
      </c>
      <c r="B24" s="266" t="s">
        <v>332</v>
      </c>
      <c r="C24" s="266" t="s">
        <v>1299</v>
      </c>
      <c r="D24" s="317">
        <v>40087</v>
      </c>
      <c r="E24" s="317">
        <v>40422</v>
      </c>
      <c r="F24" s="266" t="s">
        <v>615</v>
      </c>
      <c r="G24" s="259" t="s">
        <v>1452</v>
      </c>
      <c r="H24" s="266" t="s">
        <v>1059</v>
      </c>
      <c r="I24" s="254" t="s">
        <v>2331</v>
      </c>
      <c r="J24" s="318">
        <v>10000</v>
      </c>
      <c r="K24" s="318">
        <v>415447</v>
      </c>
      <c r="L24" s="318">
        <v>418448</v>
      </c>
      <c r="M24" s="318">
        <v>415849</v>
      </c>
      <c r="N24" s="256">
        <f t="shared" si="0"/>
        <v>41.584899999999998</v>
      </c>
      <c r="O24" s="318">
        <v>100</v>
      </c>
      <c r="P24" s="318"/>
      <c r="Q24" s="318"/>
      <c r="R24" s="318"/>
      <c r="S24" s="319"/>
      <c r="T24" s="319"/>
      <c r="U24" s="318">
        <v>10000</v>
      </c>
      <c r="V24" s="318">
        <v>8000</v>
      </c>
      <c r="W24" s="318">
        <v>9914</v>
      </c>
      <c r="X24" s="318"/>
      <c r="Y24" s="318"/>
      <c r="Z24" s="318"/>
      <c r="AA24" s="318"/>
      <c r="AB24" s="318">
        <v>69</v>
      </c>
      <c r="AC24" s="318"/>
      <c r="AD24" s="318"/>
      <c r="AE24" s="318"/>
      <c r="AF24" s="318"/>
      <c r="AG24" s="318"/>
      <c r="AH24" s="318"/>
      <c r="AI24" s="318"/>
      <c r="AJ24" s="301">
        <f t="shared" si="1"/>
        <v>0</v>
      </c>
      <c r="AK24" s="318"/>
      <c r="AL24" s="318"/>
      <c r="AM24" s="318"/>
      <c r="AN24" s="319"/>
      <c r="AO24" s="319"/>
      <c r="AP24" s="319"/>
      <c r="AQ24" s="319"/>
      <c r="AR24" s="319"/>
      <c r="AS24" s="319"/>
      <c r="AT24" s="319"/>
      <c r="AU24" s="319"/>
      <c r="AV24" s="319" t="s">
        <v>1060</v>
      </c>
    </row>
    <row r="25" spans="1:48" s="266" customFormat="1" ht="21" customHeight="1">
      <c r="A25" s="260">
        <v>262</v>
      </c>
      <c r="B25" s="266" t="s">
        <v>170</v>
      </c>
      <c r="C25" s="266" t="s">
        <v>1299</v>
      </c>
      <c r="D25" s="317">
        <v>40057</v>
      </c>
      <c r="E25" s="317">
        <v>40299</v>
      </c>
      <c r="F25" s="266" t="s">
        <v>512</v>
      </c>
      <c r="G25" s="254" t="s">
        <v>1452</v>
      </c>
      <c r="H25" s="266" t="s">
        <v>1067</v>
      </c>
      <c r="I25" s="254" t="s">
        <v>2331</v>
      </c>
      <c r="J25" s="318">
        <v>10000</v>
      </c>
      <c r="K25" s="318">
        <v>247375</v>
      </c>
      <c r="L25" s="318">
        <v>247375</v>
      </c>
      <c r="M25" s="318">
        <v>247302</v>
      </c>
      <c r="N25" s="256">
        <f t="shared" si="0"/>
        <v>24.7302</v>
      </c>
      <c r="O25" s="318">
        <v>100</v>
      </c>
      <c r="P25" s="318">
        <v>8500</v>
      </c>
      <c r="Q25" s="318">
        <v>3180</v>
      </c>
      <c r="R25" s="318">
        <v>8500</v>
      </c>
      <c r="S25" s="319" t="s">
        <v>233</v>
      </c>
      <c r="T25" s="319">
        <v>60</v>
      </c>
      <c r="U25" s="318">
        <v>50000</v>
      </c>
      <c r="V25" s="318">
        <v>44700</v>
      </c>
      <c r="W25" s="318">
        <v>26251</v>
      </c>
      <c r="X25" s="349">
        <f>W25/R25</f>
        <v>3.0883529411764705</v>
      </c>
      <c r="Y25" s="318"/>
      <c r="Z25" s="318"/>
      <c r="AA25" s="318">
        <v>9200</v>
      </c>
      <c r="AB25" s="318">
        <v>46</v>
      </c>
      <c r="AC25" s="318"/>
      <c r="AD25" s="318"/>
      <c r="AE25" s="318">
        <v>132</v>
      </c>
      <c r="AF25" s="318"/>
      <c r="AG25" s="318"/>
      <c r="AH25" s="318"/>
      <c r="AI25" s="318"/>
      <c r="AJ25" s="301">
        <f t="shared" si="1"/>
        <v>9200</v>
      </c>
      <c r="AK25" s="318">
        <v>19100</v>
      </c>
      <c r="AL25" s="318">
        <v>19100</v>
      </c>
      <c r="AM25" s="318">
        <f>AL25/AJ25</f>
        <v>2.0760869565217392</v>
      </c>
      <c r="AN25" s="319"/>
      <c r="AO25" s="319"/>
      <c r="AP25" s="319"/>
      <c r="AQ25" s="319"/>
      <c r="AR25" s="319"/>
      <c r="AS25" s="319"/>
      <c r="AT25" s="319"/>
      <c r="AU25" s="319" t="s">
        <v>1068</v>
      </c>
      <c r="AV25" s="343" t="s">
        <v>1066</v>
      </c>
    </row>
    <row r="26" spans="1:48" s="266" customFormat="1" ht="15.75" customHeight="1">
      <c r="A26" s="260">
        <v>263</v>
      </c>
      <c r="B26" s="266" t="s">
        <v>1135</v>
      </c>
      <c r="C26" s="266" t="s">
        <v>1261</v>
      </c>
      <c r="D26" s="317">
        <v>39995</v>
      </c>
      <c r="E26" s="317">
        <v>40422</v>
      </c>
      <c r="F26" s="266" t="s">
        <v>5</v>
      </c>
      <c r="G26" s="259" t="s">
        <v>1451</v>
      </c>
      <c r="H26" s="266" t="s">
        <v>1236</v>
      </c>
      <c r="I26" s="254" t="s">
        <v>2331</v>
      </c>
      <c r="J26" s="318">
        <v>10000</v>
      </c>
      <c r="K26" s="318">
        <v>240000</v>
      </c>
      <c r="L26" s="318">
        <v>240000</v>
      </c>
      <c r="M26" s="318">
        <v>238304</v>
      </c>
      <c r="N26" s="256">
        <f t="shared" si="0"/>
        <v>23.830400000000001</v>
      </c>
      <c r="O26" s="318">
        <v>100</v>
      </c>
      <c r="P26" s="318"/>
      <c r="Q26" s="318"/>
      <c r="R26" s="318"/>
      <c r="S26" s="319"/>
      <c r="T26" s="319"/>
      <c r="U26" s="318">
        <v>9500</v>
      </c>
      <c r="V26" s="318"/>
      <c r="W26" s="318">
        <v>10544</v>
      </c>
      <c r="X26" s="318"/>
      <c r="Y26" s="318"/>
      <c r="Z26" s="318"/>
      <c r="AA26" s="318"/>
      <c r="AB26" s="318">
        <v>90</v>
      </c>
      <c r="AC26" s="318"/>
      <c r="AD26" s="318"/>
      <c r="AE26" s="318"/>
      <c r="AF26" s="318"/>
      <c r="AG26" s="318"/>
      <c r="AH26" s="318"/>
      <c r="AI26" s="318"/>
      <c r="AJ26" s="301">
        <f t="shared" si="1"/>
        <v>0</v>
      </c>
      <c r="AK26" s="318"/>
      <c r="AL26" s="318"/>
      <c r="AM26" s="318"/>
      <c r="AN26" s="319"/>
      <c r="AO26" s="319"/>
      <c r="AP26" s="319"/>
      <c r="AQ26" s="319"/>
      <c r="AR26" s="319"/>
      <c r="AS26" s="319"/>
      <c r="AT26" s="319" t="s">
        <v>2</v>
      </c>
      <c r="AU26" s="319"/>
      <c r="AV26" s="266" t="s">
        <v>1237</v>
      </c>
    </row>
    <row r="27" spans="1:48" s="266" customFormat="1" ht="12" customHeight="1">
      <c r="A27" s="260">
        <v>264</v>
      </c>
      <c r="B27" s="261" t="s">
        <v>270</v>
      </c>
      <c r="C27" s="261" t="s">
        <v>1299</v>
      </c>
      <c r="D27" s="262">
        <v>39814</v>
      </c>
      <c r="E27" s="262">
        <v>39904</v>
      </c>
      <c r="F27" s="342" t="s">
        <v>679</v>
      </c>
      <c r="G27" s="254" t="s">
        <v>1449</v>
      </c>
      <c r="H27" s="261" t="s">
        <v>678</v>
      </c>
      <c r="I27" s="254" t="s">
        <v>2331</v>
      </c>
      <c r="J27" s="263">
        <v>15000</v>
      </c>
      <c r="K27" s="263">
        <v>146404</v>
      </c>
      <c r="L27" s="263">
        <v>145321</v>
      </c>
      <c r="M27" s="263">
        <v>145321</v>
      </c>
      <c r="N27" s="256">
        <f t="shared" si="0"/>
        <v>9.6880666666666659</v>
      </c>
      <c r="O27" s="263">
        <v>99</v>
      </c>
      <c r="P27" s="263">
        <v>3290</v>
      </c>
      <c r="Q27" s="274">
        <v>2250</v>
      </c>
      <c r="R27" s="263">
        <v>3290</v>
      </c>
      <c r="S27" s="264" t="s">
        <v>95</v>
      </c>
      <c r="T27" s="264">
        <v>130</v>
      </c>
      <c r="U27" s="263" t="s">
        <v>339</v>
      </c>
      <c r="V27" s="263">
        <v>30804</v>
      </c>
      <c r="W27" s="263">
        <v>24283</v>
      </c>
      <c r="X27" s="349">
        <f>W27/R27</f>
        <v>7.3808510638297875</v>
      </c>
      <c r="Y27" s="263" t="s">
        <v>339</v>
      </c>
      <c r="Z27" s="263" t="s">
        <v>75</v>
      </c>
      <c r="AA27" s="263">
        <v>138000</v>
      </c>
      <c r="AB27" s="263">
        <v>130</v>
      </c>
      <c r="AC27" s="263" t="s">
        <v>75</v>
      </c>
      <c r="AD27" s="263" t="s">
        <v>75</v>
      </c>
      <c r="AE27" s="263" t="s">
        <v>75</v>
      </c>
      <c r="AF27" s="263" t="s">
        <v>75</v>
      </c>
      <c r="AG27" s="263" t="s">
        <v>75</v>
      </c>
      <c r="AH27" s="263" t="s">
        <v>75</v>
      </c>
      <c r="AI27" s="263" t="s">
        <v>75</v>
      </c>
      <c r="AJ27" s="301">
        <f t="shared" si="1"/>
        <v>138000</v>
      </c>
      <c r="AK27" s="263">
        <v>450</v>
      </c>
      <c r="AL27" s="263">
        <v>445.5</v>
      </c>
      <c r="AM27" s="318">
        <f t="shared" ref="AM27:AM28" si="4">AL27/AJ27</f>
        <v>3.2282608695652173E-3</v>
      </c>
      <c r="AN27" s="264"/>
      <c r="AO27" s="264" t="s">
        <v>75</v>
      </c>
      <c r="AP27" s="264" t="s">
        <v>75</v>
      </c>
      <c r="AQ27" s="264" t="s">
        <v>75</v>
      </c>
      <c r="AR27" s="264" t="s">
        <v>75</v>
      </c>
      <c r="AS27" s="264" t="s">
        <v>75</v>
      </c>
      <c r="AT27" s="264" t="s">
        <v>75</v>
      </c>
      <c r="AU27" s="264" t="s">
        <v>75</v>
      </c>
      <c r="AV27" s="276" t="s">
        <v>677</v>
      </c>
    </row>
    <row r="28" spans="1:48" s="266" customFormat="1" ht="13.5" customHeight="1">
      <c r="A28" s="260">
        <v>265</v>
      </c>
      <c r="B28" s="266" t="s">
        <v>248</v>
      </c>
      <c r="C28" s="266" t="s">
        <v>1299</v>
      </c>
      <c r="D28" s="317">
        <v>40057</v>
      </c>
      <c r="E28" s="317">
        <v>40238</v>
      </c>
      <c r="F28" s="266" t="s">
        <v>5</v>
      </c>
      <c r="G28" s="254" t="s">
        <v>1451</v>
      </c>
      <c r="H28" s="266" t="s">
        <v>1011</v>
      </c>
      <c r="I28" s="278" t="s">
        <v>2438</v>
      </c>
      <c r="J28" s="318">
        <v>25000</v>
      </c>
      <c r="K28" s="318">
        <v>2113583</v>
      </c>
      <c r="L28" s="318">
        <v>1030629</v>
      </c>
      <c r="M28" s="318">
        <v>1030210</v>
      </c>
      <c r="N28" s="256">
        <f t="shared" si="0"/>
        <v>41.208399999999997</v>
      </c>
      <c r="O28" s="318">
        <v>49</v>
      </c>
      <c r="P28" s="318">
        <v>17500</v>
      </c>
      <c r="Q28" s="318">
        <v>200</v>
      </c>
      <c r="R28" s="318">
        <v>17500</v>
      </c>
      <c r="S28" s="319" t="s">
        <v>233</v>
      </c>
      <c r="T28" s="319">
        <v>80</v>
      </c>
      <c r="U28" s="318">
        <v>17500</v>
      </c>
      <c r="V28" s="318">
        <v>155800</v>
      </c>
      <c r="W28" s="318">
        <v>76342</v>
      </c>
      <c r="X28" s="349">
        <f>W28/R28</f>
        <v>4.3624000000000001</v>
      </c>
      <c r="Y28" s="318"/>
      <c r="Z28" s="318">
        <v>16435</v>
      </c>
      <c r="AA28" s="318">
        <v>25000</v>
      </c>
      <c r="AB28" s="318"/>
      <c r="AC28" s="318"/>
      <c r="AD28" s="318"/>
      <c r="AE28" s="318">
        <v>6574</v>
      </c>
      <c r="AF28" s="318"/>
      <c r="AG28" s="318"/>
      <c r="AH28" s="318"/>
      <c r="AI28" s="318"/>
      <c r="AJ28" s="301">
        <f t="shared" si="1"/>
        <v>41435</v>
      </c>
      <c r="AK28" s="318">
        <v>0</v>
      </c>
      <c r="AL28" s="318">
        <v>1800</v>
      </c>
      <c r="AM28" s="318">
        <f t="shared" si="4"/>
        <v>4.344153493423434E-2</v>
      </c>
      <c r="AN28" s="319"/>
      <c r="AO28" s="319"/>
      <c r="AP28" s="319"/>
      <c r="AQ28" s="319"/>
      <c r="AR28" s="319"/>
      <c r="AS28" s="319"/>
      <c r="AT28" s="319">
        <v>2</v>
      </c>
      <c r="AU28" s="319"/>
      <c r="AV28" s="320" t="s">
        <v>1012</v>
      </c>
    </row>
    <row r="29" spans="1:48" s="266" customFormat="1" ht="19.5" customHeight="1">
      <c r="A29" s="260">
        <v>266</v>
      </c>
      <c r="B29" s="261" t="s">
        <v>2369</v>
      </c>
      <c r="C29" s="261" t="s">
        <v>1299</v>
      </c>
      <c r="D29" s="262">
        <v>40057</v>
      </c>
      <c r="E29" s="262">
        <v>40299</v>
      </c>
      <c r="F29" s="342" t="s">
        <v>5</v>
      </c>
      <c r="G29" s="254" t="s">
        <v>1451</v>
      </c>
      <c r="H29" s="261" t="s">
        <v>978</v>
      </c>
      <c r="I29" s="254" t="s">
        <v>2331</v>
      </c>
      <c r="J29" s="263">
        <v>17000</v>
      </c>
      <c r="K29" s="263">
        <v>200001</v>
      </c>
      <c r="L29" s="263">
        <v>199825</v>
      </c>
      <c r="M29" s="263">
        <v>199825</v>
      </c>
      <c r="N29" s="256">
        <f t="shared" si="0"/>
        <v>11.754411764705882</v>
      </c>
      <c r="O29" s="263">
        <v>100</v>
      </c>
      <c r="P29" s="263">
        <v>25000</v>
      </c>
      <c r="Q29" s="263"/>
      <c r="R29" s="263">
        <v>25000</v>
      </c>
      <c r="S29" s="264"/>
      <c r="T29" s="264">
        <v>380</v>
      </c>
      <c r="U29" s="263">
        <v>50100</v>
      </c>
      <c r="V29" s="263"/>
      <c r="W29" s="263"/>
      <c r="X29" s="349">
        <f>W29/R29</f>
        <v>0</v>
      </c>
      <c r="Y29" s="263"/>
      <c r="Z29" s="263"/>
      <c r="AA29" s="318">
        <v>50100</v>
      </c>
      <c r="AB29" s="318">
        <v>386</v>
      </c>
      <c r="AC29" s="318"/>
      <c r="AD29" s="318"/>
      <c r="AE29" s="318">
        <v>1000</v>
      </c>
      <c r="AF29" s="263"/>
      <c r="AG29" s="263"/>
      <c r="AH29" s="263"/>
      <c r="AI29" s="263"/>
      <c r="AJ29" s="301">
        <f t="shared" si="1"/>
        <v>50100</v>
      </c>
      <c r="AK29" s="263"/>
      <c r="AL29" s="263"/>
      <c r="AM29" s="263"/>
      <c r="AN29" s="264"/>
      <c r="AO29" s="264"/>
      <c r="AP29" s="264"/>
      <c r="AQ29" s="264"/>
      <c r="AR29" s="264"/>
      <c r="AS29" s="264"/>
      <c r="AT29" s="264" t="s">
        <v>2</v>
      </c>
      <c r="AU29" s="264"/>
      <c r="AV29" s="346" t="s">
        <v>979</v>
      </c>
    </row>
    <row r="30" spans="1:48" s="266" customFormat="1" ht="14.25" customHeight="1">
      <c r="A30" s="260">
        <v>267</v>
      </c>
      <c r="B30" s="266" t="s">
        <v>171</v>
      </c>
      <c r="C30" s="266" t="s">
        <v>1299</v>
      </c>
      <c r="D30" s="317">
        <v>39904</v>
      </c>
      <c r="E30" s="317">
        <v>40026</v>
      </c>
      <c r="F30" s="266" t="s">
        <v>989</v>
      </c>
      <c r="G30" s="259" t="s">
        <v>1461</v>
      </c>
      <c r="H30" s="266" t="s">
        <v>990</v>
      </c>
      <c r="I30" s="278" t="s">
        <v>2438</v>
      </c>
      <c r="J30" s="318">
        <v>18866</v>
      </c>
      <c r="K30" s="318">
        <v>545134</v>
      </c>
      <c r="L30" s="318">
        <v>231233</v>
      </c>
      <c r="M30" s="318">
        <v>231224</v>
      </c>
      <c r="N30" s="256">
        <f t="shared" si="0"/>
        <v>12.256122124456695</v>
      </c>
      <c r="O30" s="318">
        <v>42</v>
      </c>
      <c r="P30" s="318" t="s">
        <v>339</v>
      </c>
      <c r="Q30" s="318" t="s">
        <v>339</v>
      </c>
      <c r="R30" s="318" t="s">
        <v>339</v>
      </c>
      <c r="S30" s="319"/>
      <c r="T30" s="319"/>
      <c r="U30" s="318">
        <v>17500</v>
      </c>
      <c r="V30" s="318">
        <v>31300</v>
      </c>
      <c r="W30" s="318">
        <v>19322</v>
      </c>
      <c r="X30" s="318"/>
      <c r="Y30" s="318">
        <v>50000</v>
      </c>
      <c r="Z30" s="318" t="s">
        <v>2</v>
      </c>
      <c r="AA30" s="318">
        <v>10000</v>
      </c>
      <c r="AB30" s="318">
        <v>25</v>
      </c>
      <c r="AC30" s="318"/>
      <c r="AD30" s="318"/>
      <c r="AE30" s="318"/>
      <c r="AF30" s="318"/>
      <c r="AG30" s="318"/>
      <c r="AH30" s="318"/>
      <c r="AI30" s="318"/>
      <c r="AJ30" s="301">
        <f t="shared" si="1"/>
        <v>10000</v>
      </c>
      <c r="AK30" s="318">
        <v>31500</v>
      </c>
      <c r="AL30" s="318">
        <v>15973</v>
      </c>
      <c r="AM30" s="318">
        <f>AL30/AJ30</f>
        <v>1.5972999999999999</v>
      </c>
      <c r="AN30" s="319"/>
      <c r="AO30" s="319"/>
      <c r="AP30" s="319"/>
      <c r="AQ30" s="319"/>
      <c r="AR30" s="319"/>
      <c r="AS30" s="319"/>
      <c r="AT30" s="319"/>
      <c r="AU30" s="319"/>
      <c r="AV30" s="319" t="s">
        <v>991</v>
      </c>
    </row>
    <row r="31" spans="1:48" s="326" customFormat="1" ht="13.5" customHeight="1">
      <c r="A31" s="260">
        <v>268</v>
      </c>
      <c r="B31" s="266" t="s">
        <v>477</v>
      </c>
      <c r="C31" s="266" t="s">
        <v>1299</v>
      </c>
      <c r="D31" s="317">
        <v>39995</v>
      </c>
      <c r="E31" s="317">
        <v>40391</v>
      </c>
      <c r="F31" s="266" t="s">
        <v>5</v>
      </c>
      <c r="G31" s="259" t="s">
        <v>1458</v>
      </c>
      <c r="H31" s="266" t="s">
        <v>1131</v>
      </c>
      <c r="I31" s="254" t="s">
        <v>2331</v>
      </c>
      <c r="J31" s="318">
        <v>22035</v>
      </c>
      <c r="K31" s="318">
        <v>574355</v>
      </c>
      <c r="L31" s="318">
        <v>574355</v>
      </c>
      <c r="M31" s="318">
        <v>311806</v>
      </c>
      <c r="N31" s="256">
        <f t="shared" si="0"/>
        <v>14.150487860222373</v>
      </c>
      <c r="O31" s="318">
        <v>100</v>
      </c>
      <c r="P31" s="318">
        <v>230000</v>
      </c>
      <c r="Q31" s="318" t="s">
        <v>75</v>
      </c>
      <c r="R31" s="318">
        <v>230000</v>
      </c>
      <c r="S31" s="319" t="s">
        <v>2</v>
      </c>
      <c r="T31" s="319">
        <v>267</v>
      </c>
      <c r="U31" s="318">
        <v>18030</v>
      </c>
      <c r="V31" s="318">
        <v>186677</v>
      </c>
      <c r="W31" s="318">
        <v>15590</v>
      </c>
      <c r="X31" s="349">
        <f>W31/R31</f>
        <v>6.7782608695652169E-2</v>
      </c>
      <c r="Y31" s="318"/>
      <c r="Z31" s="318"/>
      <c r="AA31" s="318"/>
      <c r="AB31" s="318"/>
      <c r="AC31" s="318"/>
      <c r="AD31" s="318"/>
      <c r="AE31" s="318">
        <v>4407</v>
      </c>
      <c r="AF31" s="318"/>
      <c r="AG31" s="318"/>
      <c r="AH31" s="318"/>
      <c r="AI31" s="318"/>
      <c r="AJ31" s="301">
        <f t="shared" si="1"/>
        <v>0</v>
      </c>
      <c r="AK31" s="318" t="s">
        <v>66</v>
      </c>
      <c r="AL31" s="318" t="s">
        <v>66</v>
      </c>
      <c r="AM31" s="318"/>
      <c r="AN31" s="319"/>
      <c r="AO31" s="319"/>
      <c r="AP31" s="319"/>
      <c r="AQ31" s="319"/>
      <c r="AR31" s="319"/>
      <c r="AS31" s="319"/>
      <c r="AT31" s="319" t="s">
        <v>204</v>
      </c>
      <c r="AU31" s="319"/>
      <c r="AV31" s="266" t="s">
        <v>1130</v>
      </c>
    </row>
    <row r="32" spans="1:48" s="266" customFormat="1" ht="16.5" customHeight="1">
      <c r="A32" s="260">
        <v>269</v>
      </c>
      <c r="B32" s="266" t="s">
        <v>992</v>
      </c>
      <c r="C32" s="266" t="s">
        <v>1286</v>
      </c>
      <c r="D32" s="317">
        <v>39845</v>
      </c>
      <c r="E32" s="317">
        <v>40087</v>
      </c>
      <c r="F32" s="266" t="s">
        <v>5</v>
      </c>
      <c r="G32" s="254" t="s">
        <v>1451</v>
      </c>
      <c r="H32" s="266" t="s">
        <v>993</v>
      </c>
      <c r="I32" s="278" t="s">
        <v>2438</v>
      </c>
      <c r="J32" s="318">
        <v>25000</v>
      </c>
      <c r="K32" s="318">
        <v>486453</v>
      </c>
      <c r="L32" s="318">
        <v>486852</v>
      </c>
      <c r="M32" s="318">
        <v>473438</v>
      </c>
      <c r="N32" s="256">
        <f t="shared" si="0"/>
        <v>18.937519999999999</v>
      </c>
      <c r="O32" s="318">
        <v>100</v>
      </c>
      <c r="P32" s="318">
        <v>10000</v>
      </c>
      <c r="Q32" s="318">
        <v>1865</v>
      </c>
      <c r="R32" s="318">
        <v>10000</v>
      </c>
      <c r="S32" s="319" t="s">
        <v>233</v>
      </c>
      <c r="T32" s="319"/>
      <c r="U32" s="318">
        <v>750</v>
      </c>
      <c r="V32" s="318">
        <v>23084</v>
      </c>
      <c r="W32" s="318">
        <v>16972</v>
      </c>
      <c r="X32" s="349">
        <f>W32/R32</f>
        <v>1.6972</v>
      </c>
      <c r="Y32" s="318">
        <v>1267</v>
      </c>
      <c r="Z32" s="318">
        <v>200</v>
      </c>
      <c r="AA32" s="318"/>
      <c r="AB32" s="318">
        <v>68</v>
      </c>
      <c r="AC32" s="318"/>
      <c r="AD32" s="318"/>
      <c r="AE32" s="318">
        <v>6000</v>
      </c>
      <c r="AF32" s="318"/>
      <c r="AG32" s="318"/>
      <c r="AH32" s="318"/>
      <c r="AI32" s="318"/>
      <c r="AJ32" s="301">
        <f t="shared" si="1"/>
        <v>200</v>
      </c>
      <c r="AK32" s="318">
        <v>1800</v>
      </c>
      <c r="AL32" s="318">
        <v>6865</v>
      </c>
      <c r="AM32" s="318">
        <f t="shared" ref="AM32:AM33" si="5">AL32/AJ32</f>
        <v>34.325000000000003</v>
      </c>
      <c r="AN32" s="319"/>
      <c r="AO32" s="319"/>
      <c r="AP32" s="319"/>
      <c r="AQ32" s="319"/>
      <c r="AR32" s="319"/>
      <c r="AS32" s="319"/>
      <c r="AT32" s="319"/>
      <c r="AU32" s="319" t="s">
        <v>1039</v>
      </c>
      <c r="AV32" s="320" t="s">
        <v>1028</v>
      </c>
    </row>
    <row r="33" spans="1:48" s="266" customFormat="1" ht="17.25" customHeight="1">
      <c r="A33" s="260">
        <v>270</v>
      </c>
      <c r="B33" s="266" t="s">
        <v>1234</v>
      </c>
      <c r="C33" s="266" t="s">
        <v>1299</v>
      </c>
      <c r="D33" s="317">
        <v>39814</v>
      </c>
      <c r="E33" s="317">
        <v>40148</v>
      </c>
      <c r="F33" s="266" t="s">
        <v>1233</v>
      </c>
      <c r="G33" s="254" t="s">
        <v>1451</v>
      </c>
      <c r="H33" s="266" t="s">
        <v>1232</v>
      </c>
      <c r="I33" s="254" t="s">
        <v>2331</v>
      </c>
      <c r="J33" s="318">
        <v>25000</v>
      </c>
      <c r="K33" s="318">
        <v>392792</v>
      </c>
      <c r="L33" s="318">
        <v>392791</v>
      </c>
      <c r="M33" s="318">
        <v>392791</v>
      </c>
      <c r="N33" s="256">
        <f t="shared" si="0"/>
        <v>15.711639999999999</v>
      </c>
      <c r="O33" s="318">
        <v>100</v>
      </c>
      <c r="P33" s="318">
        <v>25000</v>
      </c>
      <c r="Q33" s="318">
        <v>1118</v>
      </c>
      <c r="R33" s="318">
        <v>2950</v>
      </c>
      <c r="S33" s="319" t="s">
        <v>2</v>
      </c>
      <c r="T33" s="319">
        <v>94</v>
      </c>
      <c r="U33" s="318">
        <v>98216</v>
      </c>
      <c r="V33" s="318">
        <v>75502</v>
      </c>
      <c r="W33" s="318">
        <v>75502</v>
      </c>
      <c r="X33" s="349">
        <f>W33/R33</f>
        <v>25.593898305084746</v>
      </c>
      <c r="Y33" s="318"/>
      <c r="Z33" s="318"/>
      <c r="AA33" s="318">
        <v>3965</v>
      </c>
      <c r="AB33" s="318"/>
      <c r="AC33" s="318" t="s">
        <v>2</v>
      </c>
      <c r="AD33" s="318"/>
      <c r="AE33" s="318"/>
      <c r="AF33" s="318"/>
      <c r="AG33" s="318"/>
      <c r="AH33" s="318">
        <v>4385</v>
      </c>
      <c r="AI33" s="318"/>
      <c r="AJ33" s="301">
        <f t="shared" si="1"/>
        <v>8350</v>
      </c>
      <c r="AK33" s="318">
        <v>24161</v>
      </c>
      <c r="AL33" s="318">
        <v>24161</v>
      </c>
      <c r="AM33" s="318">
        <f t="shared" si="5"/>
        <v>2.8935329341317364</v>
      </c>
      <c r="AN33" s="319"/>
      <c r="AO33" s="319"/>
      <c r="AP33" s="319"/>
      <c r="AQ33" s="319"/>
      <c r="AR33" s="319"/>
      <c r="AS33" s="319"/>
      <c r="AT33" s="319"/>
      <c r="AU33" s="319"/>
      <c r="AV33" s="343" t="s">
        <v>1235</v>
      </c>
    </row>
    <row r="34" spans="1:48" s="266" customFormat="1" ht="15" customHeight="1">
      <c r="A34" s="260">
        <v>271</v>
      </c>
      <c r="B34" s="304" t="s">
        <v>2370</v>
      </c>
      <c r="C34" s="261" t="s">
        <v>1299</v>
      </c>
      <c r="D34" s="262">
        <v>40057</v>
      </c>
      <c r="E34" s="262">
        <v>40299</v>
      </c>
      <c r="F34" s="342" t="s">
        <v>1472</v>
      </c>
      <c r="G34" s="254" t="s">
        <v>1451</v>
      </c>
      <c r="H34" s="261" t="s">
        <v>1473</v>
      </c>
      <c r="I34" s="278" t="s">
        <v>2438</v>
      </c>
      <c r="J34" s="263">
        <v>25000</v>
      </c>
      <c r="K34" s="263">
        <v>918517</v>
      </c>
      <c r="L34" s="263">
        <v>740314</v>
      </c>
      <c r="M34" s="263"/>
      <c r="N34" s="256">
        <f t="shared" si="0"/>
        <v>0</v>
      </c>
      <c r="O34" s="263"/>
      <c r="P34" s="263">
        <v>25000</v>
      </c>
      <c r="Q34" s="263">
        <v>25000</v>
      </c>
      <c r="R34" s="263">
        <v>25000</v>
      </c>
      <c r="S34" s="264"/>
      <c r="T34" s="264"/>
      <c r="U34" s="263">
        <v>25000</v>
      </c>
      <c r="V34" s="263"/>
      <c r="W34" s="263"/>
      <c r="X34" s="349">
        <f>W34/R34</f>
        <v>0</v>
      </c>
      <c r="Y34" s="263">
        <v>25000</v>
      </c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301">
        <f t="shared" si="1"/>
        <v>0</v>
      </c>
      <c r="AK34" s="263"/>
      <c r="AL34" s="263"/>
      <c r="AM34" s="263"/>
      <c r="AN34" s="264"/>
      <c r="AO34" s="264"/>
      <c r="AP34" s="264"/>
      <c r="AQ34" s="264"/>
      <c r="AR34" s="264"/>
      <c r="AS34" s="264"/>
      <c r="AT34" s="264"/>
      <c r="AU34" s="264"/>
      <c r="AV34" s="346" t="s">
        <v>1474</v>
      </c>
    </row>
    <row r="35" spans="1:48" s="266" customFormat="1" ht="13.5" customHeight="1">
      <c r="A35" s="260">
        <v>272</v>
      </c>
      <c r="B35" s="266" t="s">
        <v>140</v>
      </c>
      <c r="C35" s="266" t="s">
        <v>1299</v>
      </c>
      <c r="D35" s="317">
        <v>40148</v>
      </c>
      <c r="E35" s="317">
        <v>40238</v>
      </c>
      <c r="F35" s="266" t="s">
        <v>24</v>
      </c>
      <c r="G35" s="259" t="s">
        <v>1454</v>
      </c>
      <c r="H35" s="266" t="s">
        <v>1204</v>
      </c>
      <c r="I35" s="254" t="s">
        <v>2331</v>
      </c>
      <c r="J35" s="318">
        <v>30000</v>
      </c>
      <c r="K35" s="318">
        <v>558799</v>
      </c>
      <c r="L35" s="318">
        <v>461720</v>
      </c>
      <c r="M35" s="318">
        <v>461720</v>
      </c>
      <c r="N35" s="256">
        <f t="shared" ref="N35:N66" si="6">M35/J35</f>
        <v>15.390666666666666</v>
      </c>
      <c r="O35" s="318">
        <v>83</v>
      </c>
      <c r="P35" s="318" t="s">
        <v>75</v>
      </c>
      <c r="Q35" s="318" t="s">
        <v>75</v>
      </c>
      <c r="R35" s="318" t="s">
        <v>75</v>
      </c>
      <c r="S35" s="319" t="s">
        <v>233</v>
      </c>
      <c r="T35" s="319" t="s">
        <v>75</v>
      </c>
      <c r="U35" s="318" t="s">
        <v>75</v>
      </c>
      <c r="V35" s="318" t="s">
        <v>66</v>
      </c>
      <c r="W35" s="318" t="s">
        <v>66</v>
      </c>
      <c r="X35" s="318"/>
      <c r="Y35" s="318"/>
      <c r="Z35" s="318"/>
      <c r="AA35" s="318"/>
      <c r="AB35" s="318"/>
      <c r="AC35" s="318"/>
      <c r="AD35" s="318"/>
      <c r="AE35" s="318">
        <v>5835</v>
      </c>
      <c r="AF35" s="318"/>
      <c r="AG35" s="318"/>
      <c r="AH35" s="318"/>
      <c r="AI35" s="318"/>
      <c r="AJ35" s="301">
        <f t="shared" ref="AJ35:AJ66" si="7">SUM(Z35,AA35,AH35)</f>
        <v>0</v>
      </c>
      <c r="AK35" s="318" t="s">
        <v>66</v>
      </c>
      <c r="AL35" s="318" t="s">
        <v>66</v>
      </c>
      <c r="AM35" s="318"/>
      <c r="AN35" s="319"/>
      <c r="AO35" s="319"/>
      <c r="AP35" s="319"/>
      <c r="AQ35" s="319"/>
      <c r="AR35" s="319"/>
      <c r="AS35" s="319"/>
      <c r="AT35" s="319" t="s">
        <v>204</v>
      </c>
      <c r="AU35" s="319"/>
      <c r="AV35" s="266" t="s">
        <v>1203</v>
      </c>
    </row>
    <row r="36" spans="1:48" s="266" customFormat="1" ht="15" customHeight="1">
      <c r="A36" s="260">
        <v>273</v>
      </c>
      <c r="B36" s="266" t="s">
        <v>162</v>
      </c>
      <c r="C36" s="266" t="s">
        <v>1286</v>
      </c>
      <c r="D36" s="317">
        <v>40118</v>
      </c>
      <c r="E36" s="317">
        <v>40238</v>
      </c>
      <c r="F36" s="266" t="s">
        <v>914</v>
      </c>
      <c r="G36" s="259" t="s">
        <v>1449</v>
      </c>
      <c r="H36" s="266" t="s">
        <v>1240</v>
      </c>
      <c r="I36" s="254" t="s">
        <v>2331</v>
      </c>
      <c r="J36" s="318">
        <v>30000</v>
      </c>
      <c r="K36" s="318">
        <v>86724</v>
      </c>
      <c r="L36" s="318">
        <v>77190</v>
      </c>
      <c r="M36" s="318">
        <v>77190</v>
      </c>
      <c r="N36" s="256">
        <f t="shared" si="6"/>
        <v>2.573</v>
      </c>
      <c r="O36" s="318">
        <v>89</v>
      </c>
      <c r="P36" s="318"/>
      <c r="Q36" s="318"/>
      <c r="R36" s="318"/>
      <c r="S36" s="319"/>
      <c r="T36" s="319"/>
      <c r="U36" s="318">
        <v>120000</v>
      </c>
      <c r="V36" s="318"/>
      <c r="W36" s="318"/>
      <c r="X36" s="318"/>
      <c r="Y36" s="318"/>
      <c r="Z36" s="318">
        <v>120000</v>
      </c>
      <c r="AA36" s="318">
        <v>12000</v>
      </c>
      <c r="AB36" s="318">
        <v>400</v>
      </c>
      <c r="AC36" s="318"/>
      <c r="AD36" s="318"/>
      <c r="AE36" s="318"/>
      <c r="AF36" s="318"/>
      <c r="AG36" s="318"/>
      <c r="AH36" s="318"/>
      <c r="AI36" s="318"/>
      <c r="AJ36" s="301">
        <f t="shared" si="7"/>
        <v>132000</v>
      </c>
      <c r="AK36" s="318"/>
      <c r="AL36" s="318"/>
      <c r="AM36" s="318"/>
      <c r="AN36" s="319"/>
      <c r="AO36" s="319"/>
      <c r="AP36" s="319"/>
      <c r="AQ36" s="319"/>
      <c r="AR36" s="319"/>
      <c r="AS36" s="319"/>
      <c r="AT36" s="319"/>
      <c r="AU36" s="319"/>
      <c r="AV36" s="266" t="s">
        <v>1241</v>
      </c>
    </row>
    <row r="37" spans="1:48" s="266" customFormat="1" ht="13.5" customHeight="1">
      <c r="A37" s="260">
        <v>274</v>
      </c>
      <c r="B37" s="266" t="s">
        <v>12</v>
      </c>
      <c r="C37" s="266" t="s">
        <v>1299</v>
      </c>
      <c r="D37" s="317">
        <v>40118</v>
      </c>
      <c r="E37" s="317">
        <v>40210</v>
      </c>
      <c r="F37" s="266" t="s">
        <v>5</v>
      </c>
      <c r="G37" s="259" t="s">
        <v>1451</v>
      </c>
      <c r="H37" s="266" t="s">
        <v>1257</v>
      </c>
      <c r="I37" s="254" t="s">
        <v>2331</v>
      </c>
      <c r="J37" s="318">
        <v>30000</v>
      </c>
      <c r="K37" s="318">
        <v>432589</v>
      </c>
      <c r="L37" s="318">
        <v>430762</v>
      </c>
      <c r="M37" s="318">
        <v>430762</v>
      </c>
      <c r="N37" s="256">
        <f t="shared" si="6"/>
        <v>14.358733333333333</v>
      </c>
      <c r="O37" s="318">
        <v>100</v>
      </c>
      <c r="P37" s="318">
        <v>3200</v>
      </c>
      <c r="Q37" s="318">
        <v>3860</v>
      </c>
      <c r="R37" s="318">
        <v>3860</v>
      </c>
      <c r="S37" s="319" t="s">
        <v>2</v>
      </c>
      <c r="T37" s="319">
        <v>34</v>
      </c>
      <c r="U37" s="318">
        <v>22470</v>
      </c>
      <c r="V37" s="318">
        <v>107299</v>
      </c>
      <c r="W37" s="318">
        <v>107299</v>
      </c>
      <c r="X37" s="349">
        <f>W37/R37</f>
        <v>27.797668393782384</v>
      </c>
      <c r="Y37" s="318"/>
      <c r="Z37" s="318"/>
      <c r="AA37" s="318">
        <v>10000</v>
      </c>
      <c r="AB37" s="318">
        <v>20</v>
      </c>
      <c r="AC37" s="318"/>
      <c r="AD37" s="318"/>
      <c r="AE37" s="318">
        <v>2822</v>
      </c>
      <c r="AF37" s="318"/>
      <c r="AG37" s="318"/>
      <c r="AH37" s="318">
        <v>1298</v>
      </c>
      <c r="AI37" s="318">
        <v>554</v>
      </c>
      <c r="AJ37" s="301">
        <f t="shared" si="7"/>
        <v>11298</v>
      </c>
      <c r="AK37" s="318">
        <v>27408</v>
      </c>
      <c r="AL37" s="318">
        <v>27408</v>
      </c>
      <c r="AM37" s="318">
        <f>AL37/AJ37</f>
        <v>2.4259160913436006</v>
      </c>
      <c r="AN37" s="319"/>
      <c r="AO37" s="319"/>
      <c r="AP37" s="319"/>
      <c r="AQ37" s="319"/>
      <c r="AR37" s="319"/>
      <c r="AS37" s="319"/>
      <c r="AT37" s="319"/>
      <c r="AU37" s="319"/>
      <c r="AV37" s="266" t="s">
        <v>1258</v>
      </c>
    </row>
    <row r="38" spans="1:48" s="266" customFormat="1" ht="12" customHeight="1">
      <c r="A38" s="260">
        <v>275</v>
      </c>
      <c r="B38" s="266" t="s">
        <v>764</v>
      </c>
      <c r="C38" s="266" t="s">
        <v>1299</v>
      </c>
      <c r="D38" s="317">
        <v>39814</v>
      </c>
      <c r="E38" s="317">
        <v>40238</v>
      </c>
      <c r="F38" s="266" t="s">
        <v>168</v>
      </c>
      <c r="G38" s="259" t="s">
        <v>1449</v>
      </c>
      <c r="H38" s="266" t="s">
        <v>1275</v>
      </c>
      <c r="I38" s="254" t="s">
        <v>2331</v>
      </c>
      <c r="J38" s="318">
        <v>30000</v>
      </c>
      <c r="K38" s="318">
        <v>60939</v>
      </c>
      <c r="L38" s="318">
        <v>60939</v>
      </c>
      <c r="M38" s="318">
        <v>58597</v>
      </c>
      <c r="N38" s="256">
        <f t="shared" si="6"/>
        <v>1.9532333333333334</v>
      </c>
      <c r="O38" s="318">
        <v>100</v>
      </c>
      <c r="P38" s="318" t="s">
        <v>75</v>
      </c>
      <c r="Q38" s="318" t="s">
        <v>75</v>
      </c>
      <c r="R38" s="318" t="s">
        <v>75</v>
      </c>
      <c r="S38" s="319" t="s">
        <v>233</v>
      </c>
      <c r="T38" s="319">
        <v>60</v>
      </c>
      <c r="U38" s="318">
        <v>31100</v>
      </c>
      <c r="V38" s="318">
        <v>0</v>
      </c>
      <c r="W38" s="318">
        <v>29086</v>
      </c>
      <c r="X38" s="318"/>
      <c r="Y38" s="318"/>
      <c r="Z38" s="318"/>
      <c r="AA38" s="318">
        <v>31100</v>
      </c>
      <c r="AB38" s="318">
        <v>60</v>
      </c>
      <c r="AC38" s="318"/>
      <c r="AD38" s="318"/>
      <c r="AE38" s="318"/>
      <c r="AF38" s="318"/>
      <c r="AG38" s="318"/>
      <c r="AH38" s="318"/>
      <c r="AI38" s="318"/>
      <c r="AJ38" s="301">
        <f t="shared" si="7"/>
        <v>31100</v>
      </c>
      <c r="AK38" s="318" t="s">
        <v>66</v>
      </c>
      <c r="AL38" s="318" t="s">
        <v>66</v>
      </c>
      <c r="AM38" s="318"/>
      <c r="AN38" s="319"/>
      <c r="AO38" s="319"/>
      <c r="AP38" s="319"/>
      <c r="AQ38" s="319"/>
      <c r="AR38" s="319"/>
      <c r="AS38" s="319"/>
      <c r="AT38" s="319"/>
      <c r="AU38" s="319"/>
      <c r="AV38" s="266" t="s">
        <v>1274</v>
      </c>
    </row>
    <row r="39" spans="1:48" s="266" customFormat="1" ht="15" customHeight="1">
      <c r="A39" s="260">
        <v>276</v>
      </c>
      <c r="B39" s="266" t="s">
        <v>1213</v>
      </c>
      <c r="C39" s="266" t="s">
        <v>1286</v>
      </c>
      <c r="D39" s="317">
        <v>40148</v>
      </c>
      <c r="E39" s="317">
        <v>40360</v>
      </c>
      <c r="F39" s="266" t="s">
        <v>5</v>
      </c>
      <c r="G39" s="259" t="s">
        <v>1451</v>
      </c>
      <c r="H39" s="266" t="s">
        <v>1250</v>
      </c>
      <c r="I39" s="254" t="s">
        <v>2331</v>
      </c>
      <c r="J39" s="318">
        <v>30618</v>
      </c>
      <c r="K39" s="318">
        <v>230629</v>
      </c>
      <c r="L39" s="318">
        <v>211464</v>
      </c>
      <c r="M39" s="318">
        <v>211464</v>
      </c>
      <c r="N39" s="256">
        <f t="shared" si="6"/>
        <v>6.9065255731922397</v>
      </c>
      <c r="O39" s="318">
        <v>92</v>
      </c>
      <c r="P39" s="318">
        <v>2970</v>
      </c>
      <c r="Q39" s="318">
        <v>2970</v>
      </c>
      <c r="R39" s="318">
        <v>2970</v>
      </c>
      <c r="S39" s="319" t="s">
        <v>233</v>
      </c>
      <c r="T39" s="319">
        <v>60</v>
      </c>
      <c r="U39" s="318">
        <v>1323</v>
      </c>
      <c r="V39" s="318"/>
      <c r="W39" s="318"/>
      <c r="X39" s="349">
        <f>W39/R39</f>
        <v>0</v>
      </c>
      <c r="Y39" s="318"/>
      <c r="Z39" s="318">
        <v>12234</v>
      </c>
      <c r="AA39" s="318">
        <v>5470</v>
      </c>
      <c r="AB39" s="318">
        <v>60</v>
      </c>
      <c r="AC39" s="318"/>
      <c r="AD39" s="318"/>
      <c r="AE39" s="318"/>
      <c r="AF39" s="318"/>
      <c r="AG39" s="318">
        <v>7200</v>
      </c>
      <c r="AH39" s="318"/>
      <c r="AI39" s="318"/>
      <c r="AJ39" s="301">
        <f t="shared" si="7"/>
        <v>17704</v>
      </c>
      <c r="AK39" s="318"/>
      <c r="AL39" s="318"/>
      <c r="AM39" s="318"/>
      <c r="AN39" s="319"/>
      <c r="AO39" s="319"/>
      <c r="AP39" s="319"/>
      <c r="AQ39" s="319"/>
      <c r="AR39" s="319"/>
      <c r="AS39" s="319"/>
      <c r="AT39" s="319"/>
      <c r="AU39" s="319"/>
      <c r="AV39" s="266" t="s">
        <v>1251</v>
      </c>
    </row>
    <row r="40" spans="1:48" s="266" customFormat="1" ht="15" customHeight="1">
      <c r="A40" s="260">
        <v>277</v>
      </c>
      <c r="B40" s="347" t="s">
        <v>279</v>
      </c>
      <c r="C40" s="266" t="s">
        <v>1299</v>
      </c>
      <c r="D40" s="317">
        <v>39873</v>
      </c>
      <c r="E40" s="317">
        <v>40026</v>
      </c>
      <c r="F40" s="266" t="s">
        <v>5</v>
      </c>
      <c r="G40" s="259" t="s">
        <v>1451</v>
      </c>
      <c r="H40" s="266" t="s">
        <v>994</v>
      </c>
      <c r="I40" s="278" t="s">
        <v>2438</v>
      </c>
      <c r="J40" s="318">
        <v>33000</v>
      </c>
      <c r="K40" s="318">
        <v>2121518</v>
      </c>
      <c r="L40" s="318">
        <v>2060174</v>
      </c>
      <c r="M40" s="318">
        <v>1977377</v>
      </c>
      <c r="N40" s="256">
        <f t="shared" si="6"/>
        <v>59.920515151515154</v>
      </c>
      <c r="O40" s="318">
        <v>97</v>
      </c>
      <c r="P40" s="318">
        <v>20000</v>
      </c>
      <c r="Q40" s="318">
        <v>9420</v>
      </c>
      <c r="R40" s="318">
        <v>20000</v>
      </c>
      <c r="S40" s="319" t="s">
        <v>2</v>
      </c>
      <c r="T40" s="319">
        <v>238</v>
      </c>
      <c r="U40" s="318">
        <v>20000</v>
      </c>
      <c r="V40" s="318">
        <v>737289</v>
      </c>
      <c r="W40" s="318">
        <v>128175</v>
      </c>
      <c r="X40" s="349">
        <f>W40/R40</f>
        <v>6.4087500000000004</v>
      </c>
      <c r="Y40" s="318"/>
      <c r="Z40" s="318"/>
      <c r="AA40" s="318"/>
      <c r="AB40" s="318"/>
      <c r="AC40" s="318">
        <v>204</v>
      </c>
      <c r="AD40" s="318" t="s">
        <v>2</v>
      </c>
      <c r="AE40" s="318">
        <v>13611</v>
      </c>
      <c r="AF40" s="318"/>
      <c r="AG40" s="318"/>
      <c r="AH40" s="318"/>
      <c r="AI40" s="318"/>
      <c r="AJ40" s="301">
        <f t="shared" si="7"/>
        <v>0</v>
      </c>
      <c r="AK40" s="318">
        <v>20000</v>
      </c>
      <c r="AL40" s="318">
        <v>17461</v>
      </c>
      <c r="AM40" s="318"/>
      <c r="AN40" s="319"/>
      <c r="AO40" s="319"/>
      <c r="AP40" s="319">
        <v>1</v>
      </c>
      <c r="AQ40" s="319"/>
      <c r="AR40" s="319"/>
      <c r="AS40" s="319"/>
      <c r="AT40" s="319"/>
      <c r="AU40" s="319"/>
      <c r="AV40" s="319" t="s">
        <v>1010</v>
      </c>
    </row>
    <row r="41" spans="1:48" s="266" customFormat="1" ht="15.75" customHeight="1">
      <c r="A41" s="260">
        <v>278</v>
      </c>
      <c r="B41" s="266" t="s">
        <v>1</v>
      </c>
      <c r="C41" s="266" t="s">
        <v>1299</v>
      </c>
      <c r="D41" s="317">
        <v>40057</v>
      </c>
      <c r="E41" s="317">
        <v>40148</v>
      </c>
      <c r="F41" s="266" t="s">
        <v>5</v>
      </c>
      <c r="G41" s="259" t="s">
        <v>1451</v>
      </c>
      <c r="H41" s="266" t="s">
        <v>1019</v>
      </c>
      <c r="I41" s="254" t="s">
        <v>2331</v>
      </c>
      <c r="J41" s="318">
        <v>37650</v>
      </c>
      <c r="K41" s="318">
        <v>246521</v>
      </c>
      <c r="L41" s="318">
        <v>246522</v>
      </c>
      <c r="M41" s="318">
        <v>246255</v>
      </c>
      <c r="N41" s="256">
        <f t="shared" si="6"/>
        <v>6.5406374501992035</v>
      </c>
      <c r="O41" s="318">
        <v>100</v>
      </c>
      <c r="P41" s="348">
        <v>5680</v>
      </c>
      <c r="Q41" s="318">
        <v>480</v>
      </c>
      <c r="R41" s="318">
        <v>5680</v>
      </c>
      <c r="S41" s="319" t="s">
        <v>2</v>
      </c>
      <c r="T41" s="319">
        <v>11</v>
      </c>
      <c r="U41" s="318">
        <v>5680</v>
      </c>
      <c r="V41" s="318">
        <v>80900</v>
      </c>
      <c r="W41" s="318">
        <v>44651</v>
      </c>
      <c r="X41" s="349">
        <f>W41/R41</f>
        <v>7.8610915492957743</v>
      </c>
      <c r="Y41" s="318"/>
      <c r="Z41" s="318"/>
      <c r="AA41" s="318"/>
      <c r="AB41" s="318"/>
      <c r="AC41" s="318"/>
      <c r="AD41" s="318"/>
      <c r="AE41" s="318">
        <v>2139</v>
      </c>
      <c r="AF41" s="318"/>
      <c r="AG41" s="318"/>
      <c r="AH41" s="318"/>
      <c r="AI41" s="318"/>
      <c r="AJ41" s="301">
        <f t="shared" si="7"/>
        <v>0</v>
      </c>
      <c r="AK41" s="318" t="s">
        <v>66</v>
      </c>
      <c r="AL41" s="318" t="s">
        <v>66</v>
      </c>
      <c r="AM41" s="318"/>
      <c r="AN41" s="319"/>
      <c r="AO41" s="319"/>
      <c r="AP41" s="319"/>
      <c r="AQ41" s="319"/>
      <c r="AR41" s="319"/>
      <c r="AS41" s="319"/>
      <c r="AT41" s="319"/>
      <c r="AU41" s="319"/>
      <c r="AV41" s="319" t="s">
        <v>1020</v>
      </c>
    </row>
    <row r="42" spans="1:48" s="266" customFormat="1" ht="12.75" customHeight="1">
      <c r="A42" s="260">
        <v>279</v>
      </c>
      <c r="B42" s="261" t="s">
        <v>28</v>
      </c>
      <c r="C42" s="261" t="s">
        <v>1261</v>
      </c>
      <c r="D42" s="262">
        <v>40115</v>
      </c>
      <c r="E42" s="262">
        <v>39951</v>
      </c>
      <c r="F42" s="342" t="s">
        <v>695</v>
      </c>
      <c r="G42" s="259" t="s">
        <v>1454</v>
      </c>
      <c r="H42" s="261" t="s">
        <v>694</v>
      </c>
      <c r="I42" s="278" t="s">
        <v>2438</v>
      </c>
      <c r="J42" s="263">
        <v>40000</v>
      </c>
      <c r="K42" s="263">
        <v>2499553</v>
      </c>
      <c r="L42" s="263">
        <v>1215637</v>
      </c>
      <c r="M42" s="263">
        <v>1215637</v>
      </c>
      <c r="N42" s="256">
        <f t="shared" si="6"/>
        <v>30.390924999999999</v>
      </c>
      <c r="O42" s="263">
        <v>49</v>
      </c>
      <c r="P42" s="263" t="s">
        <v>75</v>
      </c>
      <c r="Q42" s="263" t="s">
        <v>339</v>
      </c>
      <c r="R42" s="263">
        <v>37930</v>
      </c>
      <c r="S42" s="264" t="s">
        <v>95</v>
      </c>
      <c r="T42" s="264" t="s">
        <v>75</v>
      </c>
      <c r="U42" s="263">
        <v>37930</v>
      </c>
      <c r="V42" s="263" t="s">
        <v>75</v>
      </c>
      <c r="W42" s="263" t="s">
        <v>75</v>
      </c>
      <c r="X42" s="349"/>
      <c r="Y42" s="263">
        <v>37930</v>
      </c>
      <c r="Z42" s="263" t="s">
        <v>75</v>
      </c>
      <c r="AA42" s="263" t="s">
        <v>75</v>
      </c>
      <c r="AB42" s="263" t="s">
        <v>75</v>
      </c>
      <c r="AC42" s="263" t="s">
        <v>75</v>
      </c>
      <c r="AD42" s="263" t="s">
        <v>75</v>
      </c>
      <c r="AE42" s="263" t="s">
        <v>75</v>
      </c>
      <c r="AF42" s="263" t="s">
        <v>75</v>
      </c>
      <c r="AG42" s="263" t="s">
        <v>75</v>
      </c>
      <c r="AH42" s="263" t="s">
        <v>75</v>
      </c>
      <c r="AI42" s="263" t="s">
        <v>75</v>
      </c>
      <c r="AJ42" s="301">
        <f t="shared" si="7"/>
        <v>0</v>
      </c>
      <c r="AK42" s="263">
        <v>242114</v>
      </c>
      <c r="AL42" s="263">
        <v>242114</v>
      </c>
      <c r="AM42" s="318"/>
      <c r="AN42" s="264"/>
      <c r="AO42" s="264" t="s">
        <v>75</v>
      </c>
      <c r="AP42" s="264" t="s">
        <v>75</v>
      </c>
      <c r="AQ42" s="264" t="s">
        <v>75</v>
      </c>
      <c r="AR42" s="264" t="s">
        <v>75</v>
      </c>
      <c r="AS42" s="264" t="s">
        <v>75</v>
      </c>
      <c r="AT42" s="264" t="s">
        <v>75</v>
      </c>
      <c r="AU42" s="264" t="s">
        <v>75</v>
      </c>
      <c r="AV42" s="276" t="s">
        <v>693</v>
      </c>
    </row>
    <row r="43" spans="1:48" s="266" customFormat="1" ht="11.25" customHeight="1">
      <c r="A43" s="260">
        <v>280</v>
      </c>
      <c r="B43" s="266" t="s">
        <v>2361</v>
      </c>
      <c r="C43" s="266" t="s">
        <v>1299</v>
      </c>
      <c r="D43" s="317">
        <v>40087</v>
      </c>
      <c r="E43" s="317">
        <v>40148</v>
      </c>
      <c r="F43" s="266" t="s">
        <v>1016</v>
      </c>
      <c r="G43" s="254" t="s">
        <v>1451</v>
      </c>
      <c r="H43" s="266" t="s">
        <v>1017</v>
      </c>
      <c r="I43" s="278" t="s">
        <v>2438</v>
      </c>
      <c r="J43" s="318">
        <v>53000</v>
      </c>
      <c r="K43" s="318">
        <v>1124682</v>
      </c>
      <c r="L43" s="318">
        <v>197557</v>
      </c>
      <c r="M43" s="318">
        <v>197557</v>
      </c>
      <c r="N43" s="349">
        <f t="shared" si="6"/>
        <v>3.7274905660377358</v>
      </c>
      <c r="O43" s="318">
        <v>18</v>
      </c>
      <c r="P43" s="318"/>
      <c r="Q43" s="318"/>
      <c r="R43" s="318"/>
      <c r="S43" s="319"/>
      <c r="T43" s="319"/>
      <c r="U43" s="318"/>
      <c r="V43" s="318">
        <v>367528</v>
      </c>
      <c r="W43" s="318">
        <v>44635</v>
      </c>
      <c r="X43" s="318"/>
      <c r="Y43" s="318"/>
      <c r="Z43" s="318"/>
      <c r="AA43" s="318"/>
      <c r="AB43" s="318"/>
      <c r="AC43" s="318"/>
      <c r="AD43" s="318"/>
      <c r="AE43" s="318"/>
      <c r="AF43" s="318"/>
      <c r="AG43" s="318"/>
      <c r="AH43" s="318"/>
      <c r="AI43" s="318"/>
      <c r="AJ43" s="301">
        <f t="shared" si="7"/>
        <v>0</v>
      </c>
      <c r="AK43" s="318">
        <v>0</v>
      </c>
      <c r="AL43" s="318">
        <v>13644</v>
      </c>
      <c r="AM43" s="318"/>
      <c r="AN43" s="319"/>
      <c r="AO43" s="319"/>
      <c r="AP43" s="319"/>
      <c r="AQ43" s="319"/>
      <c r="AR43" s="319"/>
      <c r="AS43" s="319"/>
      <c r="AT43" s="319"/>
      <c r="AU43" s="319"/>
      <c r="AV43" s="320" t="s">
        <v>1018</v>
      </c>
    </row>
    <row r="44" spans="1:48" s="266" customFormat="1" ht="17.25" customHeight="1">
      <c r="A44" s="260">
        <v>281</v>
      </c>
      <c r="B44" s="266" t="s">
        <v>26</v>
      </c>
      <c r="C44" s="266" t="s">
        <v>1299</v>
      </c>
      <c r="D44" s="317">
        <v>40057</v>
      </c>
      <c r="E44" s="317">
        <v>40238</v>
      </c>
      <c r="F44" s="266" t="s">
        <v>1013</v>
      </c>
      <c r="G44" s="259" t="s">
        <v>1449</v>
      </c>
      <c r="H44" s="266" t="s">
        <v>1014</v>
      </c>
      <c r="I44" s="278" t="s">
        <v>2438</v>
      </c>
      <c r="J44" s="318">
        <v>60000</v>
      </c>
      <c r="K44" s="318">
        <v>1950241</v>
      </c>
      <c r="L44" s="318">
        <v>480721</v>
      </c>
      <c r="M44" s="318">
        <v>480986</v>
      </c>
      <c r="N44" s="349">
        <f t="shared" si="6"/>
        <v>8.0164333333333335</v>
      </c>
      <c r="O44" s="318">
        <v>25</v>
      </c>
      <c r="P44" s="348">
        <v>37500</v>
      </c>
      <c r="Q44" s="318">
        <v>400</v>
      </c>
      <c r="R44" s="318">
        <v>37500</v>
      </c>
      <c r="S44" s="319" t="s">
        <v>2</v>
      </c>
      <c r="T44" s="319">
        <v>250</v>
      </c>
      <c r="U44" s="318">
        <v>8426</v>
      </c>
      <c r="V44" s="318">
        <v>486900</v>
      </c>
      <c r="W44" s="318">
        <v>121725</v>
      </c>
      <c r="X44" s="349">
        <f>W44/R44</f>
        <v>3.246</v>
      </c>
      <c r="Y44" s="318">
        <v>10000</v>
      </c>
      <c r="Z44" s="318"/>
      <c r="AA44" s="318">
        <v>33000</v>
      </c>
      <c r="AB44" s="318">
        <v>460</v>
      </c>
      <c r="AC44" s="318">
        <v>300</v>
      </c>
      <c r="AD44" s="318"/>
      <c r="AE44" s="318">
        <v>5000</v>
      </c>
      <c r="AF44" s="318"/>
      <c r="AG44" s="318"/>
      <c r="AH44" s="318"/>
      <c r="AI44" s="318"/>
      <c r="AJ44" s="301">
        <f t="shared" si="7"/>
        <v>33000</v>
      </c>
      <c r="AK44" s="318">
        <v>32200</v>
      </c>
      <c r="AL44" s="318">
        <v>1441</v>
      </c>
      <c r="AM44" s="318">
        <f t="shared" ref="AM44:AM45" si="8">AL44/AJ44</f>
        <v>4.3666666666666666E-2</v>
      </c>
      <c r="AN44" s="319"/>
      <c r="AO44" s="319"/>
      <c r="AP44" s="319"/>
      <c r="AQ44" s="319"/>
      <c r="AR44" s="319"/>
      <c r="AS44" s="319"/>
      <c r="AT44" s="319"/>
      <c r="AU44" s="319"/>
      <c r="AV44" s="319" t="s">
        <v>1015</v>
      </c>
    </row>
    <row r="45" spans="1:48" s="266" customFormat="1" ht="12" customHeight="1">
      <c r="A45" s="260">
        <v>282</v>
      </c>
      <c r="B45" s="266" t="s">
        <v>1123</v>
      </c>
      <c r="C45" s="266" t="s">
        <v>1299</v>
      </c>
      <c r="D45" s="317">
        <v>40118</v>
      </c>
      <c r="E45" s="317">
        <v>40210</v>
      </c>
      <c r="F45" s="266" t="s">
        <v>1126</v>
      </c>
      <c r="G45" s="259" t="s">
        <v>1449</v>
      </c>
      <c r="H45" s="266" t="s">
        <v>1125</v>
      </c>
      <c r="I45" s="254" t="s">
        <v>2331</v>
      </c>
      <c r="J45" s="318">
        <v>75000</v>
      </c>
      <c r="K45" s="318">
        <v>153987</v>
      </c>
      <c r="L45" s="318">
        <v>153951</v>
      </c>
      <c r="M45" s="318">
        <v>151841</v>
      </c>
      <c r="N45" s="349">
        <f t="shared" si="6"/>
        <v>2.0245466666666667</v>
      </c>
      <c r="O45" s="318">
        <v>100</v>
      </c>
      <c r="P45" s="318"/>
      <c r="Q45" s="318" t="s">
        <v>75</v>
      </c>
      <c r="R45" s="318"/>
      <c r="S45" s="319" t="s">
        <v>233</v>
      </c>
      <c r="T45" s="319">
        <v>664</v>
      </c>
      <c r="U45" s="318">
        <v>150000</v>
      </c>
      <c r="V45" s="318" t="s">
        <v>66</v>
      </c>
      <c r="W45" s="318" t="s">
        <v>66</v>
      </c>
      <c r="X45" s="318"/>
      <c r="Y45" s="318"/>
      <c r="Z45" s="318"/>
      <c r="AA45" s="318">
        <v>150000</v>
      </c>
      <c r="AB45" s="318">
        <v>664</v>
      </c>
      <c r="AC45" s="318"/>
      <c r="AD45" s="318"/>
      <c r="AE45" s="318">
        <v>1000</v>
      </c>
      <c r="AF45" s="318"/>
      <c r="AG45" s="318"/>
      <c r="AH45" s="318"/>
      <c r="AI45" s="318"/>
      <c r="AJ45" s="301">
        <f t="shared" si="7"/>
        <v>150000</v>
      </c>
      <c r="AK45" s="318">
        <v>108458</v>
      </c>
      <c r="AL45" s="318">
        <v>108458</v>
      </c>
      <c r="AM45" s="318">
        <f t="shared" si="8"/>
        <v>0.72305333333333333</v>
      </c>
      <c r="AN45" s="319"/>
      <c r="AO45" s="319"/>
      <c r="AP45" s="319"/>
      <c r="AQ45" s="319"/>
      <c r="AR45" s="319"/>
      <c r="AS45" s="319"/>
      <c r="AT45" s="319"/>
      <c r="AU45" s="319"/>
      <c r="AV45" s="266" t="s">
        <v>1124</v>
      </c>
    </row>
    <row r="46" spans="1:48" s="266" customFormat="1" ht="15" customHeight="1">
      <c r="A46" s="260">
        <v>283</v>
      </c>
      <c r="B46" s="266" t="s">
        <v>373</v>
      </c>
      <c r="C46" s="266" t="s">
        <v>1261</v>
      </c>
      <c r="D46" s="317">
        <v>40087</v>
      </c>
      <c r="E46" s="317">
        <v>40210</v>
      </c>
      <c r="F46" s="266" t="s">
        <v>5</v>
      </c>
      <c r="G46" s="259" t="s">
        <v>1451</v>
      </c>
      <c r="H46" s="266" t="s">
        <v>1238</v>
      </c>
      <c r="I46" s="254" t="s">
        <v>2331</v>
      </c>
      <c r="J46" s="318">
        <v>95000</v>
      </c>
      <c r="K46" s="318">
        <v>59241</v>
      </c>
      <c r="L46" s="318">
        <v>59241</v>
      </c>
      <c r="M46" s="318">
        <v>22853</v>
      </c>
      <c r="N46" s="349">
        <f t="shared" si="6"/>
        <v>0.24055789473684211</v>
      </c>
      <c r="O46" s="318">
        <v>100</v>
      </c>
      <c r="P46" s="318"/>
      <c r="Q46" s="318"/>
      <c r="R46" s="318">
        <v>60000</v>
      </c>
      <c r="S46" s="319"/>
      <c r="T46" s="319"/>
      <c r="U46" s="318">
        <v>60000</v>
      </c>
      <c r="V46" s="318"/>
      <c r="W46" s="318"/>
      <c r="X46" s="349">
        <f t="shared" ref="X46:X52" si="9">W46/R46</f>
        <v>0</v>
      </c>
      <c r="Y46" s="318"/>
      <c r="Z46" s="318"/>
      <c r="AA46" s="318"/>
      <c r="AB46" s="318"/>
      <c r="AC46" s="318"/>
      <c r="AD46" s="318"/>
      <c r="AE46" s="318">
        <v>20000</v>
      </c>
      <c r="AF46" s="318"/>
      <c r="AG46" s="318"/>
      <c r="AH46" s="318"/>
      <c r="AI46" s="318"/>
      <c r="AJ46" s="301">
        <f t="shared" si="7"/>
        <v>0</v>
      </c>
      <c r="AK46" s="318"/>
      <c r="AL46" s="318"/>
      <c r="AM46" s="318"/>
      <c r="AN46" s="319"/>
      <c r="AO46" s="319"/>
      <c r="AP46" s="319"/>
      <c r="AQ46" s="319"/>
      <c r="AR46" s="319"/>
      <c r="AS46" s="319"/>
      <c r="AT46" s="319"/>
      <c r="AU46" s="319"/>
      <c r="AV46" s="266" t="s">
        <v>1239</v>
      </c>
    </row>
    <row r="47" spans="1:48" s="266" customFormat="1" ht="14.25" customHeight="1">
      <c r="A47" s="260">
        <v>284</v>
      </c>
      <c r="B47" s="261" t="s">
        <v>85</v>
      </c>
      <c r="C47" s="261" t="s">
        <v>1261</v>
      </c>
      <c r="D47" s="262">
        <v>40057</v>
      </c>
      <c r="E47" s="262">
        <v>40787</v>
      </c>
      <c r="F47" s="261" t="s">
        <v>84</v>
      </c>
      <c r="G47" s="259" t="s">
        <v>1454</v>
      </c>
      <c r="H47" s="261" t="s">
        <v>435</v>
      </c>
      <c r="I47" s="278" t="s">
        <v>2438</v>
      </c>
      <c r="J47" s="263">
        <v>100000</v>
      </c>
      <c r="K47" s="263">
        <v>14219542</v>
      </c>
      <c r="L47" s="263">
        <v>14604948</v>
      </c>
      <c r="M47" s="263">
        <v>12701675</v>
      </c>
      <c r="N47" s="349">
        <f t="shared" si="6"/>
        <v>127.01675</v>
      </c>
      <c r="O47" s="263">
        <v>103</v>
      </c>
      <c r="P47" s="263"/>
      <c r="Q47" s="263"/>
      <c r="R47" s="263">
        <v>50000</v>
      </c>
      <c r="S47" s="264"/>
      <c r="T47" s="264"/>
      <c r="U47" s="263">
        <v>12340</v>
      </c>
      <c r="V47" s="263">
        <v>327706</v>
      </c>
      <c r="W47" s="263">
        <v>266907</v>
      </c>
      <c r="X47" s="349">
        <f t="shared" si="9"/>
        <v>5.3381400000000001</v>
      </c>
      <c r="Y47" s="263">
        <v>50000</v>
      </c>
      <c r="Z47" s="263">
        <v>141</v>
      </c>
      <c r="AA47" s="263"/>
      <c r="AB47" s="263">
        <v>300</v>
      </c>
      <c r="AC47" s="263"/>
      <c r="AD47" s="263"/>
      <c r="AE47" s="263">
        <v>50000</v>
      </c>
      <c r="AF47" s="263"/>
      <c r="AG47" s="263"/>
      <c r="AH47" s="263"/>
      <c r="AI47" s="263"/>
      <c r="AJ47" s="301">
        <f t="shared" si="7"/>
        <v>141</v>
      </c>
      <c r="AK47" s="263"/>
      <c r="AL47" s="263"/>
      <c r="AM47" s="263"/>
      <c r="AN47" s="264"/>
      <c r="AO47" s="264"/>
      <c r="AP47" s="264"/>
      <c r="AQ47" s="264"/>
      <c r="AR47" s="264"/>
      <c r="AS47" s="264"/>
      <c r="AT47" s="264"/>
      <c r="AU47" s="264"/>
      <c r="AV47" s="265" t="s">
        <v>90</v>
      </c>
    </row>
    <row r="48" spans="1:48" s="261" customFormat="1" ht="16.5" customHeight="1">
      <c r="A48" s="260">
        <v>285</v>
      </c>
      <c r="B48" s="326" t="s">
        <v>270</v>
      </c>
      <c r="C48" s="266" t="s">
        <v>1299</v>
      </c>
      <c r="D48" s="325">
        <v>40087</v>
      </c>
      <c r="E48" s="325">
        <v>40210</v>
      </c>
      <c r="F48" s="326" t="s">
        <v>1212</v>
      </c>
      <c r="G48" s="259" t="s">
        <v>1449</v>
      </c>
      <c r="H48" s="326" t="s">
        <v>1211</v>
      </c>
      <c r="I48" s="254" t="s">
        <v>2331</v>
      </c>
      <c r="J48" s="327">
        <v>163000</v>
      </c>
      <c r="K48" s="327">
        <v>58604</v>
      </c>
      <c r="L48" s="327">
        <v>57970</v>
      </c>
      <c r="M48" s="327">
        <v>57970</v>
      </c>
      <c r="N48" s="349">
        <f t="shared" si="6"/>
        <v>0.35564417177914109</v>
      </c>
      <c r="O48" s="327">
        <v>99</v>
      </c>
      <c r="P48" s="327">
        <v>100000</v>
      </c>
      <c r="Q48" s="327">
        <v>35500</v>
      </c>
      <c r="R48" s="327">
        <v>100000</v>
      </c>
      <c r="S48" s="328" t="s">
        <v>233</v>
      </c>
      <c r="T48" s="328">
        <v>120</v>
      </c>
      <c r="U48" s="327">
        <v>178500</v>
      </c>
      <c r="V48" s="327">
        <v>14199</v>
      </c>
      <c r="W48" s="327">
        <v>15228</v>
      </c>
      <c r="X48" s="349">
        <f t="shared" si="9"/>
        <v>0.15228</v>
      </c>
      <c r="Y48" s="327"/>
      <c r="Z48" s="327"/>
      <c r="AA48" s="327">
        <v>315000</v>
      </c>
      <c r="AB48" s="327">
        <v>120</v>
      </c>
      <c r="AC48" s="327"/>
      <c r="AD48" s="327"/>
      <c r="AE48" s="327"/>
      <c r="AF48" s="327"/>
      <c r="AG48" s="327"/>
      <c r="AH48" s="327">
        <v>500</v>
      </c>
      <c r="AI48" s="327"/>
      <c r="AJ48" s="301">
        <f t="shared" si="7"/>
        <v>315500</v>
      </c>
      <c r="AK48" s="327" t="s">
        <v>66</v>
      </c>
      <c r="AL48" s="327" t="s">
        <v>66</v>
      </c>
      <c r="AM48" s="327"/>
      <c r="AN48" s="328"/>
      <c r="AO48" s="328"/>
      <c r="AP48" s="328"/>
      <c r="AQ48" s="328"/>
      <c r="AR48" s="328"/>
      <c r="AS48" s="328"/>
      <c r="AT48" s="328"/>
      <c r="AU48" s="328"/>
      <c r="AV48" s="326" t="s">
        <v>1210</v>
      </c>
    </row>
    <row r="49" spans="1:48" s="261" customFormat="1" ht="16.5" customHeight="1">
      <c r="A49" s="260">
        <v>286</v>
      </c>
      <c r="B49" s="266" t="s">
        <v>332</v>
      </c>
      <c r="C49" s="266" t="s">
        <v>1299</v>
      </c>
      <c r="D49" s="317">
        <v>39873</v>
      </c>
      <c r="E49" s="317">
        <v>40238</v>
      </c>
      <c r="F49" s="266" t="s">
        <v>5</v>
      </c>
      <c r="G49" s="259" t="s">
        <v>1451</v>
      </c>
      <c r="H49" s="266" t="s">
        <v>1280</v>
      </c>
      <c r="I49" s="254" t="s">
        <v>2331</v>
      </c>
      <c r="J49" s="318">
        <v>168000</v>
      </c>
      <c r="K49" s="318">
        <v>388966</v>
      </c>
      <c r="L49" s="318">
        <v>388966</v>
      </c>
      <c r="M49" s="318">
        <v>370602</v>
      </c>
      <c r="N49" s="349">
        <f t="shared" si="6"/>
        <v>2.2059642857142858</v>
      </c>
      <c r="O49" s="318">
        <v>100</v>
      </c>
      <c r="P49" s="318">
        <v>20000</v>
      </c>
      <c r="Q49" s="318">
        <v>8400</v>
      </c>
      <c r="R49" s="318">
        <v>20000</v>
      </c>
      <c r="S49" s="319" t="s">
        <v>233</v>
      </c>
      <c r="T49" s="319">
        <v>250</v>
      </c>
      <c r="U49" s="318">
        <v>80000</v>
      </c>
      <c r="V49" s="318">
        <v>30103</v>
      </c>
      <c r="W49" s="318">
        <v>38081</v>
      </c>
      <c r="X49" s="349">
        <f t="shared" si="9"/>
        <v>1.90405</v>
      </c>
      <c r="Y49" s="318"/>
      <c r="Z49" s="318"/>
      <c r="AA49" s="318">
        <v>80000</v>
      </c>
      <c r="AB49" s="318">
        <v>220</v>
      </c>
      <c r="AC49" s="318">
        <v>250</v>
      </c>
      <c r="AD49" s="318"/>
      <c r="AE49" s="318">
        <v>3000</v>
      </c>
      <c r="AF49" s="318"/>
      <c r="AG49" s="318"/>
      <c r="AH49" s="318"/>
      <c r="AI49" s="318"/>
      <c r="AJ49" s="301">
        <f t="shared" si="7"/>
        <v>80000</v>
      </c>
      <c r="AK49" s="318">
        <v>33600</v>
      </c>
      <c r="AL49" s="318">
        <v>11103</v>
      </c>
      <c r="AM49" s="318">
        <f t="shared" ref="AM49:AM51" si="10">AL49/AJ49</f>
        <v>0.13878750000000001</v>
      </c>
      <c r="AN49" s="319"/>
      <c r="AO49" s="319"/>
      <c r="AP49" s="319"/>
      <c r="AQ49" s="319"/>
      <c r="AR49" s="319"/>
      <c r="AS49" s="319"/>
      <c r="AT49" s="319"/>
      <c r="AU49" s="319"/>
      <c r="AV49" s="266" t="s">
        <v>1279</v>
      </c>
    </row>
    <row r="50" spans="1:48" s="261" customFormat="1" ht="18" customHeight="1">
      <c r="A50" s="260">
        <v>287</v>
      </c>
      <c r="B50" s="266" t="s">
        <v>6</v>
      </c>
      <c r="C50" s="266" t="s">
        <v>1261</v>
      </c>
      <c r="D50" s="317">
        <v>39965</v>
      </c>
      <c r="E50" s="317">
        <v>40238</v>
      </c>
      <c r="F50" s="266" t="s">
        <v>975</v>
      </c>
      <c r="G50" s="254" t="s">
        <v>1450</v>
      </c>
      <c r="H50" s="266" t="s">
        <v>976</v>
      </c>
      <c r="I50" s="278" t="s">
        <v>2438</v>
      </c>
      <c r="J50" s="318">
        <v>178550</v>
      </c>
      <c r="K50" s="318">
        <v>1153737</v>
      </c>
      <c r="L50" s="318">
        <v>991334</v>
      </c>
      <c r="M50" s="318">
        <v>991334</v>
      </c>
      <c r="N50" s="349">
        <f t="shared" si="6"/>
        <v>5.5521366563987682</v>
      </c>
      <c r="O50" s="318">
        <v>86</v>
      </c>
      <c r="P50" s="318">
        <v>35000</v>
      </c>
      <c r="Q50" s="318"/>
      <c r="R50" s="318">
        <v>35000</v>
      </c>
      <c r="S50" s="319" t="s">
        <v>233</v>
      </c>
      <c r="T50" s="319" t="s">
        <v>134</v>
      </c>
      <c r="U50" s="318"/>
      <c r="V50" s="318"/>
      <c r="W50" s="318"/>
      <c r="X50" s="349">
        <f t="shared" si="9"/>
        <v>0</v>
      </c>
      <c r="Y50" s="318"/>
      <c r="Z50" s="318"/>
      <c r="AA50" s="318"/>
      <c r="AB50" s="318">
        <v>32</v>
      </c>
      <c r="AC50" s="318"/>
      <c r="AD50" s="318"/>
      <c r="AE50" s="318"/>
      <c r="AF50" s="318"/>
      <c r="AG50" s="318"/>
      <c r="AH50" s="318"/>
      <c r="AI50" s="318"/>
      <c r="AJ50" s="301">
        <f t="shared" si="7"/>
        <v>0</v>
      </c>
      <c r="AK50" s="318">
        <v>5190</v>
      </c>
      <c r="AL50" s="318">
        <v>4463.3999999999996</v>
      </c>
      <c r="AM50" s="318"/>
      <c r="AN50" s="319"/>
      <c r="AO50" s="319"/>
      <c r="AP50" s="319"/>
      <c r="AQ50" s="319"/>
      <c r="AR50" s="319"/>
      <c r="AS50" s="319"/>
      <c r="AT50" s="319"/>
      <c r="AU50" s="319"/>
      <c r="AV50" s="320" t="s">
        <v>977</v>
      </c>
    </row>
    <row r="51" spans="1:48" s="261" customFormat="1" ht="19.5" customHeight="1">
      <c r="A51" s="260">
        <v>288</v>
      </c>
      <c r="B51" s="350" t="s">
        <v>8</v>
      </c>
      <c r="C51" s="259" t="s">
        <v>1261</v>
      </c>
      <c r="D51" s="351">
        <v>40087</v>
      </c>
      <c r="E51" s="351">
        <v>40848</v>
      </c>
      <c r="F51" s="259" t="s">
        <v>1075</v>
      </c>
      <c r="G51" s="259" t="s">
        <v>1450</v>
      </c>
      <c r="H51" s="259" t="s">
        <v>1078</v>
      </c>
      <c r="I51" s="278" t="s">
        <v>2438</v>
      </c>
      <c r="J51" s="298">
        <v>233500</v>
      </c>
      <c r="K51" s="298">
        <v>12724570</v>
      </c>
      <c r="L51" s="298">
        <v>11031565</v>
      </c>
      <c r="M51" s="298">
        <v>10765209</v>
      </c>
      <c r="N51" s="349">
        <f t="shared" si="6"/>
        <v>46.103678800856528</v>
      </c>
      <c r="O51" s="298">
        <v>87</v>
      </c>
      <c r="P51" s="298">
        <v>69600</v>
      </c>
      <c r="Q51" s="298">
        <v>35000</v>
      </c>
      <c r="R51" s="298">
        <v>69600</v>
      </c>
      <c r="S51" s="301" t="s">
        <v>2</v>
      </c>
      <c r="T51" s="301">
        <v>620</v>
      </c>
      <c r="U51" s="298">
        <v>233500</v>
      </c>
      <c r="V51" s="298">
        <v>823272</v>
      </c>
      <c r="W51" s="298">
        <v>788003</v>
      </c>
      <c r="X51" s="349">
        <f t="shared" si="9"/>
        <v>11.321882183908047</v>
      </c>
      <c r="Y51" s="298"/>
      <c r="Z51" s="298">
        <v>4000</v>
      </c>
      <c r="AA51" s="298">
        <v>233500</v>
      </c>
      <c r="AB51" s="298"/>
      <c r="AC51" s="298"/>
      <c r="AD51" s="298"/>
      <c r="AE51" s="298"/>
      <c r="AF51" s="298"/>
      <c r="AG51" s="298"/>
      <c r="AH51" s="298">
        <v>4000</v>
      </c>
      <c r="AI51" s="298"/>
      <c r="AJ51" s="301">
        <f t="shared" si="7"/>
        <v>241500</v>
      </c>
      <c r="AK51" s="298">
        <v>7930</v>
      </c>
      <c r="AL51" s="298">
        <v>4414</v>
      </c>
      <c r="AM51" s="318">
        <f t="shared" si="10"/>
        <v>1.8277432712215321E-2</v>
      </c>
      <c r="AN51" s="301"/>
      <c r="AO51" s="301"/>
      <c r="AP51" s="301"/>
      <c r="AQ51" s="301"/>
      <c r="AR51" s="301"/>
      <c r="AS51" s="301"/>
      <c r="AT51" s="301"/>
      <c r="AU51" s="301"/>
      <c r="AV51" s="352" t="s">
        <v>1098</v>
      </c>
    </row>
    <row r="52" spans="1:48" s="261" customFormat="1" ht="15.75" customHeight="1">
      <c r="A52" s="260">
        <v>289</v>
      </c>
      <c r="B52" s="313" t="s">
        <v>1484</v>
      </c>
      <c r="C52" s="313" t="s">
        <v>1261</v>
      </c>
      <c r="D52" s="311">
        <v>40087</v>
      </c>
      <c r="E52" s="311">
        <v>40452</v>
      </c>
      <c r="F52" s="353" t="s">
        <v>1495</v>
      </c>
      <c r="G52" s="254" t="s">
        <v>1458</v>
      </c>
      <c r="H52" s="313" t="s">
        <v>1496</v>
      </c>
      <c r="I52" s="278" t="s">
        <v>2438</v>
      </c>
      <c r="J52" s="297">
        <v>270000</v>
      </c>
      <c r="K52" s="297">
        <v>4464332</v>
      </c>
      <c r="L52" s="297">
        <v>4529948</v>
      </c>
      <c r="M52" s="297">
        <v>4185583</v>
      </c>
      <c r="N52" s="349">
        <f t="shared" si="6"/>
        <v>15.50215925925926</v>
      </c>
      <c r="O52" s="297">
        <v>101</v>
      </c>
      <c r="P52" s="297">
        <v>46745</v>
      </c>
      <c r="Q52" s="297"/>
      <c r="R52" s="297">
        <v>46745</v>
      </c>
      <c r="S52" s="267"/>
      <c r="T52" s="267"/>
      <c r="U52" s="297"/>
      <c r="V52" s="297">
        <v>32790</v>
      </c>
      <c r="W52" s="297">
        <v>32790</v>
      </c>
      <c r="X52" s="349">
        <f t="shared" si="9"/>
        <v>0.7014653973687025</v>
      </c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301">
        <f t="shared" si="7"/>
        <v>0</v>
      </c>
      <c r="AK52" s="297"/>
      <c r="AL52" s="297"/>
      <c r="AM52" s="297"/>
      <c r="AN52" s="267"/>
      <c r="AO52" s="267"/>
      <c r="AP52" s="267"/>
      <c r="AQ52" s="267"/>
      <c r="AR52" s="267"/>
      <c r="AS52" s="267"/>
      <c r="AT52" s="267"/>
      <c r="AU52" s="267" t="s">
        <v>460</v>
      </c>
      <c r="AV52" s="276" t="s">
        <v>1492</v>
      </c>
    </row>
    <row r="53" spans="1:48" s="261" customFormat="1" ht="18.75" customHeight="1">
      <c r="A53" s="260">
        <v>290</v>
      </c>
      <c r="B53" s="313" t="s">
        <v>1395</v>
      </c>
      <c r="C53" s="313" t="s">
        <v>1278</v>
      </c>
      <c r="D53" s="311">
        <v>40026</v>
      </c>
      <c r="E53" s="311">
        <v>40513</v>
      </c>
      <c r="F53" s="353" t="s">
        <v>79</v>
      </c>
      <c r="G53" s="254" t="s">
        <v>1453</v>
      </c>
      <c r="H53" s="313" t="s">
        <v>1494</v>
      </c>
      <c r="I53" s="278" t="s">
        <v>2438</v>
      </c>
      <c r="J53" s="297">
        <v>280000</v>
      </c>
      <c r="K53" s="297">
        <v>3255615</v>
      </c>
      <c r="L53" s="297">
        <v>870572</v>
      </c>
      <c r="M53" s="297">
        <v>870572</v>
      </c>
      <c r="N53" s="349">
        <f t="shared" si="6"/>
        <v>3.1091857142857142</v>
      </c>
      <c r="O53" s="297">
        <v>62</v>
      </c>
      <c r="P53" s="297"/>
      <c r="Q53" s="297"/>
      <c r="R53" s="297"/>
      <c r="S53" s="267"/>
      <c r="T53" s="267"/>
      <c r="U53" s="297">
        <v>80210</v>
      </c>
      <c r="V53" s="297">
        <v>917195</v>
      </c>
      <c r="W53" s="297">
        <v>568660.9</v>
      </c>
      <c r="X53" s="297"/>
      <c r="Y53" s="297">
        <v>107421</v>
      </c>
      <c r="Z53" s="297"/>
      <c r="AA53" s="297"/>
      <c r="AB53" s="297">
        <v>112</v>
      </c>
      <c r="AC53" s="297"/>
      <c r="AD53" s="297"/>
      <c r="AE53" s="297"/>
      <c r="AF53" s="297"/>
      <c r="AG53" s="297"/>
      <c r="AH53" s="297">
        <v>109960</v>
      </c>
      <c r="AI53" s="297"/>
      <c r="AJ53" s="301">
        <f t="shared" si="7"/>
        <v>109960</v>
      </c>
      <c r="AK53" s="297">
        <v>70000</v>
      </c>
      <c r="AL53" s="297">
        <v>43400</v>
      </c>
      <c r="AM53" s="318">
        <f t="shared" ref="AM53:AM54" si="11">AL53/AJ53</f>
        <v>0.39468897781011275</v>
      </c>
      <c r="AN53" s="267"/>
      <c r="AO53" s="267"/>
      <c r="AP53" s="267"/>
      <c r="AQ53" s="267"/>
      <c r="AR53" s="267"/>
      <c r="AS53" s="267"/>
      <c r="AT53" s="267"/>
      <c r="AU53" s="267"/>
      <c r="AV53" s="276" t="s">
        <v>1491</v>
      </c>
    </row>
    <row r="54" spans="1:48" s="261" customFormat="1" ht="13.5" customHeight="1">
      <c r="A54" s="260">
        <v>291</v>
      </c>
      <c r="B54" s="266" t="s">
        <v>562</v>
      </c>
      <c r="C54" s="266" t="s">
        <v>1261</v>
      </c>
      <c r="D54" s="317">
        <v>40057</v>
      </c>
      <c r="E54" s="317">
        <v>40330</v>
      </c>
      <c r="F54" s="266" t="s">
        <v>914</v>
      </c>
      <c r="G54" s="254" t="s">
        <v>1449</v>
      </c>
      <c r="H54" s="266" t="s">
        <v>962</v>
      </c>
      <c r="I54" s="254" t="s">
        <v>2331</v>
      </c>
      <c r="J54" s="318">
        <v>300000</v>
      </c>
      <c r="K54" s="318">
        <v>99412</v>
      </c>
      <c r="L54" s="318">
        <v>99412</v>
      </c>
      <c r="M54" s="318">
        <v>93015</v>
      </c>
      <c r="N54" s="349">
        <f t="shared" si="6"/>
        <v>0.31004999999999999</v>
      </c>
      <c r="O54" s="318">
        <v>100</v>
      </c>
      <c r="P54" s="318"/>
      <c r="Q54" s="318"/>
      <c r="R54" s="318"/>
      <c r="S54" s="319"/>
      <c r="T54" s="319"/>
      <c r="U54" s="318"/>
      <c r="V54" s="318">
        <v>25000</v>
      </c>
      <c r="W54" s="318">
        <v>25000</v>
      </c>
      <c r="X54" s="318"/>
      <c r="Y54" s="318"/>
      <c r="Z54" s="318"/>
      <c r="AA54" s="318">
        <v>43000</v>
      </c>
      <c r="AB54" s="318">
        <v>300</v>
      </c>
      <c r="AC54" s="318"/>
      <c r="AD54" s="318"/>
      <c r="AE54" s="318"/>
      <c r="AF54" s="318"/>
      <c r="AG54" s="318"/>
      <c r="AH54" s="318"/>
      <c r="AI54" s="318"/>
      <c r="AJ54" s="301">
        <f t="shared" si="7"/>
        <v>43000</v>
      </c>
      <c r="AK54" s="318"/>
      <c r="AL54" s="318">
        <v>2428</v>
      </c>
      <c r="AM54" s="318">
        <f t="shared" si="11"/>
        <v>5.646511627906977E-2</v>
      </c>
      <c r="AN54" s="319"/>
      <c r="AO54" s="319"/>
      <c r="AP54" s="319"/>
      <c r="AQ54" s="319"/>
      <c r="AR54" s="319"/>
      <c r="AS54" s="319"/>
      <c r="AT54" s="319"/>
      <c r="AU54" s="319"/>
      <c r="AV54" s="320" t="s">
        <v>963</v>
      </c>
    </row>
    <row r="55" spans="1:48" s="261" customFormat="1" ht="15" customHeight="1">
      <c r="A55" s="260">
        <v>292</v>
      </c>
      <c r="B55" s="261" t="s">
        <v>353</v>
      </c>
      <c r="C55" s="261" t="s">
        <v>1299</v>
      </c>
      <c r="D55" s="262">
        <v>39814</v>
      </c>
      <c r="E55" s="262">
        <v>39904</v>
      </c>
      <c r="F55" s="342" t="s">
        <v>626</v>
      </c>
      <c r="G55" s="254" t="s">
        <v>1449</v>
      </c>
      <c r="H55" s="261" t="s">
        <v>632</v>
      </c>
      <c r="I55" s="254" t="s">
        <v>2331</v>
      </c>
      <c r="J55" s="263">
        <v>300000</v>
      </c>
      <c r="K55" s="263">
        <v>30100</v>
      </c>
      <c r="L55" s="263">
        <v>28462</v>
      </c>
      <c r="M55" s="263">
        <v>28462</v>
      </c>
      <c r="N55" s="349">
        <f t="shared" si="6"/>
        <v>9.4873333333333337E-2</v>
      </c>
      <c r="O55" s="263">
        <v>95</v>
      </c>
      <c r="P55" s="263" t="s">
        <v>75</v>
      </c>
      <c r="Q55" s="263"/>
      <c r="R55" s="263" t="s">
        <v>339</v>
      </c>
      <c r="S55" s="264" t="s">
        <v>95</v>
      </c>
      <c r="T55" s="264">
        <v>200</v>
      </c>
      <c r="U55" s="263">
        <v>303335</v>
      </c>
      <c r="V55" s="263" t="s">
        <v>75</v>
      </c>
      <c r="W55" s="263" t="s">
        <v>75</v>
      </c>
      <c r="X55" s="263"/>
      <c r="Y55" s="263">
        <v>258492</v>
      </c>
      <c r="Z55" s="263" t="s">
        <v>75</v>
      </c>
      <c r="AA55" s="263">
        <v>258492</v>
      </c>
      <c r="AB55" s="263">
        <v>200</v>
      </c>
      <c r="AC55" s="263" t="s">
        <v>75</v>
      </c>
      <c r="AD55" s="263" t="s">
        <v>75</v>
      </c>
      <c r="AE55" s="263" t="s">
        <v>75</v>
      </c>
      <c r="AF55" s="263" t="s">
        <v>75</v>
      </c>
      <c r="AG55" s="263" t="s">
        <v>75</v>
      </c>
      <c r="AH55" s="263" t="s">
        <v>75</v>
      </c>
      <c r="AI55" s="263" t="s">
        <v>75</v>
      </c>
      <c r="AJ55" s="301">
        <f t="shared" si="7"/>
        <v>258492</v>
      </c>
      <c r="AK55" s="263" t="s">
        <v>75</v>
      </c>
      <c r="AL55" s="263" t="s">
        <v>75</v>
      </c>
      <c r="AM55" s="263"/>
      <c r="AN55" s="264"/>
      <c r="AO55" s="264" t="s">
        <v>75</v>
      </c>
      <c r="AP55" s="264" t="s">
        <v>75</v>
      </c>
      <c r="AQ55" s="264" t="s">
        <v>75</v>
      </c>
      <c r="AR55" s="264" t="s">
        <v>75</v>
      </c>
      <c r="AS55" s="264" t="s">
        <v>75</v>
      </c>
      <c r="AT55" s="264" t="s">
        <v>75</v>
      </c>
      <c r="AU55" s="264" t="s">
        <v>75</v>
      </c>
      <c r="AV55" s="276" t="s">
        <v>631</v>
      </c>
    </row>
    <row r="56" spans="1:48" s="261" customFormat="1" ht="14.1" customHeight="1">
      <c r="A56" s="260">
        <v>293</v>
      </c>
      <c r="B56" s="261" t="s">
        <v>502</v>
      </c>
      <c r="C56" s="261" t="s">
        <v>1299</v>
      </c>
      <c r="D56" s="262">
        <v>39825</v>
      </c>
      <c r="E56" s="262">
        <v>39995</v>
      </c>
      <c r="F56" s="342" t="s">
        <v>168</v>
      </c>
      <c r="G56" s="254" t="s">
        <v>1449</v>
      </c>
      <c r="H56" s="261" t="s">
        <v>662</v>
      </c>
      <c r="I56" s="254" t="s">
        <v>2331</v>
      </c>
      <c r="J56" s="263">
        <v>353120</v>
      </c>
      <c r="K56" s="263">
        <v>75422</v>
      </c>
      <c r="L56" s="263">
        <v>71119</v>
      </c>
      <c r="M56" s="263">
        <v>71119</v>
      </c>
      <c r="N56" s="349">
        <f t="shared" si="6"/>
        <v>0.20140178975985501</v>
      </c>
      <c r="O56" s="263">
        <v>94</v>
      </c>
      <c r="P56" s="263">
        <v>40000</v>
      </c>
      <c r="Q56" s="263" t="s">
        <v>339</v>
      </c>
      <c r="R56" s="263">
        <v>40000</v>
      </c>
      <c r="S56" s="264" t="s">
        <v>95</v>
      </c>
      <c r="T56" s="264">
        <v>65</v>
      </c>
      <c r="U56" s="263">
        <v>2000</v>
      </c>
      <c r="V56" s="263" t="s">
        <v>75</v>
      </c>
      <c r="W56" s="263" t="s">
        <v>75</v>
      </c>
      <c r="X56" s="349"/>
      <c r="Y56" s="263" t="s">
        <v>339</v>
      </c>
      <c r="Z56" s="263" t="s">
        <v>75</v>
      </c>
      <c r="AA56" s="263">
        <v>40000</v>
      </c>
      <c r="AB56" s="263" t="s">
        <v>75</v>
      </c>
      <c r="AC56" s="263">
        <v>285</v>
      </c>
      <c r="AD56" s="263" t="s">
        <v>75</v>
      </c>
      <c r="AE56" s="263" t="s">
        <v>75</v>
      </c>
      <c r="AF56" s="263" t="s">
        <v>75</v>
      </c>
      <c r="AG56" s="263" t="s">
        <v>75</v>
      </c>
      <c r="AH56" s="263" t="s">
        <v>75</v>
      </c>
      <c r="AI56" s="263" t="s">
        <v>75</v>
      </c>
      <c r="AJ56" s="301">
        <f t="shared" si="7"/>
        <v>40000</v>
      </c>
      <c r="AK56" s="263">
        <v>1000</v>
      </c>
      <c r="AL56" s="263">
        <v>839</v>
      </c>
      <c r="AM56" s="318">
        <f>AL56/AJ56</f>
        <v>2.0975000000000001E-2</v>
      </c>
      <c r="AN56" s="264"/>
      <c r="AO56" s="264" t="s">
        <v>75</v>
      </c>
      <c r="AP56" s="264" t="s">
        <v>75</v>
      </c>
      <c r="AQ56" s="264" t="s">
        <v>75</v>
      </c>
      <c r="AR56" s="264" t="s">
        <v>75</v>
      </c>
      <c r="AS56" s="264" t="s">
        <v>75</v>
      </c>
      <c r="AT56" s="264" t="s">
        <v>75</v>
      </c>
      <c r="AU56" s="264" t="s">
        <v>75</v>
      </c>
      <c r="AV56" s="344" t="s">
        <v>661</v>
      </c>
    </row>
    <row r="57" spans="1:48" s="261" customFormat="1" ht="15.75" customHeight="1">
      <c r="A57" s="260">
        <v>294</v>
      </c>
      <c r="B57" s="261" t="s">
        <v>270</v>
      </c>
      <c r="C57" s="261" t="s">
        <v>1299</v>
      </c>
      <c r="D57" s="262">
        <v>39918</v>
      </c>
      <c r="E57" s="262"/>
      <c r="F57" s="342" t="s">
        <v>709</v>
      </c>
      <c r="G57" s="254" t="s">
        <v>1454</v>
      </c>
      <c r="H57" s="261" t="s">
        <v>708</v>
      </c>
      <c r="I57" s="254" t="s">
        <v>2331</v>
      </c>
      <c r="J57" s="263">
        <v>500000</v>
      </c>
      <c r="K57" s="263">
        <v>63777</v>
      </c>
      <c r="L57" s="263">
        <v>63679</v>
      </c>
      <c r="M57" s="263">
        <v>63679</v>
      </c>
      <c r="N57" s="349">
        <f t="shared" si="6"/>
        <v>0.127358</v>
      </c>
      <c r="O57" s="263">
        <v>100</v>
      </c>
      <c r="P57" s="263" t="s">
        <v>339</v>
      </c>
      <c r="Q57" s="263" t="s">
        <v>339</v>
      </c>
      <c r="R57" s="263">
        <v>7500</v>
      </c>
      <c r="S57" s="264" t="s">
        <v>95</v>
      </c>
      <c r="T57" s="264" t="s">
        <v>75</v>
      </c>
      <c r="U57" s="263" t="s">
        <v>75</v>
      </c>
      <c r="V57" s="263">
        <v>1155</v>
      </c>
      <c r="W57" s="263">
        <v>1086</v>
      </c>
      <c r="X57" s="349">
        <f>W57/R57</f>
        <v>0.14480000000000001</v>
      </c>
      <c r="Y57" s="263" t="s">
        <v>75</v>
      </c>
      <c r="Z57" s="263" t="s">
        <v>75</v>
      </c>
      <c r="AA57" s="263" t="s">
        <v>75</v>
      </c>
      <c r="AB57" s="263" t="s">
        <v>75</v>
      </c>
      <c r="AC57" s="263" t="s">
        <v>75</v>
      </c>
      <c r="AD57" s="263" t="s">
        <v>75</v>
      </c>
      <c r="AE57" s="263" t="s">
        <v>75</v>
      </c>
      <c r="AF57" s="263" t="s">
        <v>75</v>
      </c>
      <c r="AG57" s="263" t="s">
        <v>75</v>
      </c>
      <c r="AH57" s="263" t="s">
        <v>75</v>
      </c>
      <c r="AI57" s="263" t="s">
        <v>75</v>
      </c>
      <c r="AJ57" s="301">
        <f t="shared" si="7"/>
        <v>0</v>
      </c>
      <c r="AK57" s="263" t="s">
        <v>75</v>
      </c>
      <c r="AL57" s="263" t="s">
        <v>75</v>
      </c>
      <c r="AM57" s="263"/>
      <c r="AN57" s="264"/>
      <c r="AO57" s="264" t="s">
        <v>75</v>
      </c>
      <c r="AP57" s="264" t="s">
        <v>75</v>
      </c>
      <c r="AQ57" s="264" t="s">
        <v>75</v>
      </c>
      <c r="AR57" s="264" t="s">
        <v>75</v>
      </c>
      <c r="AS57" s="264" t="s">
        <v>75</v>
      </c>
      <c r="AT57" s="264" t="s">
        <v>75</v>
      </c>
      <c r="AU57" s="264" t="s">
        <v>75</v>
      </c>
      <c r="AV57" s="344" t="s">
        <v>707</v>
      </c>
    </row>
    <row r="58" spans="1:48" s="261" customFormat="1" ht="16.5" customHeight="1">
      <c r="A58" s="260">
        <v>295</v>
      </c>
      <c r="B58" s="266" t="s">
        <v>607</v>
      </c>
      <c r="C58" s="266" t="s">
        <v>1299</v>
      </c>
      <c r="D58" s="317">
        <v>40026</v>
      </c>
      <c r="E58" s="317">
        <v>40210</v>
      </c>
      <c r="F58" s="266" t="s">
        <v>1243</v>
      </c>
      <c r="G58" s="254" t="s">
        <v>1449</v>
      </c>
      <c r="H58" s="266" t="s">
        <v>1242</v>
      </c>
      <c r="I58" s="254" t="s">
        <v>2331</v>
      </c>
      <c r="J58" s="318">
        <v>750000</v>
      </c>
      <c r="K58" s="318">
        <v>226225</v>
      </c>
      <c r="L58" s="318">
        <v>226225</v>
      </c>
      <c r="M58" s="318">
        <v>226178</v>
      </c>
      <c r="N58" s="349">
        <f t="shared" si="6"/>
        <v>0.30157066666666665</v>
      </c>
      <c r="O58" s="318">
        <v>100</v>
      </c>
      <c r="P58" s="348">
        <v>750000</v>
      </c>
      <c r="Q58" s="318"/>
      <c r="R58" s="348">
        <v>750000</v>
      </c>
      <c r="S58" s="319" t="s">
        <v>2</v>
      </c>
      <c r="T58" s="319">
        <v>42</v>
      </c>
      <c r="U58" s="318">
        <v>750000</v>
      </c>
      <c r="V58" s="318">
        <v>38638</v>
      </c>
      <c r="W58" s="318">
        <v>607</v>
      </c>
      <c r="X58" s="349">
        <f>W58/R58</f>
        <v>8.0933333333333335E-4</v>
      </c>
      <c r="Y58" s="318"/>
      <c r="Z58" s="318"/>
      <c r="AA58" s="318">
        <v>175000</v>
      </c>
      <c r="AB58" s="318"/>
      <c r="AC58" s="318">
        <v>29</v>
      </c>
      <c r="AD58" s="318"/>
      <c r="AE58" s="318"/>
      <c r="AF58" s="318"/>
      <c r="AG58" s="318"/>
      <c r="AH58" s="318"/>
      <c r="AI58" s="318"/>
      <c r="AJ58" s="301">
        <f t="shared" si="7"/>
        <v>175000</v>
      </c>
      <c r="AK58" s="318">
        <v>57270</v>
      </c>
      <c r="AL58" s="318">
        <v>13695</v>
      </c>
      <c r="AM58" s="318">
        <f t="shared" ref="AM58:AM59" si="12">AL58/AJ58</f>
        <v>7.8257142857142858E-2</v>
      </c>
      <c r="AN58" s="319"/>
      <c r="AO58" s="319"/>
      <c r="AP58" s="319"/>
      <c r="AQ58" s="319"/>
      <c r="AR58" s="319"/>
      <c r="AS58" s="319"/>
      <c r="AT58" s="319"/>
      <c r="AU58" s="319"/>
      <c r="AV58" s="343" t="s">
        <v>1244</v>
      </c>
    </row>
    <row r="59" spans="1:48" s="261" customFormat="1" ht="14.25" customHeight="1">
      <c r="A59" s="260">
        <v>296</v>
      </c>
      <c r="B59" s="313" t="s">
        <v>244</v>
      </c>
      <c r="C59" s="313" t="s">
        <v>1299</v>
      </c>
      <c r="D59" s="311">
        <v>40087</v>
      </c>
      <c r="E59" s="311">
        <v>40269</v>
      </c>
      <c r="F59" s="353" t="s">
        <v>168</v>
      </c>
      <c r="G59" s="254" t="s">
        <v>1449</v>
      </c>
      <c r="H59" s="313" t="s">
        <v>1618</v>
      </c>
      <c r="I59" s="254" t="s">
        <v>2331</v>
      </c>
      <c r="J59" s="297">
        <v>800000</v>
      </c>
      <c r="K59" s="297">
        <v>203420</v>
      </c>
      <c r="L59" s="297">
        <v>203272</v>
      </c>
      <c r="M59" s="297">
        <v>203272</v>
      </c>
      <c r="N59" s="349">
        <f t="shared" si="6"/>
        <v>0.25408999999999998</v>
      </c>
      <c r="O59" s="297">
        <v>100</v>
      </c>
      <c r="P59" s="297">
        <v>800000</v>
      </c>
      <c r="Q59" s="297">
        <v>525420</v>
      </c>
      <c r="R59" s="297">
        <v>800000</v>
      </c>
      <c r="S59" s="267"/>
      <c r="T59" s="267"/>
      <c r="U59" s="297">
        <v>362606</v>
      </c>
      <c r="V59" s="297">
        <v>59267</v>
      </c>
      <c r="W59" s="297">
        <v>4277</v>
      </c>
      <c r="X59" s="349">
        <f>W59/R59</f>
        <v>5.3462500000000003E-3</v>
      </c>
      <c r="Y59" s="297">
        <v>483000</v>
      </c>
      <c r="Z59" s="297"/>
      <c r="AA59" s="297">
        <v>362606</v>
      </c>
      <c r="AB59" s="297">
        <v>515</v>
      </c>
      <c r="AC59" s="297">
        <v>224</v>
      </c>
      <c r="AD59" s="297"/>
      <c r="AE59" s="297"/>
      <c r="AF59" s="297"/>
      <c r="AG59" s="297"/>
      <c r="AH59" s="297">
        <v>53</v>
      </c>
      <c r="AI59" s="297"/>
      <c r="AJ59" s="301">
        <f t="shared" si="7"/>
        <v>362659</v>
      </c>
      <c r="AK59" s="297">
        <v>31413</v>
      </c>
      <c r="AL59" s="297">
        <v>11648</v>
      </c>
      <c r="AM59" s="318">
        <f t="shared" si="12"/>
        <v>3.2118326030789256E-2</v>
      </c>
      <c r="AN59" s="267"/>
      <c r="AO59" s="267"/>
      <c r="AP59" s="267"/>
      <c r="AQ59" s="267"/>
      <c r="AR59" s="267"/>
      <c r="AS59" s="267"/>
      <c r="AT59" s="267"/>
      <c r="AU59" s="267"/>
      <c r="AV59" s="276" t="s">
        <v>1489</v>
      </c>
    </row>
    <row r="60" spans="1:48" s="261" customFormat="1" ht="15" customHeight="1">
      <c r="A60" s="260">
        <v>297</v>
      </c>
      <c r="B60" s="261" t="s">
        <v>732</v>
      </c>
      <c r="D60" s="262">
        <v>39933</v>
      </c>
      <c r="E60" s="262">
        <v>40117</v>
      </c>
      <c r="F60" s="342" t="s">
        <v>731</v>
      </c>
      <c r="G60" s="254" t="s">
        <v>1449</v>
      </c>
      <c r="H60" s="261" t="s">
        <v>730</v>
      </c>
      <c r="I60" s="278" t="s">
        <v>2438</v>
      </c>
      <c r="J60" s="263">
        <v>976000</v>
      </c>
      <c r="K60" s="263">
        <v>1800000</v>
      </c>
      <c r="L60" s="263"/>
      <c r="M60" s="263"/>
      <c r="N60" s="349">
        <f t="shared" si="6"/>
        <v>0</v>
      </c>
      <c r="O60" s="263"/>
      <c r="P60" s="263" t="s">
        <v>75</v>
      </c>
      <c r="Q60" s="263" t="s">
        <v>75</v>
      </c>
      <c r="R60" s="263" t="s">
        <v>75</v>
      </c>
      <c r="S60" s="264" t="s">
        <v>95</v>
      </c>
      <c r="T60" s="264" t="s">
        <v>339</v>
      </c>
      <c r="U60" s="263" t="s">
        <v>339</v>
      </c>
      <c r="V60" s="263" t="s">
        <v>75</v>
      </c>
      <c r="W60" s="263" t="s">
        <v>75</v>
      </c>
      <c r="X60" s="263"/>
      <c r="Y60" s="263" t="s">
        <v>75</v>
      </c>
      <c r="Z60" s="263" t="s">
        <v>75</v>
      </c>
      <c r="AA60" s="263" t="s">
        <v>75</v>
      </c>
      <c r="AB60" s="263" t="s">
        <v>75</v>
      </c>
      <c r="AC60" s="263" t="s">
        <v>75</v>
      </c>
      <c r="AD60" s="263" t="s">
        <v>75</v>
      </c>
      <c r="AE60" s="263" t="s">
        <v>75</v>
      </c>
      <c r="AF60" s="263" t="s">
        <v>75</v>
      </c>
      <c r="AG60" s="263" t="s">
        <v>75</v>
      </c>
      <c r="AH60" s="263" t="s">
        <v>75</v>
      </c>
      <c r="AI60" s="263" t="s">
        <v>75</v>
      </c>
      <c r="AJ60" s="301">
        <f t="shared" si="7"/>
        <v>0</v>
      </c>
      <c r="AK60" s="263" t="s">
        <v>75</v>
      </c>
      <c r="AL60" s="263" t="s">
        <v>75</v>
      </c>
      <c r="AM60" s="263"/>
      <c r="AN60" s="264"/>
      <c r="AO60" s="264" t="s">
        <v>75</v>
      </c>
      <c r="AP60" s="264" t="s">
        <v>75</v>
      </c>
      <c r="AQ60" s="264" t="s">
        <v>75</v>
      </c>
      <c r="AR60" s="264" t="s">
        <v>75</v>
      </c>
      <c r="AS60" s="264" t="s">
        <v>75</v>
      </c>
      <c r="AT60" s="264" t="s">
        <v>75</v>
      </c>
      <c r="AU60" s="264" t="s">
        <v>75</v>
      </c>
      <c r="AV60" s="344" t="s">
        <v>729</v>
      </c>
    </row>
    <row r="61" spans="1:48" s="313" customFormat="1" ht="15.75" customHeight="1">
      <c r="A61" s="260">
        <v>298</v>
      </c>
      <c r="B61" s="261" t="s">
        <v>119</v>
      </c>
      <c r="C61" s="261" t="s">
        <v>1299</v>
      </c>
      <c r="D61" s="262">
        <v>39845</v>
      </c>
      <c r="E61" s="262">
        <v>40087</v>
      </c>
      <c r="F61" s="342" t="s">
        <v>1486</v>
      </c>
      <c r="G61" s="254" t="s">
        <v>1449</v>
      </c>
      <c r="H61" s="261" t="s">
        <v>1487</v>
      </c>
      <c r="I61" s="254" t="s">
        <v>2331</v>
      </c>
      <c r="J61" s="263">
        <v>3000000</v>
      </c>
      <c r="K61" s="263">
        <v>99400</v>
      </c>
      <c r="L61" s="263">
        <v>89929</v>
      </c>
      <c r="M61" s="263">
        <v>89929</v>
      </c>
      <c r="N61" s="349">
        <f t="shared" si="6"/>
        <v>2.9976333333333334E-2</v>
      </c>
      <c r="O61" s="263">
        <v>90</v>
      </c>
      <c r="P61" s="263"/>
      <c r="Q61" s="263"/>
      <c r="R61" s="263"/>
      <c r="S61" s="264"/>
      <c r="T61" s="264"/>
      <c r="U61" s="297"/>
      <c r="V61" s="263"/>
      <c r="W61" s="263"/>
      <c r="X61" s="263"/>
      <c r="Y61" s="263"/>
      <c r="Z61" s="263"/>
      <c r="AA61" s="263">
        <v>394953</v>
      </c>
      <c r="AB61" s="263">
        <v>835</v>
      </c>
      <c r="AC61" s="263"/>
      <c r="AD61" s="263"/>
      <c r="AE61" s="263"/>
      <c r="AF61" s="263"/>
      <c r="AG61" s="263"/>
      <c r="AH61" s="263"/>
      <c r="AI61" s="263"/>
      <c r="AJ61" s="301">
        <f t="shared" si="7"/>
        <v>394953</v>
      </c>
      <c r="AK61" s="263"/>
      <c r="AL61" s="263"/>
      <c r="AM61" s="263"/>
      <c r="AN61" s="264"/>
      <c r="AO61" s="264"/>
      <c r="AP61" s="264"/>
      <c r="AQ61" s="264"/>
      <c r="AR61" s="264"/>
      <c r="AS61" s="264"/>
      <c r="AT61" s="264"/>
      <c r="AU61" s="264"/>
      <c r="AV61" s="276" t="s">
        <v>1488</v>
      </c>
    </row>
    <row r="62" spans="1:48" s="313" customFormat="1" ht="15.75" customHeight="1">
      <c r="A62" s="260">
        <v>299</v>
      </c>
      <c r="B62" s="313" t="s">
        <v>97</v>
      </c>
      <c r="C62" s="313" t="s">
        <v>1299</v>
      </c>
      <c r="D62" s="311">
        <v>39873</v>
      </c>
      <c r="E62" s="311">
        <v>39965</v>
      </c>
      <c r="F62" s="353" t="s">
        <v>569</v>
      </c>
      <c r="G62" s="254" t="s">
        <v>1449</v>
      </c>
      <c r="H62" s="313" t="s">
        <v>1493</v>
      </c>
      <c r="I62" s="254" t="s">
        <v>2331</v>
      </c>
      <c r="J62" s="297">
        <v>3960000</v>
      </c>
      <c r="K62" s="297">
        <v>68828</v>
      </c>
      <c r="L62" s="297">
        <v>66731</v>
      </c>
      <c r="M62" s="297">
        <v>66731</v>
      </c>
      <c r="N62" s="349">
        <f t="shared" si="6"/>
        <v>1.6851262626262627E-2</v>
      </c>
      <c r="O62" s="297">
        <v>97</v>
      </c>
      <c r="P62" s="297"/>
      <c r="Q62" s="297"/>
      <c r="R62" s="297"/>
      <c r="S62" s="267"/>
      <c r="T62" s="267"/>
      <c r="U62" s="297"/>
      <c r="V62" s="297"/>
      <c r="W62" s="297"/>
      <c r="X62" s="297"/>
      <c r="Y62" s="297">
        <v>562196</v>
      </c>
      <c r="Z62" s="297"/>
      <c r="AA62" s="297">
        <v>562196</v>
      </c>
      <c r="AB62" s="297">
        <v>660</v>
      </c>
      <c r="AC62" s="297"/>
      <c r="AD62" s="297"/>
      <c r="AE62" s="297"/>
      <c r="AF62" s="297"/>
      <c r="AG62" s="297"/>
      <c r="AH62" s="297"/>
      <c r="AI62" s="297"/>
      <c r="AJ62" s="301">
        <f t="shared" si="7"/>
        <v>562196</v>
      </c>
      <c r="AK62" s="297"/>
      <c r="AL62" s="297"/>
      <c r="AM62" s="297"/>
      <c r="AN62" s="267"/>
      <c r="AO62" s="267"/>
      <c r="AP62" s="267"/>
      <c r="AQ62" s="267"/>
      <c r="AR62" s="267"/>
      <c r="AS62" s="267"/>
      <c r="AT62" s="267"/>
      <c r="AU62" s="267"/>
      <c r="AV62" s="276" t="s">
        <v>1490</v>
      </c>
    </row>
    <row r="63" spans="1:48" s="313" customFormat="1" ht="13.5" customHeight="1">
      <c r="A63" s="260">
        <v>300</v>
      </c>
      <c r="B63" s="266" t="s">
        <v>972</v>
      </c>
      <c r="C63" s="266" t="s">
        <v>1299</v>
      </c>
      <c r="D63" s="317">
        <v>40148</v>
      </c>
      <c r="E63" s="317">
        <v>40210</v>
      </c>
      <c r="F63" s="266" t="s">
        <v>863</v>
      </c>
      <c r="G63" s="254" t="s">
        <v>1449</v>
      </c>
      <c r="H63" s="266" t="s">
        <v>973</v>
      </c>
      <c r="I63" s="278" t="s">
        <v>2438</v>
      </c>
      <c r="J63" s="318">
        <v>25000000</v>
      </c>
      <c r="K63" s="319">
        <v>2588533</v>
      </c>
      <c r="L63" s="319">
        <f>735587+657161+80245</f>
        <v>1472993</v>
      </c>
      <c r="M63" s="319">
        <v>1419206</v>
      </c>
      <c r="N63" s="349">
        <f t="shared" si="6"/>
        <v>5.6768239999999998E-2</v>
      </c>
      <c r="O63" s="318">
        <f>(M63*100)/K63</f>
        <v>54.826652779779124</v>
      </c>
      <c r="P63" s="318"/>
      <c r="Q63" s="318"/>
      <c r="R63" s="318"/>
      <c r="S63" s="319"/>
      <c r="T63" s="319"/>
      <c r="U63" s="318"/>
      <c r="V63" s="318"/>
      <c r="W63" s="318">
        <v>456</v>
      </c>
      <c r="X63" s="318"/>
      <c r="Y63" s="318">
        <v>8932994</v>
      </c>
      <c r="Z63" s="318"/>
      <c r="AA63" s="318">
        <v>8932994</v>
      </c>
      <c r="AB63" s="318">
        <v>18981</v>
      </c>
      <c r="AC63" s="318"/>
      <c r="AD63" s="318"/>
      <c r="AE63" s="318"/>
      <c r="AF63" s="318"/>
      <c r="AG63" s="318"/>
      <c r="AH63" s="318"/>
      <c r="AI63" s="318"/>
      <c r="AJ63" s="301">
        <f t="shared" si="7"/>
        <v>8932994</v>
      </c>
      <c r="AK63" s="318">
        <v>78427</v>
      </c>
      <c r="AL63" s="318">
        <v>3937</v>
      </c>
      <c r="AM63" s="318">
        <f t="shared" ref="AM63:AM64" si="13">AL63/AJ63</f>
        <v>4.407256962223416E-4</v>
      </c>
      <c r="AN63" s="319"/>
      <c r="AO63" s="319"/>
      <c r="AP63" s="319"/>
      <c r="AQ63" s="319"/>
      <c r="AR63" s="319"/>
      <c r="AS63" s="319"/>
      <c r="AT63" s="319"/>
      <c r="AU63" s="319"/>
      <c r="AV63" s="320" t="s">
        <v>974</v>
      </c>
    </row>
    <row r="64" spans="1:48" s="313" customFormat="1" ht="15" customHeight="1">
      <c r="A64" s="260">
        <v>301</v>
      </c>
      <c r="B64" s="266" t="s">
        <v>1040</v>
      </c>
      <c r="C64" s="266" t="s">
        <v>1286</v>
      </c>
      <c r="D64" s="317">
        <v>40057</v>
      </c>
      <c r="E64" s="317">
        <v>40238</v>
      </c>
      <c r="F64" s="266" t="s">
        <v>1161</v>
      </c>
      <c r="G64" s="254" t="s">
        <v>1452</v>
      </c>
      <c r="H64" s="266" t="s">
        <v>1246</v>
      </c>
      <c r="I64" s="254" t="s">
        <v>2331</v>
      </c>
      <c r="J64" s="318" t="s">
        <v>134</v>
      </c>
      <c r="K64" s="318">
        <v>150000</v>
      </c>
      <c r="L64" s="318">
        <v>128349</v>
      </c>
      <c r="M64" s="318">
        <v>128349</v>
      </c>
      <c r="N64" s="256"/>
      <c r="O64" s="318">
        <v>86</v>
      </c>
      <c r="P64" s="318"/>
      <c r="Q64" s="318"/>
      <c r="R64" s="318"/>
      <c r="S64" s="319"/>
      <c r="T64" s="319"/>
      <c r="U64" s="318"/>
      <c r="V64" s="318"/>
      <c r="W64" s="318"/>
      <c r="X64" s="318"/>
      <c r="Y64" s="318"/>
      <c r="Z64" s="318"/>
      <c r="AA64" s="318"/>
      <c r="AB64" s="318">
        <v>50</v>
      </c>
      <c r="AC64" s="318"/>
      <c r="AD64" s="318"/>
      <c r="AE64" s="318"/>
      <c r="AF64" s="318"/>
      <c r="AG64" s="318"/>
      <c r="AH64" s="318">
        <v>150</v>
      </c>
      <c r="AI64" s="318"/>
      <c r="AJ64" s="301">
        <f t="shared" si="7"/>
        <v>150</v>
      </c>
      <c r="AK64" s="318">
        <v>74783</v>
      </c>
      <c r="AL64" s="318">
        <v>71917</v>
      </c>
      <c r="AM64" s="318">
        <f t="shared" si="13"/>
        <v>479.44666666666666</v>
      </c>
      <c r="AN64" s="319"/>
      <c r="AO64" s="319"/>
      <c r="AP64" s="319"/>
      <c r="AQ64" s="319"/>
      <c r="AR64" s="319"/>
      <c r="AS64" s="319"/>
      <c r="AT64" s="319"/>
      <c r="AU64" s="319"/>
      <c r="AV64" s="266" t="s">
        <v>1245</v>
      </c>
    </row>
    <row r="65" spans="1:48" s="313" customFormat="1" ht="15" customHeight="1">
      <c r="A65" s="260">
        <v>302</v>
      </c>
      <c r="B65" s="266" t="s">
        <v>1213</v>
      </c>
      <c r="C65" s="266" t="s">
        <v>1286</v>
      </c>
      <c r="D65" s="317">
        <v>39845</v>
      </c>
      <c r="E65" s="317">
        <v>40087</v>
      </c>
      <c r="F65" s="266" t="s">
        <v>1572</v>
      </c>
      <c r="G65" s="254" t="s">
        <v>1451</v>
      </c>
      <c r="H65" s="266" t="s">
        <v>1571</v>
      </c>
      <c r="I65" s="254" t="s">
        <v>2331</v>
      </c>
      <c r="J65" s="318">
        <v>5000</v>
      </c>
      <c r="K65" s="318">
        <v>164000</v>
      </c>
      <c r="L65" s="318">
        <v>148670</v>
      </c>
      <c r="M65" s="318">
        <v>148670</v>
      </c>
      <c r="N65" s="256">
        <f t="shared" si="6"/>
        <v>29.734000000000002</v>
      </c>
      <c r="O65" s="318">
        <v>91</v>
      </c>
      <c r="P65" s="318">
        <v>3000</v>
      </c>
      <c r="Q65" s="318">
        <v>3000</v>
      </c>
      <c r="R65" s="318">
        <v>3000</v>
      </c>
      <c r="S65" s="319"/>
      <c r="T65" s="319"/>
      <c r="U65" s="318">
        <v>1758</v>
      </c>
      <c r="V65" s="318">
        <v>10200</v>
      </c>
      <c r="W65" s="318">
        <v>3627</v>
      </c>
      <c r="X65" s="349">
        <f>W65/R65</f>
        <v>1.2090000000000001</v>
      </c>
      <c r="Y65" s="318">
        <v>5000</v>
      </c>
      <c r="Z65" s="318">
        <v>2300</v>
      </c>
      <c r="AA65" s="318">
        <v>5000</v>
      </c>
      <c r="AB65" s="318"/>
      <c r="AC65" s="318"/>
      <c r="AD65" s="318"/>
      <c r="AE65" s="318"/>
      <c r="AF65" s="318"/>
      <c r="AG65" s="318"/>
      <c r="AH65" s="318"/>
      <c r="AI65" s="318"/>
      <c r="AJ65" s="301">
        <f t="shared" si="7"/>
        <v>7300</v>
      </c>
      <c r="AK65" s="318"/>
      <c r="AL65" s="318"/>
      <c r="AM65" s="318"/>
      <c r="AN65" s="319"/>
      <c r="AO65" s="319"/>
      <c r="AP65" s="319"/>
      <c r="AQ65" s="319"/>
      <c r="AR65" s="319"/>
      <c r="AS65" s="319"/>
      <c r="AT65" s="319"/>
      <c r="AU65" s="319"/>
      <c r="AV65" s="343" t="s">
        <v>1570</v>
      </c>
    </row>
    <row r="66" spans="1:48" s="313" customFormat="1" ht="15" customHeight="1">
      <c r="A66" s="260">
        <v>303</v>
      </c>
      <c r="B66" s="266" t="s">
        <v>1213</v>
      </c>
      <c r="C66" s="266" t="s">
        <v>1286</v>
      </c>
      <c r="D66" s="317">
        <v>39814</v>
      </c>
      <c r="E66" s="317">
        <v>40148</v>
      </c>
      <c r="F66" s="266" t="s">
        <v>1001</v>
      </c>
      <c r="G66" s="254" t="s">
        <v>1449</v>
      </c>
      <c r="H66" s="266" t="s">
        <v>1621</v>
      </c>
      <c r="I66" s="254" t="s">
        <v>2331</v>
      </c>
      <c r="J66" s="318">
        <v>120000</v>
      </c>
      <c r="K66" s="318">
        <v>184012</v>
      </c>
      <c r="L66" s="318">
        <v>128084</v>
      </c>
      <c r="M66" s="318">
        <v>128084</v>
      </c>
      <c r="N66" s="349">
        <f t="shared" si="6"/>
        <v>1.0673666666666666</v>
      </c>
      <c r="O66" s="318">
        <v>70</v>
      </c>
      <c r="P66" s="318"/>
      <c r="Q66" s="318"/>
      <c r="R66" s="318"/>
      <c r="S66" s="319"/>
      <c r="T66" s="319"/>
      <c r="U66" s="318">
        <v>1680000</v>
      </c>
      <c r="V66" s="318">
        <v>6128</v>
      </c>
      <c r="W66" s="318">
        <v>9931</v>
      </c>
      <c r="X66" s="318"/>
      <c r="Y66" s="318">
        <v>120000</v>
      </c>
      <c r="Z66" s="318"/>
      <c r="AA66" s="318">
        <v>120000</v>
      </c>
      <c r="AB66" s="318">
        <v>446</v>
      </c>
      <c r="AC66" s="318"/>
      <c r="AD66" s="318"/>
      <c r="AE66" s="318"/>
      <c r="AF66" s="318"/>
      <c r="AG66" s="318"/>
      <c r="AH66" s="318"/>
      <c r="AI66" s="318"/>
      <c r="AJ66" s="301">
        <f t="shared" si="7"/>
        <v>120000</v>
      </c>
      <c r="AK66" s="318"/>
      <c r="AL66" s="318"/>
      <c r="AM66" s="318"/>
      <c r="AN66" s="319"/>
      <c r="AO66" s="319"/>
      <c r="AP66" s="319"/>
      <c r="AQ66" s="319"/>
      <c r="AR66" s="319"/>
      <c r="AS66" s="319"/>
      <c r="AT66" s="319"/>
      <c r="AU66" s="319"/>
      <c r="AV66" s="343" t="s">
        <v>1619</v>
      </c>
    </row>
    <row r="67" spans="1:48" s="313" customFormat="1" ht="15" customHeight="1">
      <c r="A67" s="260">
        <v>304</v>
      </c>
      <c r="B67" s="278" t="s">
        <v>354</v>
      </c>
      <c r="C67" s="266" t="s">
        <v>1260</v>
      </c>
      <c r="D67" s="317">
        <v>39814</v>
      </c>
      <c r="E67" s="317">
        <v>39845</v>
      </c>
      <c r="F67" s="266" t="s">
        <v>834</v>
      </c>
      <c r="G67" s="254" t="s">
        <v>1453</v>
      </c>
      <c r="H67" s="266" t="s">
        <v>1623</v>
      </c>
      <c r="I67" s="254" t="s">
        <v>2331</v>
      </c>
      <c r="J67" s="318">
        <v>5000</v>
      </c>
      <c r="K67" s="318">
        <v>166370</v>
      </c>
      <c r="L67" s="318">
        <v>166370</v>
      </c>
      <c r="M67" s="318">
        <v>120843</v>
      </c>
      <c r="N67" s="256">
        <f t="shared" ref="N67:N95" si="14">M67/J67</f>
        <v>24.168600000000001</v>
      </c>
      <c r="O67" s="318">
        <v>100</v>
      </c>
      <c r="P67" s="318"/>
      <c r="Q67" s="318"/>
      <c r="R67" s="318"/>
      <c r="S67" s="319"/>
      <c r="T67" s="319"/>
      <c r="U67" s="318"/>
      <c r="V67" s="318"/>
      <c r="W67" s="318"/>
      <c r="X67" s="318"/>
      <c r="Y67" s="318"/>
      <c r="Z67" s="318"/>
      <c r="AA67" s="318"/>
      <c r="AB67" s="318"/>
      <c r="AC67" s="318"/>
      <c r="AD67" s="318"/>
      <c r="AE67" s="318"/>
      <c r="AF67" s="318"/>
      <c r="AG67" s="318"/>
      <c r="AH67" s="318"/>
      <c r="AI67" s="318"/>
      <c r="AJ67" s="301">
        <f t="shared" ref="AJ67:AJ95" si="15">SUM(Z67,AA67,AH67)</f>
        <v>0</v>
      </c>
      <c r="AK67" s="318"/>
      <c r="AL67" s="318"/>
      <c r="AM67" s="318"/>
      <c r="AN67" s="319"/>
      <c r="AO67" s="319"/>
      <c r="AP67" s="319"/>
      <c r="AQ67" s="319"/>
      <c r="AR67" s="319"/>
      <c r="AS67" s="319"/>
      <c r="AT67" s="319"/>
      <c r="AU67" s="319"/>
      <c r="AV67" s="343" t="s">
        <v>1622</v>
      </c>
    </row>
    <row r="68" spans="1:48" s="313" customFormat="1" ht="15" customHeight="1">
      <c r="A68" s="260">
        <v>305</v>
      </c>
      <c r="B68" s="278" t="s">
        <v>354</v>
      </c>
      <c r="C68" s="266" t="s">
        <v>1260</v>
      </c>
      <c r="D68" s="317">
        <v>39845</v>
      </c>
      <c r="E68" s="317">
        <v>39934</v>
      </c>
      <c r="F68" s="266" t="s">
        <v>5</v>
      </c>
      <c r="G68" s="254" t="s">
        <v>1451</v>
      </c>
      <c r="H68" s="266" t="s">
        <v>1625</v>
      </c>
      <c r="I68" s="254" t="s">
        <v>2331</v>
      </c>
      <c r="J68" s="318">
        <v>2630</v>
      </c>
      <c r="K68" s="318">
        <v>100000</v>
      </c>
      <c r="L68" s="318">
        <v>100000</v>
      </c>
      <c r="M68" s="318">
        <v>94972</v>
      </c>
      <c r="N68" s="256">
        <f t="shared" si="14"/>
        <v>36.111026615969578</v>
      </c>
      <c r="O68" s="318">
        <v>100</v>
      </c>
      <c r="P68" s="318">
        <v>3825</v>
      </c>
      <c r="Q68" s="318"/>
      <c r="R68" s="318">
        <v>3825</v>
      </c>
      <c r="S68" s="319"/>
      <c r="T68" s="319"/>
      <c r="U68" s="318">
        <v>7000</v>
      </c>
      <c r="V68" s="318">
        <v>8000</v>
      </c>
      <c r="W68" s="318">
        <v>28638</v>
      </c>
      <c r="X68" s="349">
        <f>W68/R68</f>
        <v>7.487058823529412</v>
      </c>
      <c r="Y68" s="318"/>
      <c r="Z68" s="318"/>
      <c r="AA68" s="318"/>
      <c r="AB68" s="318"/>
      <c r="AC68" s="318"/>
      <c r="AD68" s="318"/>
      <c r="AE68" s="318"/>
      <c r="AF68" s="318"/>
      <c r="AG68" s="318"/>
      <c r="AH68" s="318"/>
      <c r="AI68" s="318"/>
      <c r="AJ68" s="301">
        <f t="shared" si="15"/>
        <v>0</v>
      </c>
      <c r="AK68" s="318"/>
      <c r="AL68" s="318"/>
      <c r="AM68" s="318"/>
      <c r="AN68" s="319"/>
      <c r="AO68" s="319"/>
      <c r="AP68" s="319"/>
      <c r="AQ68" s="319"/>
      <c r="AR68" s="319"/>
      <c r="AS68" s="319"/>
      <c r="AT68" s="319"/>
      <c r="AU68" s="319"/>
      <c r="AV68" s="343" t="s">
        <v>1624</v>
      </c>
    </row>
    <row r="69" spans="1:48" s="313" customFormat="1" ht="15" customHeight="1">
      <c r="A69" s="260">
        <v>306</v>
      </c>
      <c r="B69" s="278" t="s">
        <v>354</v>
      </c>
      <c r="C69" s="266" t="s">
        <v>1260</v>
      </c>
      <c r="D69" s="317">
        <v>39995</v>
      </c>
      <c r="E69" s="317">
        <v>40026</v>
      </c>
      <c r="F69" s="266" t="s">
        <v>5</v>
      </c>
      <c r="G69" s="254" t="s">
        <v>1451</v>
      </c>
      <c r="H69" s="266" t="s">
        <v>1627</v>
      </c>
      <c r="I69" s="254" t="s">
        <v>2331</v>
      </c>
      <c r="J69" s="318">
        <v>800</v>
      </c>
      <c r="K69" s="318">
        <v>43929</v>
      </c>
      <c r="L69" s="318">
        <v>43929</v>
      </c>
      <c r="M69" s="318">
        <v>42612</v>
      </c>
      <c r="N69" s="256">
        <f t="shared" si="14"/>
        <v>53.265000000000001</v>
      </c>
      <c r="O69" s="318">
        <v>100</v>
      </c>
      <c r="P69" s="318"/>
      <c r="Q69" s="318"/>
      <c r="R69" s="318"/>
      <c r="S69" s="319"/>
      <c r="T69" s="319"/>
      <c r="U69" s="318"/>
      <c r="V69" s="318">
        <v>2427</v>
      </c>
      <c r="W69" s="318">
        <v>2427</v>
      </c>
      <c r="X69" s="318"/>
      <c r="Y69" s="318"/>
      <c r="Z69" s="318"/>
      <c r="AA69" s="318"/>
      <c r="AB69" s="318"/>
      <c r="AC69" s="318"/>
      <c r="AD69" s="318"/>
      <c r="AE69" s="318"/>
      <c r="AF69" s="318"/>
      <c r="AG69" s="318"/>
      <c r="AH69" s="318"/>
      <c r="AI69" s="318"/>
      <c r="AJ69" s="301">
        <f t="shared" si="15"/>
        <v>0</v>
      </c>
      <c r="AK69" s="318"/>
      <c r="AL69" s="318"/>
      <c r="AM69" s="318"/>
      <c r="AN69" s="319"/>
      <c r="AO69" s="319"/>
      <c r="AP69" s="319"/>
      <c r="AQ69" s="319"/>
      <c r="AR69" s="319"/>
      <c r="AS69" s="319"/>
      <c r="AT69" s="319"/>
      <c r="AU69" s="319"/>
      <c r="AV69" s="343" t="s">
        <v>1626</v>
      </c>
    </row>
    <row r="70" spans="1:48" s="313" customFormat="1" ht="15" customHeight="1">
      <c r="A70" s="260">
        <v>307</v>
      </c>
      <c r="B70" s="266" t="s">
        <v>119</v>
      </c>
      <c r="C70" s="266" t="s">
        <v>1299</v>
      </c>
      <c r="D70" s="317">
        <v>40057</v>
      </c>
      <c r="E70" s="317">
        <v>40422</v>
      </c>
      <c r="F70" s="266" t="s">
        <v>5</v>
      </c>
      <c r="G70" s="254" t="s">
        <v>1451</v>
      </c>
      <c r="H70" s="266" t="s">
        <v>1629</v>
      </c>
      <c r="I70" s="278" t="s">
        <v>2438</v>
      </c>
      <c r="J70" s="318">
        <v>40000</v>
      </c>
      <c r="K70" s="318">
        <v>3500000</v>
      </c>
      <c r="L70" s="318">
        <v>2612304</v>
      </c>
      <c r="M70" s="318">
        <v>2586130</v>
      </c>
      <c r="N70" s="256">
        <f t="shared" si="14"/>
        <v>64.65325</v>
      </c>
      <c r="O70" s="318">
        <v>75</v>
      </c>
      <c r="P70" s="318">
        <v>8000</v>
      </c>
      <c r="Q70" s="318">
        <v>2000</v>
      </c>
      <c r="R70" s="318">
        <v>8000</v>
      </c>
      <c r="S70" s="319"/>
      <c r="T70" s="319"/>
      <c r="U70" s="318">
        <v>15295</v>
      </c>
      <c r="V70" s="318">
        <v>188000</v>
      </c>
      <c r="W70" s="318">
        <v>318992</v>
      </c>
      <c r="X70" s="349">
        <f>W70/R70</f>
        <v>39.874000000000002</v>
      </c>
      <c r="Y70" s="318">
        <v>57000</v>
      </c>
      <c r="Z70" s="318"/>
      <c r="AA70" s="318">
        <v>15295</v>
      </c>
      <c r="AB70" s="318">
        <v>140</v>
      </c>
      <c r="AC70" s="318"/>
      <c r="AD70" s="318"/>
      <c r="AE70" s="318">
        <v>1600</v>
      </c>
      <c r="AF70" s="318"/>
      <c r="AG70" s="318"/>
      <c r="AH70" s="318"/>
      <c r="AI70" s="318"/>
      <c r="AJ70" s="301">
        <f t="shared" si="15"/>
        <v>15295</v>
      </c>
      <c r="AK70" s="318">
        <v>0</v>
      </c>
      <c r="AL70" s="318">
        <v>1925</v>
      </c>
      <c r="AM70" s="318">
        <f>AL70/AJ70</f>
        <v>0.12585812356979406</v>
      </c>
      <c r="AN70" s="319"/>
      <c r="AO70" s="319"/>
      <c r="AP70" s="319"/>
      <c r="AQ70" s="319"/>
      <c r="AR70" s="319"/>
      <c r="AS70" s="319"/>
      <c r="AT70" s="319"/>
      <c r="AU70" s="319"/>
      <c r="AV70" s="343" t="s">
        <v>1628</v>
      </c>
    </row>
    <row r="71" spans="1:48" s="313" customFormat="1" ht="15" customHeight="1">
      <c r="A71" s="260">
        <v>308</v>
      </c>
      <c r="B71" s="266" t="s">
        <v>477</v>
      </c>
      <c r="C71" s="266" t="s">
        <v>1299</v>
      </c>
      <c r="D71" s="317">
        <v>39934</v>
      </c>
      <c r="E71" s="317">
        <v>40057</v>
      </c>
      <c r="F71" s="266" t="s">
        <v>1630</v>
      </c>
      <c r="G71" s="254" t="s">
        <v>1450</v>
      </c>
      <c r="H71" s="266" t="s">
        <v>1632</v>
      </c>
      <c r="I71" s="254" t="s">
        <v>2331</v>
      </c>
      <c r="J71" s="318">
        <v>300</v>
      </c>
      <c r="K71" s="318">
        <v>21010</v>
      </c>
      <c r="L71" s="318">
        <v>17443</v>
      </c>
      <c r="M71" s="318">
        <v>17443</v>
      </c>
      <c r="N71" s="256">
        <f t="shared" si="14"/>
        <v>58.143333333333331</v>
      </c>
      <c r="O71" s="318">
        <v>83</v>
      </c>
      <c r="P71" s="318"/>
      <c r="Q71" s="318"/>
      <c r="R71" s="318"/>
      <c r="S71" s="319"/>
      <c r="T71" s="319"/>
      <c r="U71" s="318">
        <v>18000</v>
      </c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/>
      <c r="AH71" s="318"/>
      <c r="AI71" s="318"/>
      <c r="AJ71" s="301">
        <f t="shared" si="15"/>
        <v>0</v>
      </c>
      <c r="AK71" s="318"/>
      <c r="AL71" s="318"/>
      <c r="AM71" s="318"/>
      <c r="AN71" s="319"/>
      <c r="AO71" s="319"/>
      <c r="AP71" s="319"/>
      <c r="AQ71" s="319"/>
      <c r="AR71" s="319"/>
      <c r="AS71" s="319"/>
      <c r="AT71" s="319"/>
      <c r="AU71" s="319"/>
      <c r="AV71" s="343" t="s">
        <v>1631</v>
      </c>
    </row>
    <row r="72" spans="1:48" s="313" customFormat="1" ht="15" customHeight="1">
      <c r="A72" s="260">
        <v>309</v>
      </c>
      <c r="B72" s="266" t="s">
        <v>547</v>
      </c>
      <c r="C72" s="266" t="s">
        <v>1286</v>
      </c>
      <c r="D72" s="317">
        <v>39873</v>
      </c>
      <c r="E72" s="317">
        <v>39965</v>
      </c>
      <c r="F72" s="266" t="s">
        <v>468</v>
      </c>
      <c r="G72" s="254" t="s">
        <v>1449</v>
      </c>
      <c r="H72" s="266" t="s">
        <v>1634</v>
      </c>
      <c r="I72" s="254" t="s">
        <v>2331</v>
      </c>
      <c r="J72" s="318">
        <v>7100</v>
      </c>
      <c r="K72" s="318">
        <v>140437</v>
      </c>
      <c r="L72" s="318">
        <v>124561</v>
      </c>
      <c r="M72" s="318">
        <v>124561</v>
      </c>
      <c r="N72" s="256">
        <f t="shared" si="14"/>
        <v>17.543802816901408</v>
      </c>
      <c r="O72" s="318">
        <v>89</v>
      </c>
      <c r="P72" s="318"/>
      <c r="Q72" s="348">
        <v>44000</v>
      </c>
      <c r="R72" s="318"/>
      <c r="S72" s="319"/>
      <c r="T72" s="319"/>
      <c r="U72" s="318">
        <v>44000</v>
      </c>
      <c r="V72" s="318"/>
      <c r="W72" s="318"/>
      <c r="X72" s="318"/>
      <c r="Y72" s="318">
        <v>9100</v>
      </c>
      <c r="Z72" s="318"/>
      <c r="AA72" s="318">
        <v>9100</v>
      </c>
      <c r="AB72" s="318">
        <v>30</v>
      </c>
      <c r="AC72" s="318"/>
      <c r="AD72" s="318"/>
      <c r="AE72" s="318">
        <v>1200</v>
      </c>
      <c r="AF72" s="318"/>
      <c r="AG72" s="318"/>
      <c r="AH72" s="318"/>
      <c r="AI72" s="318"/>
      <c r="AJ72" s="301">
        <f t="shared" si="15"/>
        <v>9100</v>
      </c>
      <c r="AK72" s="318"/>
      <c r="AL72" s="318"/>
      <c r="AM72" s="318"/>
      <c r="AN72" s="319"/>
      <c r="AO72" s="319"/>
      <c r="AP72" s="319"/>
      <c r="AQ72" s="319"/>
      <c r="AR72" s="319"/>
      <c r="AS72" s="319"/>
      <c r="AT72" s="319"/>
      <c r="AU72" s="319"/>
      <c r="AV72" s="343" t="s">
        <v>1633</v>
      </c>
    </row>
    <row r="73" spans="1:48" s="313" customFormat="1" ht="15" customHeight="1">
      <c r="A73" s="260">
        <v>310</v>
      </c>
      <c r="B73" s="266" t="s">
        <v>536</v>
      </c>
      <c r="C73" s="266" t="s">
        <v>1286</v>
      </c>
      <c r="D73" s="317">
        <v>39814</v>
      </c>
      <c r="E73" s="317">
        <v>39904</v>
      </c>
      <c r="F73" s="266" t="s">
        <v>24</v>
      </c>
      <c r="G73" s="254" t="s">
        <v>1454</v>
      </c>
      <c r="H73" s="266" t="s">
        <v>1636</v>
      </c>
      <c r="I73" s="254" t="s">
        <v>2331</v>
      </c>
      <c r="J73" s="318">
        <v>2500</v>
      </c>
      <c r="K73" s="318">
        <v>115000</v>
      </c>
      <c r="L73" s="318">
        <v>101995</v>
      </c>
      <c r="M73" s="318">
        <v>101995</v>
      </c>
      <c r="N73" s="256">
        <f t="shared" si="14"/>
        <v>40.798000000000002</v>
      </c>
      <c r="O73" s="318">
        <v>89</v>
      </c>
      <c r="P73" s="318"/>
      <c r="Q73" s="318"/>
      <c r="R73" s="318"/>
      <c r="S73" s="319"/>
      <c r="T73" s="319"/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>
        <v>400</v>
      </c>
      <c r="AF73" s="318"/>
      <c r="AG73" s="318"/>
      <c r="AH73" s="318"/>
      <c r="AI73" s="318"/>
      <c r="AJ73" s="301">
        <f t="shared" si="15"/>
        <v>0</v>
      </c>
      <c r="AK73" s="318"/>
      <c r="AL73" s="318"/>
      <c r="AM73" s="318"/>
      <c r="AN73" s="319"/>
      <c r="AO73" s="319"/>
      <c r="AP73" s="319"/>
      <c r="AQ73" s="319"/>
      <c r="AR73" s="319"/>
      <c r="AS73" s="319"/>
      <c r="AT73" s="319"/>
      <c r="AU73" s="319" t="s">
        <v>94</v>
      </c>
      <c r="AV73" s="343" t="s">
        <v>1635</v>
      </c>
    </row>
    <row r="74" spans="1:48" s="313" customFormat="1" ht="15" customHeight="1">
      <c r="A74" s="260">
        <v>311</v>
      </c>
      <c r="B74" s="266" t="s">
        <v>1040</v>
      </c>
      <c r="C74" s="266" t="s">
        <v>1286</v>
      </c>
      <c r="D74" s="317">
        <v>39965</v>
      </c>
      <c r="E74" s="317">
        <v>40118</v>
      </c>
      <c r="F74" s="266" t="s">
        <v>24</v>
      </c>
      <c r="G74" s="254" t="s">
        <v>1454</v>
      </c>
      <c r="H74" s="266" t="s">
        <v>1638</v>
      </c>
      <c r="I74" s="254" t="s">
        <v>2331</v>
      </c>
      <c r="J74" s="318">
        <v>4000</v>
      </c>
      <c r="K74" s="318">
        <v>179946</v>
      </c>
      <c r="L74" s="318">
        <v>108737</v>
      </c>
      <c r="M74" s="318">
        <v>108737</v>
      </c>
      <c r="N74" s="256">
        <f t="shared" si="14"/>
        <v>27.184249999999999</v>
      </c>
      <c r="O74" s="318">
        <v>60</v>
      </c>
      <c r="P74" s="318"/>
      <c r="Q74" s="318"/>
      <c r="R74" s="318"/>
      <c r="S74" s="319"/>
      <c r="T74" s="319"/>
      <c r="U74" s="318"/>
      <c r="V74" s="318">
        <v>446</v>
      </c>
      <c r="W74" s="318">
        <v>515</v>
      </c>
      <c r="X74" s="318"/>
      <c r="Y74" s="318"/>
      <c r="Z74" s="318"/>
      <c r="AA74" s="318"/>
      <c r="AB74" s="318"/>
      <c r="AC74" s="318"/>
      <c r="AD74" s="318"/>
      <c r="AE74" s="318"/>
      <c r="AF74" s="318"/>
      <c r="AG74" s="318"/>
      <c r="AH74" s="318"/>
      <c r="AI74" s="318"/>
      <c r="AJ74" s="301">
        <f t="shared" si="15"/>
        <v>0</v>
      </c>
      <c r="AK74" s="318"/>
      <c r="AL74" s="318"/>
      <c r="AM74" s="318"/>
      <c r="AN74" s="319"/>
      <c r="AO74" s="319"/>
      <c r="AP74" s="319"/>
      <c r="AQ74" s="319"/>
      <c r="AR74" s="319"/>
      <c r="AS74" s="319"/>
      <c r="AT74" s="319"/>
      <c r="AU74" s="319"/>
      <c r="AV74" s="343" t="s">
        <v>1637</v>
      </c>
    </row>
    <row r="75" spans="1:48" s="313" customFormat="1" ht="15" customHeight="1">
      <c r="A75" s="260">
        <v>312</v>
      </c>
      <c r="B75" s="266" t="s">
        <v>1639</v>
      </c>
      <c r="C75" s="266" t="s">
        <v>1260</v>
      </c>
      <c r="D75" s="317">
        <v>39904</v>
      </c>
      <c r="E75" s="317">
        <v>40057</v>
      </c>
      <c r="F75" s="266" t="s">
        <v>24</v>
      </c>
      <c r="G75" s="254" t="s">
        <v>1454</v>
      </c>
      <c r="H75" s="266" t="s">
        <v>1642</v>
      </c>
      <c r="I75" s="254" t="s">
        <v>2331</v>
      </c>
      <c r="J75" s="318">
        <v>22000</v>
      </c>
      <c r="K75" s="318">
        <v>700000</v>
      </c>
      <c r="L75" s="318">
        <v>700000</v>
      </c>
      <c r="M75" s="318">
        <v>700000</v>
      </c>
      <c r="N75" s="256">
        <f t="shared" si="14"/>
        <v>31.818181818181817</v>
      </c>
      <c r="O75" s="318">
        <v>100</v>
      </c>
      <c r="P75" s="318"/>
      <c r="Q75" s="318"/>
      <c r="R75" s="318"/>
      <c r="S75" s="319"/>
      <c r="T75" s="319"/>
      <c r="U75" s="318"/>
      <c r="V75" s="318"/>
      <c r="W75" s="318"/>
      <c r="X75" s="318"/>
      <c r="Y75" s="318"/>
      <c r="Z75" s="318">
        <v>1155</v>
      </c>
      <c r="AA75" s="318"/>
      <c r="AB75" s="318">
        <v>10000</v>
      </c>
      <c r="AC75" s="318"/>
      <c r="AD75" s="318"/>
      <c r="AE75" s="318"/>
      <c r="AF75" s="318"/>
      <c r="AG75" s="318"/>
      <c r="AH75" s="318"/>
      <c r="AI75" s="318"/>
      <c r="AJ75" s="301">
        <f t="shared" si="15"/>
        <v>1155</v>
      </c>
      <c r="AK75" s="318"/>
      <c r="AL75" s="318"/>
      <c r="AM75" s="318"/>
      <c r="AN75" s="319"/>
      <c r="AO75" s="319"/>
      <c r="AP75" s="319"/>
      <c r="AQ75" s="319"/>
      <c r="AR75" s="319"/>
      <c r="AS75" s="319"/>
      <c r="AT75" s="319"/>
      <c r="AU75" s="319"/>
      <c r="AV75" s="343" t="s">
        <v>1640</v>
      </c>
    </row>
    <row r="76" spans="1:48" s="313" customFormat="1" ht="15" customHeight="1">
      <c r="A76" s="260">
        <v>313</v>
      </c>
      <c r="B76" s="266" t="s">
        <v>12</v>
      </c>
      <c r="C76" s="266" t="s">
        <v>1299</v>
      </c>
      <c r="D76" s="317">
        <v>39845</v>
      </c>
      <c r="E76" s="317">
        <v>39965</v>
      </c>
      <c r="F76" s="266" t="s">
        <v>937</v>
      </c>
      <c r="G76" s="254" t="s">
        <v>1464</v>
      </c>
      <c r="H76" s="266" t="s">
        <v>1645</v>
      </c>
      <c r="I76" s="254" t="s">
        <v>2331</v>
      </c>
      <c r="J76" s="318">
        <v>1000</v>
      </c>
      <c r="K76" s="318">
        <v>150572</v>
      </c>
      <c r="L76" s="318">
        <v>150572</v>
      </c>
      <c r="M76" s="318">
        <v>150572</v>
      </c>
      <c r="N76" s="256">
        <f t="shared" si="14"/>
        <v>150.572</v>
      </c>
      <c r="O76" s="318">
        <v>100</v>
      </c>
      <c r="P76" s="318"/>
      <c r="Q76" s="318"/>
      <c r="R76" s="318"/>
      <c r="S76" s="319"/>
      <c r="T76" s="319"/>
      <c r="U76" s="318"/>
      <c r="V76" s="318"/>
      <c r="W76" s="318"/>
      <c r="X76" s="318"/>
      <c r="Y76" s="318"/>
      <c r="Z76" s="318">
        <v>500</v>
      </c>
      <c r="AA76" s="318"/>
      <c r="AB76" s="318">
        <v>17</v>
      </c>
      <c r="AC76" s="318"/>
      <c r="AD76" s="318"/>
      <c r="AE76" s="318"/>
      <c r="AF76" s="318"/>
      <c r="AG76" s="318"/>
      <c r="AH76" s="318">
        <v>135</v>
      </c>
      <c r="AI76" s="318"/>
      <c r="AJ76" s="301">
        <f t="shared" si="15"/>
        <v>635</v>
      </c>
      <c r="AK76" s="318">
        <v>75000</v>
      </c>
      <c r="AL76" s="318">
        <v>75000</v>
      </c>
      <c r="AM76" s="318">
        <f t="shared" ref="AM76:AM77" si="16">AL76/AJ76</f>
        <v>118.11023622047244</v>
      </c>
      <c r="AN76" s="319"/>
      <c r="AO76" s="319"/>
      <c r="AP76" s="319"/>
      <c r="AQ76" s="319"/>
      <c r="AR76" s="319"/>
      <c r="AS76" s="319"/>
      <c r="AT76" s="319"/>
      <c r="AU76" s="319"/>
      <c r="AV76" s="343" t="s">
        <v>1644</v>
      </c>
    </row>
    <row r="77" spans="1:48" s="313" customFormat="1" ht="15" customHeight="1">
      <c r="A77" s="260">
        <v>314</v>
      </c>
      <c r="B77" s="266" t="s">
        <v>1641</v>
      </c>
      <c r="C77" s="266" t="s">
        <v>1299</v>
      </c>
      <c r="D77" s="317">
        <v>39995</v>
      </c>
      <c r="E77" s="317">
        <v>40087</v>
      </c>
      <c r="F77" s="266" t="s">
        <v>1648</v>
      </c>
      <c r="G77" s="254" t="s">
        <v>1463</v>
      </c>
      <c r="H77" s="266" t="s">
        <v>1647</v>
      </c>
      <c r="I77" s="254" t="s">
        <v>2331</v>
      </c>
      <c r="J77" s="318">
        <v>994</v>
      </c>
      <c r="K77" s="318">
        <v>24654</v>
      </c>
      <c r="L77" s="318">
        <v>24652</v>
      </c>
      <c r="M77" s="318">
        <v>24652</v>
      </c>
      <c r="N77" s="256">
        <f t="shared" si="14"/>
        <v>24.800804828973842</v>
      </c>
      <c r="O77" s="318">
        <v>100</v>
      </c>
      <c r="P77" s="318"/>
      <c r="Q77" s="318"/>
      <c r="R77" s="318"/>
      <c r="S77" s="319"/>
      <c r="T77" s="319"/>
      <c r="U77" s="318"/>
      <c r="V77" s="318"/>
      <c r="W77" s="318"/>
      <c r="X77" s="318"/>
      <c r="Y77" s="318"/>
      <c r="Z77" s="318">
        <v>994</v>
      </c>
      <c r="AA77" s="318"/>
      <c r="AB77" s="318">
        <v>4</v>
      </c>
      <c r="AC77" s="318"/>
      <c r="AD77" s="318"/>
      <c r="AE77" s="318"/>
      <c r="AF77" s="318"/>
      <c r="AG77" s="318"/>
      <c r="AH77" s="318"/>
      <c r="AI77" s="318"/>
      <c r="AJ77" s="301">
        <f t="shared" si="15"/>
        <v>994</v>
      </c>
      <c r="AK77" s="318"/>
      <c r="AL77" s="318">
        <v>462</v>
      </c>
      <c r="AM77" s="318">
        <f t="shared" si="16"/>
        <v>0.46478873239436619</v>
      </c>
      <c r="AN77" s="319"/>
      <c r="AO77" s="319"/>
      <c r="AP77" s="319"/>
      <c r="AQ77" s="319"/>
      <c r="AR77" s="319"/>
      <c r="AS77" s="319"/>
      <c r="AT77" s="319"/>
      <c r="AU77" s="319"/>
      <c r="AV77" s="343" t="s">
        <v>1646</v>
      </c>
    </row>
    <row r="78" spans="1:48" s="313" customFormat="1" ht="15" customHeight="1">
      <c r="A78" s="260">
        <v>315</v>
      </c>
      <c r="B78" s="266" t="s">
        <v>485</v>
      </c>
      <c r="C78" s="266" t="s">
        <v>1299</v>
      </c>
      <c r="D78" s="317">
        <v>39845</v>
      </c>
      <c r="E78" s="317">
        <v>40087</v>
      </c>
      <c r="F78" s="266" t="s">
        <v>1651</v>
      </c>
      <c r="G78" s="254" t="s">
        <v>1450</v>
      </c>
      <c r="H78" s="266" t="s">
        <v>1650</v>
      </c>
      <c r="I78" s="254" t="s">
        <v>2331</v>
      </c>
      <c r="J78" s="318">
        <v>25000</v>
      </c>
      <c r="K78" s="318">
        <v>244043</v>
      </c>
      <c r="L78" s="318">
        <v>181478</v>
      </c>
      <c r="M78" s="318">
        <v>181478</v>
      </c>
      <c r="N78" s="256">
        <f t="shared" si="14"/>
        <v>7.2591200000000002</v>
      </c>
      <c r="O78" s="318">
        <v>74</v>
      </c>
      <c r="P78" s="318">
        <v>6100</v>
      </c>
      <c r="Q78" s="318"/>
      <c r="R78" s="318">
        <v>6100</v>
      </c>
      <c r="S78" s="319"/>
      <c r="T78" s="319"/>
      <c r="U78" s="318">
        <v>6100</v>
      </c>
      <c r="V78" s="318"/>
      <c r="W78" s="318">
        <v>38290</v>
      </c>
      <c r="X78" s="349">
        <f>W78/R78</f>
        <v>6.277049180327869</v>
      </c>
      <c r="Y78" s="318"/>
      <c r="Z78" s="318"/>
      <c r="AA78" s="318"/>
      <c r="AB78" s="318">
        <v>274</v>
      </c>
      <c r="AC78" s="318"/>
      <c r="AD78" s="318"/>
      <c r="AE78" s="318">
        <v>4961</v>
      </c>
      <c r="AF78" s="318"/>
      <c r="AG78" s="318"/>
      <c r="AH78" s="318"/>
      <c r="AI78" s="318"/>
      <c r="AJ78" s="301">
        <f t="shared" si="15"/>
        <v>0</v>
      </c>
      <c r="AK78" s="318"/>
      <c r="AL78" s="318"/>
      <c r="AM78" s="318"/>
      <c r="AN78" s="319"/>
      <c r="AO78" s="319"/>
      <c r="AP78" s="319"/>
      <c r="AQ78" s="319"/>
      <c r="AR78" s="319"/>
      <c r="AS78" s="319"/>
      <c r="AT78" s="319"/>
      <c r="AU78" s="319"/>
      <c r="AV78" s="343" t="s">
        <v>1649</v>
      </c>
    </row>
    <row r="79" spans="1:48" s="313" customFormat="1" ht="15" customHeight="1">
      <c r="A79" s="260">
        <v>316</v>
      </c>
      <c r="B79" s="266" t="s">
        <v>140</v>
      </c>
      <c r="C79" s="266" t="s">
        <v>1299</v>
      </c>
      <c r="D79" s="317">
        <v>39814</v>
      </c>
      <c r="E79" s="317">
        <v>39995</v>
      </c>
      <c r="F79" s="266" t="s">
        <v>1652</v>
      </c>
      <c r="G79" s="254" t="s">
        <v>1653</v>
      </c>
      <c r="H79" s="266" t="s">
        <v>1655</v>
      </c>
      <c r="I79" s="254" t="s">
        <v>2331</v>
      </c>
      <c r="J79" s="318">
        <v>18625</v>
      </c>
      <c r="K79" s="318">
        <v>71050</v>
      </c>
      <c r="L79" s="318">
        <v>71022</v>
      </c>
      <c r="M79" s="318">
        <v>69960</v>
      </c>
      <c r="N79" s="256">
        <f t="shared" si="14"/>
        <v>3.7562416107382552</v>
      </c>
      <c r="O79" s="318">
        <v>100</v>
      </c>
      <c r="P79" s="318"/>
      <c r="Q79" s="318"/>
      <c r="R79" s="318"/>
      <c r="S79" s="319"/>
      <c r="T79" s="319"/>
      <c r="U79" s="318" t="s">
        <v>134</v>
      </c>
      <c r="V79" s="318"/>
      <c r="W79" s="318"/>
      <c r="X79" s="318"/>
      <c r="Y79" s="318"/>
      <c r="Z79" s="318"/>
      <c r="AA79" s="318"/>
      <c r="AB79" s="318"/>
      <c r="AC79" s="318"/>
      <c r="AD79" s="318"/>
      <c r="AE79" s="318">
        <v>100</v>
      </c>
      <c r="AF79" s="318"/>
      <c r="AG79" s="318"/>
      <c r="AH79" s="318"/>
      <c r="AI79" s="318"/>
      <c r="AJ79" s="301">
        <f t="shared" si="15"/>
        <v>0</v>
      </c>
      <c r="AK79" s="318"/>
      <c r="AL79" s="318">
        <v>8536</v>
      </c>
      <c r="AM79" s="318"/>
      <c r="AN79" s="319"/>
      <c r="AO79" s="319"/>
      <c r="AP79" s="319"/>
      <c r="AQ79" s="319"/>
      <c r="AR79" s="319"/>
      <c r="AS79" s="319"/>
      <c r="AT79" s="319"/>
      <c r="AU79" s="319"/>
      <c r="AV79" s="343" t="s">
        <v>1654</v>
      </c>
    </row>
    <row r="80" spans="1:48" s="313" customFormat="1" ht="15" customHeight="1">
      <c r="A80" s="260">
        <v>317</v>
      </c>
      <c r="B80" s="266" t="s">
        <v>1475</v>
      </c>
      <c r="C80" s="266" t="s">
        <v>1286</v>
      </c>
      <c r="D80" s="354">
        <v>39873</v>
      </c>
      <c r="E80" s="354">
        <v>39965</v>
      </c>
      <c r="F80" s="266" t="s">
        <v>468</v>
      </c>
      <c r="G80" s="254" t="s">
        <v>1449</v>
      </c>
      <c r="H80" s="266" t="s">
        <v>1660</v>
      </c>
      <c r="I80" s="254" t="s">
        <v>2331</v>
      </c>
      <c r="J80" s="318">
        <v>25000</v>
      </c>
      <c r="K80" s="318">
        <v>151145</v>
      </c>
      <c r="L80" s="318">
        <v>136059</v>
      </c>
      <c r="M80" s="318">
        <v>136059</v>
      </c>
      <c r="N80" s="256">
        <f t="shared" si="14"/>
        <v>5.4423599999999999</v>
      </c>
      <c r="O80" s="318">
        <v>90</v>
      </c>
      <c r="P80" s="318"/>
      <c r="Q80" s="318"/>
      <c r="R80" s="318"/>
      <c r="S80" s="319"/>
      <c r="T80" s="319"/>
      <c r="U80" s="318">
        <v>9537</v>
      </c>
      <c r="V80" s="318"/>
      <c r="W80" s="318"/>
      <c r="X80" s="318"/>
      <c r="Y80" s="318">
        <v>20964</v>
      </c>
      <c r="Z80" s="318"/>
      <c r="AA80" s="318">
        <v>20964</v>
      </c>
      <c r="AB80" s="318">
        <v>217</v>
      </c>
      <c r="AC80" s="318"/>
      <c r="AD80" s="318"/>
      <c r="AE80" s="318"/>
      <c r="AF80" s="318"/>
      <c r="AG80" s="318"/>
      <c r="AH80" s="318"/>
      <c r="AI80" s="318"/>
      <c r="AJ80" s="301">
        <f t="shared" si="15"/>
        <v>20964</v>
      </c>
      <c r="AK80" s="318"/>
      <c r="AL80" s="318"/>
      <c r="AM80" s="318"/>
      <c r="AN80" s="319"/>
      <c r="AO80" s="319"/>
      <c r="AP80" s="319"/>
      <c r="AQ80" s="319"/>
      <c r="AR80" s="319"/>
      <c r="AS80" s="319"/>
      <c r="AT80" s="319"/>
      <c r="AU80" s="319"/>
      <c r="AV80" s="343" t="s">
        <v>1659</v>
      </c>
    </row>
    <row r="81" spans="1:48" s="313" customFormat="1" ht="15" customHeight="1">
      <c r="A81" s="260">
        <v>318</v>
      </c>
      <c r="B81" s="266" t="s">
        <v>1475</v>
      </c>
      <c r="C81" s="266" t="s">
        <v>1286</v>
      </c>
      <c r="D81" s="354">
        <v>39934</v>
      </c>
      <c r="E81" s="354">
        <v>40026</v>
      </c>
      <c r="F81" s="266" t="s">
        <v>79</v>
      </c>
      <c r="G81" s="254" t="s">
        <v>1453</v>
      </c>
      <c r="H81" s="313" t="s">
        <v>1662</v>
      </c>
      <c r="I81" s="254" t="s">
        <v>2331</v>
      </c>
      <c r="J81" s="318">
        <v>8715</v>
      </c>
      <c r="K81" s="318">
        <v>237515</v>
      </c>
      <c r="L81" s="318">
        <v>231623</v>
      </c>
      <c r="M81" s="318">
        <v>231623</v>
      </c>
      <c r="N81" s="256">
        <f t="shared" si="14"/>
        <v>26.577510040160643</v>
      </c>
      <c r="O81" s="318">
        <v>98</v>
      </c>
      <c r="P81" s="318"/>
      <c r="Q81" s="318"/>
      <c r="R81" s="318"/>
      <c r="S81" s="319"/>
      <c r="T81" s="319"/>
      <c r="U81" s="318"/>
      <c r="V81" s="318"/>
      <c r="W81" s="318"/>
      <c r="X81" s="318"/>
      <c r="Y81" s="318"/>
      <c r="Z81" s="318"/>
      <c r="AA81" s="318"/>
      <c r="AB81" s="318"/>
      <c r="AC81" s="318"/>
      <c r="AD81" s="318"/>
      <c r="AE81" s="318"/>
      <c r="AF81" s="318"/>
      <c r="AG81" s="318"/>
      <c r="AH81" s="318"/>
      <c r="AI81" s="318"/>
      <c r="AJ81" s="301">
        <f t="shared" si="15"/>
        <v>0</v>
      </c>
      <c r="AK81" s="318"/>
      <c r="AL81" s="318"/>
      <c r="AM81" s="318"/>
      <c r="AN81" s="319"/>
      <c r="AO81" s="319"/>
      <c r="AP81" s="319"/>
      <c r="AQ81" s="319"/>
      <c r="AR81" s="319"/>
      <c r="AS81" s="319"/>
      <c r="AT81" s="319"/>
      <c r="AU81" s="319"/>
      <c r="AV81" s="343" t="s">
        <v>1661</v>
      </c>
    </row>
    <row r="82" spans="1:48" s="313" customFormat="1" ht="15" customHeight="1">
      <c r="A82" s="260">
        <v>319</v>
      </c>
      <c r="B82" s="266" t="s">
        <v>26</v>
      </c>
      <c r="C82" s="266" t="s">
        <v>1299</v>
      </c>
      <c r="D82" s="354">
        <v>39904</v>
      </c>
      <c r="E82" s="354">
        <v>39904</v>
      </c>
      <c r="F82" s="266" t="s">
        <v>1656</v>
      </c>
      <c r="G82" s="254" t="s">
        <v>1452</v>
      </c>
      <c r="H82" s="266" t="s">
        <v>1664</v>
      </c>
      <c r="I82" s="254" t="s">
        <v>2331</v>
      </c>
      <c r="J82" s="318" t="s">
        <v>134</v>
      </c>
      <c r="K82" s="318">
        <v>107354</v>
      </c>
      <c r="L82" s="318">
        <v>76858</v>
      </c>
      <c r="M82" s="318">
        <v>76858</v>
      </c>
      <c r="N82" s="256"/>
      <c r="O82" s="318">
        <v>72</v>
      </c>
      <c r="P82" s="318"/>
      <c r="Q82" s="318"/>
      <c r="R82" s="318"/>
      <c r="S82" s="319"/>
      <c r="T82" s="319"/>
      <c r="U82" s="318"/>
      <c r="V82" s="318"/>
      <c r="W82" s="318"/>
      <c r="X82" s="318"/>
      <c r="Y82" s="318"/>
      <c r="Z82" s="318"/>
      <c r="AA82" s="318"/>
      <c r="AB82" s="318"/>
      <c r="AC82" s="318"/>
      <c r="AD82" s="318"/>
      <c r="AE82" s="318"/>
      <c r="AF82" s="318"/>
      <c r="AG82" s="318"/>
      <c r="AH82" s="318"/>
      <c r="AI82" s="318"/>
      <c r="AJ82" s="301">
        <f t="shared" si="15"/>
        <v>0</v>
      </c>
      <c r="AK82" s="318"/>
      <c r="AL82" s="318"/>
      <c r="AM82" s="318"/>
      <c r="AN82" s="319"/>
      <c r="AO82" s="319"/>
      <c r="AP82" s="319"/>
      <c r="AQ82" s="319"/>
      <c r="AR82" s="319"/>
      <c r="AS82" s="319"/>
      <c r="AT82" s="319"/>
      <c r="AU82" s="319"/>
      <c r="AV82" s="343" t="s">
        <v>1663</v>
      </c>
    </row>
    <row r="83" spans="1:48" s="313" customFormat="1" ht="15" customHeight="1">
      <c r="A83" s="260">
        <v>320</v>
      </c>
      <c r="B83" s="266" t="s">
        <v>1169</v>
      </c>
      <c r="C83" s="266" t="s">
        <v>1286</v>
      </c>
      <c r="D83" s="354">
        <v>40118</v>
      </c>
      <c r="E83" s="354">
        <v>40513</v>
      </c>
      <c r="F83" s="266" t="s">
        <v>5</v>
      </c>
      <c r="G83" s="254" t="s">
        <v>1658</v>
      </c>
      <c r="H83" s="266" t="s">
        <v>1666</v>
      </c>
      <c r="I83" s="278" t="s">
        <v>2438</v>
      </c>
      <c r="J83" s="318">
        <v>10000</v>
      </c>
      <c r="K83" s="318">
        <v>1680178</v>
      </c>
      <c r="L83" s="318">
        <v>1540492</v>
      </c>
      <c r="M83" s="318">
        <v>1426642</v>
      </c>
      <c r="N83" s="256">
        <f t="shared" si="14"/>
        <v>142.66419999999999</v>
      </c>
      <c r="O83" s="318">
        <v>92</v>
      </c>
      <c r="P83" s="318">
        <v>89966</v>
      </c>
      <c r="Q83" s="318">
        <v>310</v>
      </c>
      <c r="R83" s="318">
        <v>89966</v>
      </c>
      <c r="S83" s="319"/>
      <c r="T83" s="319"/>
      <c r="U83" s="318"/>
      <c r="V83" s="318">
        <v>377701</v>
      </c>
      <c r="W83" s="318">
        <v>397078</v>
      </c>
      <c r="X83" s="349">
        <f>W83/R83</f>
        <v>4.4136451548362716</v>
      </c>
      <c r="Y83" s="318"/>
      <c r="Z83" s="318">
        <v>9100</v>
      </c>
      <c r="AA83" s="318"/>
      <c r="AB83" s="318">
        <v>350</v>
      </c>
      <c r="AC83" s="318"/>
      <c r="AD83" s="318"/>
      <c r="AE83" s="318"/>
      <c r="AF83" s="318"/>
      <c r="AG83" s="318"/>
      <c r="AH83" s="318"/>
      <c r="AI83" s="318"/>
      <c r="AJ83" s="301">
        <f t="shared" si="15"/>
        <v>9100</v>
      </c>
      <c r="AK83" s="318">
        <v>2472</v>
      </c>
      <c r="AL83" s="318"/>
      <c r="AM83" s="318"/>
      <c r="AN83" s="319"/>
      <c r="AO83" s="319"/>
      <c r="AP83" s="319"/>
      <c r="AQ83" s="319"/>
      <c r="AR83" s="319"/>
      <c r="AS83" s="319"/>
      <c r="AT83" s="319"/>
      <c r="AU83" s="319"/>
      <c r="AV83" s="343" t="s">
        <v>1665</v>
      </c>
    </row>
    <row r="84" spans="1:48" s="313" customFormat="1" ht="15" customHeight="1">
      <c r="A84" s="260">
        <v>321</v>
      </c>
      <c r="B84" s="266" t="s">
        <v>171</v>
      </c>
      <c r="C84" s="266" t="s">
        <v>1299</v>
      </c>
      <c r="D84" s="354">
        <v>39814</v>
      </c>
      <c r="E84" s="354">
        <v>39934</v>
      </c>
      <c r="F84" s="266" t="s">
        <v>1657</v>
      </c>
      <c r="G84" s="254" t="s">
        <v>1450</v>
      </c>
      <c r="H84" s="266" t="s">
        <v>1668</v>
      </c>
      <c r="I84" s="254" t="s">
        <v>2331</v>
      </c>
      <c r="J84" s="318">
        <v>4000</v>
      </c>
      <c r="K84" s="318">
        <v>144171</v>
      </c>
      <c r="L84" s="318">
        <v>133209</v>
      </c>
      <c r="M84" s="318">
        <v>133209</v>
      </c>
      <c r="N84" s="256">
        <f t="shared" si="14"/>
        <v>33.302250000000001</v>
      </c>
      <c r="O84" s="318">
        <v>92</v>
      </c>
      <c r="P84" s="318"/>
      <c r="Q84" s="318"/>
      <c r="R84" s="318"/>
      <c r="S84" s="319"/>
      <c r="T84" s="319"/>
      <c r="U84" s="318"/>
      <c r="V84" s="318">
        <v>300</v>
      </c>
      <c r="W84" s="318">
        <v>276</v>
      </c>
      <c r="X84" s="318"/>
      <c r="Y84" s="318"/>
      <c r="Z84" s="318"/>
      <c r="AA84" s="318">
        <v>12000</v>
      </c>
      <c r="AB84" s="318">
        <v>50</v>
      </c>
      <c r="AC84" s="318">
        <v>50</v>
      </c>
      <c r="AD84" s="318"/>
      <c r="AE84" s="318">
        <v>1800</v>
      </c>
      <c r="AF84" s="318"/>
      <c r="AG84" s="318"/>
      <c r="AH84" s="318"/>
      <c r="AI84" s="318"/>
      <c r="AJ84" s="301">
        <f t="shared" si="15"/>
        <v>12000</v>
      </c>
      <c r="AK84" s="318">
        <v>4000</v>
      </c>
      <c r="AL84" s="318">
        <v>3642</v>
      </c>
      <c r="AM84" s="318">
        <f>AL84/AJ84</f>
        <v>0.30349999999999999</v>
      </c>
      <c r="AN84" s="319"/>
      <c r="AO84" s="319"/>
      <c r="AP84" s="319"/>
      <c r="AQ84" s="319"/>
      <c r="AR84" s="319"/>
      <c r="AS84" s="319"/>
      <c r="AT84" s="319"/>
      <c r="AU84" s="319"/>
      <c r="AV84" s="343" t="s">
        <v>1667</v>
      </c>
    </row>
    <row r="85" spans="1:48" s="313" customFormat="1" ht="15" customHeight="1">
      <c r="A85" s="260">
        <v>322</v>
      </c>
      <c r="B85" s="266" t="s">
        <v>1643</v>
      </c>
      <c r="C85" s="266" t="s">
        <v>1299</v>
      </c>
      <c r="D85" s="354">
        <v>39845</v>
      </c>
      <c r="E85" s="354">
        <v>39904</v>
      </c>
      <c r="F85" s="266" t="s">
        <v>569</v>
      </c>
      <c r="G85" s="254" t="s">
        <v>1449</v>
      </c>
      <c r="H85" s="266" t="s">
        <v>1670</v>
      </c>
      <c r="I85" s="254" t="s">
        <v>2331</v>
      </c>
      <c r="J85" s="318">
        <f>200000+40576</f>
        <v>240576</v>
      </c>
      <c r="K85" s="318">
        <v>160941</v>
      </c>
      <c r="L85" s="318">
        <v>160941</v>
      </c>
      <c r="M85" s="318">
        <v>160941</v>
      </c>
      <c r="N85" s="349">
        <f t="shared" si="14"/>
        <v>0.66898194333599359</v>
      </c>
      <c r="O85" s="318">
        <v>100</v>
      </c>
      <c r="P85" s="318"/>
      <c r="Q85" s="318"/>
      <c r="R85" s="318"/>
      <c r="S85" s="319"/>
      <c r="T85" s="319"/>
      <c r="U85" s="318"/>
      <c r="V85" s="318"/>
      <c r="W85" s="318"/>
      <c r="X85" s="318"/>
      <c r="Y85" s="318"/>
      <c r="Z85" s="318"/>
      <c r="AA85" s="318">
        <f>200000+40576</f>
        <v>240576</v>
      </c>
      <c r="AB85" s="318">
        <v>150</v>
      </c>
      <c r="AC85" s="318"/>
      <c r="AD85" s="318"/>
      <c r="AE85" s="318"/>
      <c r="AF85" s="318"/>
      <c r="AG85" s="318"/>
      <c r="AH85" s="318"/>
      <c r="AI85" s="318"/>
      <c r="AJ85" s="301">
        <f t="shared" si="15"/>
        <v>240576</v>
      </c>
      <c r="AK85" s="318"/>
      <c r="AL85" s="318"/>
      <c r="AM85" s="318"/>
      <c r="AN85" s="319"/>
      <c r="AO85" s="319"/>
      <c r="AP85" s="319"/>
      <c r="AQ85" s="319"/>
      <c r="AR85" s="319"/>
      <c r="AS85" s="319"/>
      <c r="AT85" s="319"/>
      <c r="AU85" s="319"/>
      <c r="AV85" s="343" t="s">
        <v>1669</v>
      </c>
    </row>
    <row r="86" spans="1:48" s="313" customFormat="1" ht="15" customHeight="1">
      <c r="A86" s="260">
        <v>323</v>
      </c>
      <c r="B86" s="266" t="s">
        <v>1643</v>
      </c>
      <c r="C86" s="266" t="s">
        <v>1299</v>
      </c>
      <c r="D86" s="354">
        <v>39904</v>
      </c>
      <c r="E86" s="354">
        <v>39965</v>
      </c>
      <c r="F86" s="266" t="s">
        <v>284</v>
      </c>
      <c r="G86" s="254" t="s">
        <v>1449</v>
      </c>
      <c r="H86" s="313" t="s">
        <v>1672</v>
      </c>
      <c r="I86" s="254" t="s">
        <v>2331</v>
      </c>
      <c r="J86" s="297">
        <v>18412</v>
      </c>
      <c r="K86" s="318">
        <v>272842</v>
      </c>
      <c r="L86" s="318">
        <v>249251</v>
      </c>
      <c r="M86" s="318">
        <v>249251</v>
      </c>
      <c r="N86" s="256">
        <f t="shared" si="14"/>
        <v>13.537421247012817</v>
      </c>
      <c r="O86" s="318">
        <v>91</v>
      </c>
      <c r="P86" s="297">
        <v>18412</v>
      </c>
      <c r="Q86" s="318">
        <v>2420</v>
      </c>
      <c r="R86" s="297">
        <v>18412</v>
      </c>
      <c r="S86" s="319"/>
      <c r="T86" s="319"/>
      <c r="U86" s="318">
        <v>14000</v>
      </c>
      <c r="V86" s="318">
        <v>133212</v>
      </c>
      <c r="W86" s="318">
        <v>121222</v>
      </c>
      <c r="X86" s="349">
        <f>W86/R86</f>
        <v>6.5838583532478818</v>
      </c>
      <c r="Y86" s="318"/>
      <c r="Z86" s="318"/>
      <c r="AA86" s="318">
        <v>75000</v>
      </c>
      <c r="AB86" s="318">
        <v>330</v>
      </c>
      <c r="AC86" s="318"/>
      <c r="AD86" s="318"/>
      <c r="AE86" s="318"/>
      <c r="AF86" s="318"/>
      <c r="AG86" s="318"/>
      <c r="AH86" s="318">
        <v>259</v>
      </c>
      <c r="AI86" s="318"/>
      <c r="AJ86" s="301">
        <f t="shared" si="15"/>
        <v>75259</v>
      </c>
      <c r="AK86" s="318"/>
      <c r="AL86" s="318"/>
      <c r="AM86" s="318"/>
      <c r="AN86" s="319"/>
      <c r="AO86" s="319"/>
      <c r="AP86" s="319"/>
      <c r="AQ86" s="319"/>
      <c r="AR86" s="319"/>
      <c r="AS86" s="319"/>
      <c r="AT86" s="319"/>
      <c r="AU86" s="319"/>
      <c r="AV86" s="343" t="s">
        <v>1671</v>
      </c>
    </row>
    <row r="87" spans="1:48" s="313" customFormat="1" ht="15" customHeight="1">
      <c r="A87" s="260">
        <v>324</v>
      </c>
      <c r="B87" s="266" t="s">
        <v>1585</v>
      </c>
      <c r="C87" s="266" t="s">
        <v>1260</v>
      </c>
      <c r="D87" s="317">
        <v>40057</v>
      </c>
      <c r="E87" s="317">
        <v>40148</v>
      </c>
      <c r="F87" s="266" t="s">
        <v>5</v>
      </c>
      <c r="G87" s="254" t="s">
        <v>1658</v>
      </c>
      <c r="H87" s="266" t="s">
        <v>1674</v>
      </c>
      <c r="I87" s="254" t="s">
        <v>2331</v>
      </c>
      <c r="J87" s="318">
        <v>1200</v>
      </c>
      <c r="K87" s="318"/>
      <c r="L87" s="318"/>
      <c r="M87" s="318">
        <v>124836</v>
      </c>
      <c r="N87" s="256">
        <f t="shared" si="14"/>
        <v>104.03</v>
      </c>
      <c r="O87" s="318"/>
      <c r="P87" s="318"/>
      <c r="Q87" s="318"/>
      <c r="R87" s="318"/>
      <c r="S87" s="319"/>
      <c r="T87" s="319"/>
      <c r="U87" s="318"/>
      <c r="V87" s="318"/>
      <c r="W87" s="318"/>
      <c r="X87" s="318"/>
      <c r="Y87" s="318"/>
      <c r="Z87" s="318"/>
      <c r="AA87" s="318"/>
      <c r="AB87" s="318"/>
      <c r="AC87" s="318"/>
      <c r="AD87" s="318"/>
      <c r="AE87" s="318"/>
      <c r="AF87" s="318"/>
      <c r="AG87" s="318"/>
      <c r="AH87" s="318"/>
      <c r="AI87" s="318"/>
      <c r="AJ87" s="288">
        <f t="shared" si="15"/>
        <v>0</v>
      </c>
      <c r="AK87" s="318"/>
      <c r="AL87" s="318"/>
      <c r="AM87" s="318"/>
      <c r="AN87" s="319"/>
      <c r="AO87" s="319"/>
      <c r="AP87" s="319"/>
      <c r="AQ87" s="319"/>
      <c r="AR87" s="319"/>
      <c r="AS87" s="319"/>
      <c r="AT87" s="319"/>
      <c r="AU87" s="319"/>
      <c r="AV87" s="266" t="s">
        <v>1673</v>
      </c>
    </row>
    <row r="88" spans="1:48" s="313" customFormat="1" ht="15" customHeight="1">
      <c r="A88" s="260">
        <v>325</v>
      </c>
      <c r="B88" s="278" t="s">
        <v>4</v>
      </c>
      <c r="C88" s="266" t="s">
        <v>1260</v>
      </c>
      <c r="D88" s="317">
        <v>40057</v>
      </c>
      <c r="E88" s="317">
        <v>40118</v>
      </c>
      <c r="F88" s="266" t="s">
        <v>24</v>
      </c>
      <c r="G88" s="254" t="s">
        <v>1454</v>
      </c>
      <c r="H88" s="266" t="s">
        <v>1676</v>
      </c>
      <c r="I88" s="254" t="s">
        <v>2331</v>
      </c>
      <c r="J88" s="318">
        <v>750</v>
      </c>
      <c r="K88" s="318"/>
      <c r="L88" s="318"/>
      <c r="M88" s="318">
        <v>61016</v>
      </c>
      <c r="N88" s="256">
        <f t="shared" si="14"/>
        <v>81.35466666666666</v>
      </c>
      <c r="O88" s="318"/>
      <c r="P88" s="318"/>
      <c r="Q88" s="318"/>
      <c r="R88" s="318"/>
      <c r="S88" s="319"/>
      <c r="T88" s="319"/>
      <c r="U88" s="318"/>
      <c r="V88" s="318"/>
      <c r="W88" s="318"/>
      <c r="X88" s="318"/>
      <c r="Y88" s="318"/>
      <c r="Z88" s="318"/>
      <c r="AA88" s="318"/>
      <c r="AB88" s="318"/>
      <c r="AC88" s="318"/>
      <c r="AD88" s="318"/>
      <c r="AE88" s="318"/>
      <c r="AF88" s="318"/>
      <c r="AG88" s="318"/>
      <c r="AH88" s="318"/>
      <c r="AI88" s="318"/>
      <c r="AJ88" s="288">
        <f t="shared" si="15"/>
        <v>0</v>
      </c>
      <c r="AK88" s="318"/>
      <c r="AL88" s="318"/>
      <c r="AM88" s="318"/>
      <c r="AN88" s="319"/>
      <c r="AO88" s="319"/>
      <c r="AP88" s="319"/>
      <c r="AQ88" s="319"/>
      <c r="AR88" s="319"/>
      <c r="AS88" s="319"/>
      <c r="AT88" s="319"/>
      <c r="AU88" s="319"/>
      <c r="AV88" s="266" t="s">
        <v>1675</v>
      </c>
    </row>
    <row r="89" spans="1:48" s="313" customFormat="1" ht="15" customHeight="1">
      <c r="A89" s="260">
        <v>326</v>
      </c>
      <c r="B89" s="266" t="s">
        <v>1073</v>
      </c>
      <c r="C89" s="266" t="s">
        <v>1286</v>
      </c>
      <c r="D89" s="317">
        <v>40057</v>
      </c>
      <c r="E89" s="317">
        <v>40148</v>
      </c>
      <c r="F89" s="266" t="s">
        <v>1216</v>
      </c>
      <c r="G89" s="254" t="s">
        <v>1452</v>
      </c>
      <c r="H89" s="266" t="s">
        <v>1678</v>
      </c>
      <c r="I89" s="254" t="s">
        <v>2331</v>
      </c>
      <c r="J89" s="318"/>
      <c r="K89" s="318"/>
      <c r="L89" s="318"/>
      <c r="M89" s="318">
        <v>25146.3</v>
      </c>
      <c r="N89" s="256"/>
      <c r="O89" s="318"/>
      <c r="P89" s="318"/>
      <c r="Q89" s="318"/>
      <c r="R89" s="318"/>
      <c r="S89" s="319"/>
      <c r="T89" s="319"/>
      <c r="U89" s="318"/>
      <c r="V89" s="318"/>
      <c r="W89" s="318"/>
      <c r="X89" s="318"/>
      <c r="Y89" s="318"/>
      <c r="Z89" s="318"/>
      <c r="AA89" s="318"/>
      <c r="AB89" s="318"/>
      <c r="AC89" s="318"/>
      <c r="AD89" s="318"/>
      <c r="AE89" s="318"/>
      <c r="AF89" s="318"/>
      <c r="AG89" s="318"/>
      <c r="AH89" s="318"/>
      <c r="AI89" s="318"/>
      <c r="AJ89" s="288">
        <f t="shared" si="15"/>
        <v>0</v>
      </c>
      <c r="AK89" s="318"/>
      <c r="AL89" s="318"/>
      <c r="AM89" s="318"/>
      <c r="AN89" s="319"/>
      <c r="AO89" s="319"/>
      <c r="AP89" s="319"/>
      <c r="AQ89" s="319"/>
      <c r="AR89" s="319"/>
      <c r="AS89" s="319"/>
      <c r="AT89" s="319"/>
      <c r="AU89" s="319"/>
      <c r="AV89" s="266" t="s">
        <v>1677</v>
      </c>
    </row>
    <row r="90" spans="1:48" s="313" customFormat="1" ht="15" customHeight="1">
      <c r="A90" s="260">
        <v>327</v>
      </c>
      <c r="B90" s="259" t="s">
        <v>1994</v>
      </c>
      <c r="C90" s="266" t="s">
        <v>1261</v>
      </c>
      <c r="D90" s="317">
        <v>40087</v>
      </c>
      <c r="E90" s="317">
        <v>40148</v>
      </c>
      <c r="F90" s="266" t="s">
        <v>1680</v>
      </c>
      <c r="G90" s="254" t="s">
        <v>1450</v>
      </c>
      <c r="H90" s="266" t="s">
        <v>1681</v>
      </c>
      <c r="I90" s="254" t="s">
        <v>2331</v>
      </c>
      <c r="J90" s="318">
        <v>6000</v>
      </c>
      <c r="K90" s="318"/>
      <c r="L90" s="318"/>
      <c r="M90" s="318">
        <v>49961.68</v>
      </c>
      <c r="N90" s="256">
        <f t="shared" si="14"/>
        <v>8.3269466666666663</v>
      </c>
      <c r="O90" s="318"/>
      <c r="P90" s="318"/>
      <c r="Q90" s="318"/>
      <c r="R90" s="318"/>
      <c r="S90" s="319"/>
      <c r="T90" s="319"/>
      <c r="U90" s="318"/>
      <c r="V90" s="318"/>
      <c r="W90" s="318"/>
      <c r="X90" s="318"/>
      <c r="Y90" s="318"/>
      <c r="Z90" s="318"/>
      <c r="AA90" s="318"/>
      <c r="AB90" s="318"/>
      <c r="AC90" s="318"/>
      <c r="AD90" s="318"/>
      <c r="AE90" s="318"/>
      <c r="AF90" s="318"/>
      <c r="AG90" s="318"/>
      <c r="AH90" s="318"/>
      <c r="AI90" s="318"/>
      <c r="AJ90" s="288">
        <f t="shared" si="15"/>
        <v>0</v>
      </c>
      <c r="AK90" s="318"/>
      <c r="AL90" s="318"/>
      <c r="AM90" s="318"/>
      <c r="AN90" s="319"/>
      <c r="AO90" s="319"/>
      <c r="AP90" s="319"/>
      <c r="AQ90" s="319"/>
      <c r="AR90" s="319"/>
      <c r="AS90" s="319"/>
      <c r="AT90" s="319"/>
      <c r="AU90" s="319"/>
      <c r="AV90" s="266" t="s">
        <v>1679</v>
      </c>
    </row>
    <row r="91" spans="1:48" s="313" customFormat="1" ht="15" customHeight="1">
      <c r="A91" s="260">
        <v>328</v>
      </c>
      <c r="B91" s="266" t="s">
        <v>162</v>
      </c>
      <c r="C91" s="266" t="s">
        <v>1286</v>
      </c>
      <c r="D91" s="317">
        <v>40057</v>
      </c>
      <c r="E91" s="317">
        <v>40148</v>
      </c>
      <c r="F91" s="266" t="s">
        <v>1683</v>
      </c>
      <c r="G91" s="254" t="s">
        <v>1450</v>
      </c>
      <c r="H91" s="266" t="s">
        <v>1684</v>
      </c>
      <c r="I91" s="254" t="s">
        <v>2331</v>
      </c>
      <c r="J91" s="318">
        <v>15000</v>
      </c>
      <c r="K91" s="318"/>
      <c r="L91" s="318"/>
      <c r="M91" s="318">
        <v>159513.64000000001</v>
      </c>
      <c r="N91" s="256">
        <f t="shared" si="14"/>
        <v>10.634242666666667</v>
      </c>
      <c r="O91" s="318"/>
      <c r="P91" s="318"/>
      <c r="Q91" s="318"/>
      <c r="R91" s="318"/>
      <c r="S91" s="319"/>
      <c r="T91" s="319"/>
      <c r="U91" s="318"/>
      <c r="V91" s="318"/>
      <c r="W91" s="318"/>
      <c r="X91" s="318"/>
      <c r="Y91" s="318"/>
      <c r="Z91" s="318"/>
      <c r="AA91" s="318"/>
      <c r="AB91" s="318"/>
      <c r="AC91" s="318"/>
      <c r="AD91" s="318"/>
      <c r="AE91" s="318"/>
      <c r="AF91" s="318"/>
      <c r="AG91" s="318"/>
      <c r="AH91" s="318"/>
      <c r="AI91" s="318"/>
      <c r="AJ91" s="288">
        <f t="shared" si="15"/>
        <v>0</v>
      </c>
      <c r="AK91" s="318"/>
      <c r="AL91" s="318"/>
      <c r="AM91" s="318"/>
      <c r="AN91" s="319"/>
      <c r="AO91" s="319"/>
      <c r="AP91" s="319"/>
      <c r="AQ91" s="319"/>
      <c r="AR91" s="319"/>
      <c r="AS91" s="319"/>
      <c r="AT91" s="319"/>
      <c r="AU91" s="319"/>
      <c r="AV91" s="343" t="s">
        <v>1682</v>
      </c>
    </row>
    <row r="92" spans="1:48" s="313" customFormat="1" ht="15" customHeight="1">
      <c r="A92" s="260">
        <v>329</v>
      </c>
      <c r="B92" s="266" t="s">
        <v>933</v>
      </c>
      <c r="C92" s="266" t="s">
        <v>1286</v>
      </c>
      <c r="D92" s="317">
        <v>40118</v>
      </c>
      <c r="E92" s="317">
        <v>40210</v>
      </c>
      <c r="F92" s="266" t="s">
        <v>5</v>
      </c>
      <c r="G92" s="254" t="s">
        <v>1658</v>
      </c>
      <c r="H92" s="266" t="s">
        <v>1686</v>
      </c>
      <c r="I92" s="254" t="s">
        <v>2331</v>
      </c>
      <c r="J92" s="318">
        <v>4750</v>
      </c>
      <c r="K92" s="318"/>
      <c r="L92" s="318"/>
      <c r="M92" s="318">
        <v>107272.55</v>
      </c>
      <c r="N92" s="256">
        <f t="shared" si="14"/>
        <v>22.583694736842105</v>
      </c>
      <c r="O92" s="318"/>
      <c r="P92" s="318"/>
      <c r="Q92" s="318"/>
      <c r="R92" s="318"/>
      <c r="S92" s="319"/>
      <c r="T92" s="319"/>
      <c r="U92" s="318"/>
      <c r="V92" s="318"/>
      <c r="W92" s="318"/>
      <c r="X92" s="318"/>
      <c r="Y92" s="318"/>
      <c r="Z92" s="318"/>
      <c r="AA92" s="318"/>
      <c r="AB92" s="318"/>
      <c r="AC92" s="318"/>
      <c r="AD92" s="318"/>
      <c r="AE92" s="318"/>
      <c r="AF92" s="318"/>
      <c r="AG92" s="318"/>
      <c r="AH92" s="318"/>
      <c r="AI92" s="318"/>
      <c r="AJ92" s="288">
        <f t="shared" si="15"/>
        <v>0</v>
      </c>
      <c r="AK92" s="318"/>
      <c r="AL92" s="318"/>
      <c r="AM92" s="318"/>
      <c r="AN92" s="319"/>
      <c r="AO92" s="319"/>
      <c r="AP92" s="319"/>
      <c r="AQ92" s="319"/>
      <c r="AR92" s="319"/>
      <c r="AS92" s="319"/>
      <c r="AT92" s="319"/>
      <c r="AU92" s="319"/>
      <c r="AV92" s="266" t="s">
        <v>1685</v>
      </c>
    </row>
    <row r="93" spans="1:48" s="313" customFormat="1" ht="15" customHeight="1">
      <c r="A93" s="260">
        <v>330</v>
      </c>
      <c r="B93" s="266" t="s">
        <v>446</v>
      </c>
      <c r="C93" s="266" t="s">
        <v>1261</v>
      </c>
      <c r="D93" s="317">
        <v>40087</v>
      </c>
      <c r="E93" s="317">
        <v>40269</v>
      </c>
      <c r="F93" s="266" t="s">
        <v>1469</v>
      </c>
      <c r="G93" s="254" t="s">
        <v>1658</v>
      </c>
      <c r="H93" s="266" t="s">
        <v>1688</v>
      </c>
      <c r="I93" s="254" t="s">
        <v>2331</v>
      </c>
      <c r="J93" s="318">
        <v>20000</v>
      </c>
      <c r="K93" s="318"/>
      <c r="L93" s="318"/>
      <c r="M93" s="318">
        <v>277112.56</v>
      </c>
      <c r="N93" s="256">
        <f t="shared" si="14"/>
        <v>13.855627999999999</v>
      </c>
      <c r="O93" s="318"/>
      <c r="P93" s="318"/>
      <c r="Q93" s="318"/>
      <c r="R93" s="318"/>
      <c r="S93" s="319"/>
      <c r="T93" s="319"/>
      <c r="U93" s="318"/>
      <c r="V93" s="318"/>
      <c r="W93" s="318"/>
      <c r="X93" s="318"/>
      <c r="Y93" s="318"/>
      <c r="Z93" s="318"/>
      <c r="AA93" s="318"/>
      <c r="AB93" s="318"/>
      <c r="AC93" s="318"/>
      <c r="AD93" s="318"/>
      <c r="AE93" s="318"/>
      <c r="AF93" s="318"/>
      <c r="AG93" s="318"/>
      <c r="AH93" s="318"/>
      <c r="AI93" s="318"/>
      <c r="AJ93" s="288">
        <f t="shared" si="15"/>
        <v>0</v>
      </c>
      <c r="AK93" s="318"/>
      <c r="AL93" s="318"/>
      <c r="AM93" s="318"/>
      <c r="AN93" s="319"/>
      <c r="AO93" s="319"/>
      <c r="AP93" s="319"/>
      <c r="AQ93" s="319"/>
      <c r="AR93" s="319"/>
      <c r="AS93" s="319"/>
      <c r="AT93" s="319"/>
      <c r="AU93" s="319"/>
      <c r="AV93" s="266" t="s">
        <v>1687</v>
      </c>
    </row>
    <row r="94" spans="1:48" s="313" customFormat="1" ht="15" customHeight="1">
      <c r="A94" s="260">
        <v>331</v>
      </c>
      <c r="B94" s="266" t="s">
        <v>1475</v>
      </c>
      <c r="C94" s="266" t="s">
        <v>1286</v>
      </c>
      <c r="D94" s="317">
        <v>40118</v>
      </c>
      <c r="E94" s="317">
        <v>40210</v>
      </c>
      <c r="F94" s="266" t="s">
        <v>5</v>
      </c>
      <c r="G94" s="254" t="s">
        <v>1658</v>
      </c>
      <c r="H94" s="266" t="s">
        <v>1690</v>
      </c>
      <c r="I94" s="254" t="s">
        <v>2331</v>
      </c>
      <c r="J94" s="318">
        <v>10680</v>
      </c>
      <c r="K94" s="318"/>
      <c r="L94" s="318"/>
      <c r="M94" s="318">
        <v>242712.41</v>
      </c>
      <c r="N94" s="256">
        <f t="shared" si="14"/>
        <v>22.725881086142323</v>
      </c>
      <c r="O94" s="318"/>
      <c r="P94" s="318"/>
      <c r="Q94" s="318"/>
      <c r="R94" s="318"/>
      <c r="S94" s="319"/>
      <c r="T94" s="319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  <c r="AF94" s="318"/>
      <c r="AG94" s="318"/>
      <c r="AH94" s="318"/>
      <c r="AI94" s="318"/>
      <c r="AJ94" s="288">
        <f t="shared" si="15"/>
        <v>0</v>
      </c>
      <c r="AK94" s="318"/>
      <c r="AL94" s="318"/>
      <c r="AM94" s="318"/>
      <c r="AN94" s="319"/>
      <c r="AO94" s="319"/>
      <c r="AP94" s="319"/>
      <c r="AQ94" s="319"/>
      <c r="AR94" s="319"/>
      <c r="AS94" s="319"/>
      <c r="AT94" s="319"/>
      <c r="AU94" s="319"/>
      <c r="AV94" s="266" t="s">
        <v>1689</v>
      </c>
    </row>
    <row r="95" spans="1:48" s="313" customFormat="1" ht="15" customHeight="1">
      <c r="A95" s="260">
        <v>332</v>
      </c>
      <c r="B95" s="266" t="s">
        <v>452</v>
      </c>
      <c r="C95" s="316" t="s">
        <v>1278</v>
      </c>
      <c r="D95" s="317">
        <v>39814</v>
      </c>
      <c r="E95" s="317">
        <v>39965</v>
      </c>
      <c r="F95" s="266" t="s">
        <v>1950</v>
      </c>
      <c r="G95" s="254" t="s">
        <v>1452</v>
      </c>
      <c r="H95" s="266" t="s">
        <v>704</v>
      </c>
      <c r="I95" s="254" t="s">
        <v>2331</v>
      </c>
      <c r="J95" s="318">
        <v>800</v>
      </c>
      <c r="K95" s="318">
        <v>446524</v>
      </c>
      <c r="L95" s="318">
        <v>381921</v>
      </c>
      <c r="M95" s="318">
        <v>381921</v>
      </c>
      <c r="N95" s="256">
        <f t="shared" si="14"/>
        <v>477.40125</v>
      </c>
      <c r="O95" s="318">
        <v>86</v>
      </c>
      <c r="P95" s="318"/>
      <c r="Q95" s="318"/>
      <c r="R95" s="318"/>
      <c r="S95" s="319"/>
      <c r="T95" s="319"/>
      <c r="U95" s="318"/>
      <c r="V95" s="318">
        <v>5000</v>
      </c>
      <c r="W95" s="318">
        <f>0.86*V95</f>
        <v>4300</v>
      </c>
      <c r="X95" s="318"/>
      <c r="Y95" s="318">
        <v>967</v>
      </c>
      <c r="Z95" s="318">
        <v>800</v>
      </c>
      <c r="AA95" s="318"/>
      <c r="AB95" s="318">
        <v>100</v>
      </c>
      <c r="AC95" s="318"/>
      <c r="AD95" s="318"/>
      <c r="AE95" s="318"/>
      <c r="AF95" s="318"/>
      <c r="AG95" s="318"/>
      <c r="AH95" s="297"/>
      <c r="AI95" s="318"/>
      <c r="AJ95" s="301">
        <f t="shared" si="15"/>
        <v>800</v>
      </c>
      <c r="AK95" s="318">
        <v>3500</v>
      </c>
      <c r="AL95" s="318">
        <f>0.86*AK95</f>
        <v>3010</v>
      </c>
      <c r="AM95" s="318">
        <f>AL95/AJ95</f>
        <v>3.7625000000000002</v>
      </c>
      <c r="AN95" s="319"/>
      <c r="AO95" s="319"/>
      <c r="AP95" s="319"/>
      <c r="AQ95" s="319"/>
      <c r="AR95" s="319"/>
      <c r="AS95" s="319"/>
      <c r="AT95" s="319"/>
      <c r="AU95" s="319"/>
      <c r="AV95" s="266" t="s">
        <v>703</v>
      </c>
    </row>
    <row r="97" spans="1:48" s="1" customFormat="1">
      <c r="A97" s="511" t="s">
        <v>1521</v>
      </c>
      <c r="B97" s="511"/>
      <c r="C97" s="511"/>
      <c r="D97" s="511"/>
      <c r="E97" s="511"/>
      <c r="F97" s="511"/>
      <c r="G97" s="511"/>
      <c r="H97" s="511"/>
      <c r="I97" s="511"/>
      <c r="J97" s="511">
        <f>SUBTOTAL(9,J3:J95)</f>
        <v>38774110</v>
      </c>
      <c r="K97" s="511">
        <f t="shared" ref="K97:L97" si="17">SUBTOTAL(9,K3:K95)</f>
        <v>72860907</v>
      </c>
      <c r="L97" s="511">
        <f t="shared" si="17"/>
        <v>58137427</v>
      </c>
      <c r="M97" s="511">
        <f>SUBTOTAL(9,M3:M95)</f>
        <v>54995130.139999993</v>
      </c>
      <c r="N97" s="511">
        <f>SUBTOTAL(1,N3:N95)</f>
        <v>37.98360180496703</v>
      </c>
      <c r="O97" s="511">
        <f>SUBTOTAL(1,O3:O95)</f>
        <v>88.500321117828662</v>
      </c>
      <c r="P97" s="511">
        <f>SUBTOTAL(9,P3:P95)</f>
        <v>2428623</v>
      </c>
      <c r="Q97" s="511">
        <f t="shared" ref="Q97:W97" si="18">SUBTOTAL(9,Q3:Q95)</f>
        <v>710693</v>
      </c>
      <c r="R97" s="511">
        <f t="shared" si="18"/>
        <v>2568951</v>
      </c>
      <c r="S97" s="511">
        <f t="shared" si="18"/>
        <v>0</v>
      </c>
      <c r="T97" s="511">
        <f t="shared" si="18"/>
        <v>4667</v>
      </c>
      <c r="U97" s="511">
        <f t="shared" si="18"/>
        <v>4638770</v>
      </c>
      <c r="V97" s="511">
        <f t="shared" si="18"/>
        <v>6493445</v>
      </c>
      <c r="W97" s="511">
        <f t="shared" si="18"/>
        <v>4323180.16</v>
      </c>
      <c r="X97" s="511">
        <f>SUBTOTAL(1,X3:X95)</f>
        <v>10.298396539713284</v>
      </c>
      <c r="Y97" s="511">
        <f>SUBTOTAL(9,Y3:Y95)</f>
        <v>10744685</v>
      </c>
      <c r="Z97" s="511">
        <f>SUBTOTAL(9,Z3:Z95)</f>
        <v>174159</v>
      </c>
      <c r="AA97" s="511">
        <f>SUBTOTAL(9,AA3:AA95)</f>
        <v>12435566</v>
      </c>
      <c r="AB97" s="511">
        <f t="shared" ref="AB97:AI97" si="19">SUBTOTAL(9,AB3:AB95)</f>
        <v>37427</v>
      </c>
      <c r="AC97" s="511">
        <f t="shared" si="19"/>
        <v>1342</v>
      </c>
      <c r="AD97" s="511">
        <f t="shared" si="19"/>
        <v>0</v>
      </c>
      <c r="AE97" s="511">
        <f t="shared" si="19"/>
        <v>137430</v>
      </c>
      <c r="AF97" s="511">
        <f t="shared" si="19"/>
        <v>0</v>
      </c>
      <c r="AG97" s="511">
        <f t="shared" si="19"/>
        <v>7200</v>
      </c>
      <c r="AH97" s="511">
        <f t="shared" si="19"/>
        <v>120851</v>
      </c>
      <c r="AI97" s="511">
        <f t="shared" si="19"/>
        <v>554</v>
      </c>
      <c r="AJ97" s="511">
        <f t="shared" ref="AJ97:AL97" si="20">SUBTOTAL(9,AJ3:AJ95)</f>
        <v>12730576</v>
      </c>
      <c r="AK97" s="511">
        <f t="shared" si="20"/>
        <v>1019872</v>
      </c>
      <c r="AL97" s="511">
        <f t="shared" si="20"/>
        <v>772984.9</v>
      </c>
      <c r="AM97" s="511">
        <f>SUBTOTAL(1,AM3:AM95)</f>
        <v>25.478883160904655</v>
      </c>
      <c r="AN97" s="511"/>
      <c r="AO97" s="511"/>
      <c r="AP97" s="511"/>
      <c r="AQ97" s="511"/>
      <c r="AR97" s="511"/>
      <c r="AS97" s="511"/>
      <c r="AT97" s="511"/>
      <c r="AU97" s="511"/>
      <c r="AV97" s="511"/>
    </row>
  </sheetData>
  <autoFilter ref="A2:AV95"/>
  <mergeCells count="10">
    <mergeCell ref="AO1:AS1"/>
    <mergeCell ref="AT1:AU1"/>
    <mergeCell ref="AV1:AV2"/>
    <mergeCell ref="J1:O1"/>
    <mergeCell ref="P1:R1"/>
    <mergeCell ref="S1:U1"/>
    <mergeCell ref="V1:X1"/>
    <mergeCell ref="Y1:AI1"/>
    <mergeCell ref="AJ1:AJ2"/>
    <mergeCell ref="AK1:AM1"/>
  </mergeCells>
  <hyperlinks>
    <hyperlink ref="AV51" r:id="rId1"/>
    <hyperlink ref="AV47" r:id="rId2"/>
    <hyperlink ref="AV15" r:id="rId3"/>
    <hyperlink ref="AV7:AV8" r:id="rId4" display="http://www.ifrc.org/docs/appeals/09/MDRPK003%20final.pdf"/>
    <hyperlink ref="AV20" r:id="rId5"/>
    <hyperlink ref="AV54" r:id="rId6"/>
    <hyperlink ref="AV9:AV13" r:id="rId7" display="http://www.ifrc.org/docs/appeals/09/MDRPK003%20final.pdf"/>
    <hyperlink ref="AV21" r:id="rId8"/>
    <hyperlink ref="AV50" r:id="rId9"/>
    <hyperlink ref="AV12" r:id="rId10"/>
    <hyperlink ref="AV5" r:id="rId11"/>
    <hyperlink ref="AV60" r:id="rId12" display="http://www.ifrc.org/docs/appeals/08/MDRVN005FR.pdf"/>
    <hyperlink ref="AV48:AV50" r:id="rId13" display="http://www.ifrc.org/docs/appeals/08/MDRVN005FR.pdf"/>
    <hyperlink ref="AV57" r:id="rId14" display="http://www.ifrc.org/docs/appeals/08/MDRVN005FR.pdf"/>
    <hyperlink ref="AV42" r:id="rId15"/>
    <hyperlink ref="AV8" r:id="rId16"/>
    <hyperlink ref="AV54:AV55" r:id="rId17" display="http://www.ifrc.org/docs/appeals/08/MDRVN005FR.pdf"/>
    <hyperlink ref="AV27" r:id="rId18"/>
    <hyperlink ref="AV56" r:id="rId19" display="http://www.ifrc.org/docs/appeals/08/MDRVN005FR.pdf"/>
    <hyperlink ref="AV55" r:id="rId20"/>
    <hyperlink ref="AV58:AV59" r:id="rId21" display="http://www.ifrc.org/docs/appeals/08/MDRVN005FR.pdf"/>
    <hyperlink ref="AV29" r:id="rId22"/>
    <hyperlink ref="AV18" r:id="rId23"/>
    <hyperlink ref="AV22" r:id="rId24"/>
    <hyperlink ref="AV25" r:id="rId25"/>
    <hyperlink ref="AV6" r:id="rId26"/>
    <hyperlink ref="AV58" r:id="rId27"/>
    <hyperlink ref="AV28" r:id="rId28"/>
    <hyperlink ref="AV32" r:id="rId29"/>
    <hyperlink ref="AV33" r:id="rId30"/>
    <hyperlink ref="AV34" r:id="rId31"/>
    <hyperlink ref="AV3" r:id="rId32"/>
    <hyperlink ref="AV52:AV53" r:id="rId33" display="http://www.ifrc.org/docs/appeals/08/MDRVN005FR.pdf"/>
    <hyperlink ref="AV52" r:id="rId34"/>
    <hyperlink ref="AV53" r:id="rId35"/>
    <hyperlink ref="AV59" r:id="rId36"/>
    <hyperlink ref="AV61" r:id="rId37"/>
    <hyperlink ref="AV62" r:id="rId38"/>
    <hyperlink ref="AV66" r:id="rId39"/>
    <hyperlink ref="AV65" r:id="rId40"/>
    <hyperlink ref="AV67" r:id="rId41"/>
    <hyperlink ref="AV68" r:id="rId42"/>
    <hyperlink ref="AV69" r:id="rId43"/>
    <hyperlink ref="AV70" r:id="rId44"/>
    <hyperlink ref="AV71" r:id="rId45"/>
    <hyperlink ref="AV72" r:id="rId46"/>
    <hyperlink ref="AV73" r:id="rId47"/>
    <hyperlink ref="AV74" r:id="rId48"/>
    <hyperlink ref="AV75" r:id="rId49"/>
    <hyperlink ref="AV76" r:id="rId50"/>
    <hyperlink ref="AV77" r:id="rId51"/>
    <hyperlink ref="AV78" r:id="rId52"/>
    <hyperlink ref="AV79" r:id="rId53"/>
    <hyperlink ref="AV80" r:id="rId54"/>
    <hyperlink ref="AV81" r:id="rId55"/>
    <hyperlink ref="AV82" r:id="rId56"/>
    <hyperlink ref="AV83" r:id="rId57"/>
    <hyperlink ref="AV84" r:id="rId58"/>
    <hyperlink ref="AV85" r:id="rId59"/>
    <hyperlink ref="AV86" r:id="rId60"/>
    <hyperlink ref="AV91" r:id="rId61"/>
    <hyperlink ref="AV43" r:id="rId62"/>
    <hyperlink ref="AV13" r:id="rId63"/>
    <hyperlink ref="AV63" r:id="rId64"/>
  </hyperlinks>
  <pageMargins left="0.7" right="0.7" top="0.75" bottom="0.75" header="0.3" footer="0.3"/>
  <legacyDrawing r:id="rId65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105"/>
  <sheetViews>
    <sheetView workbookViewId="0">
      <pane ySplit="1" topLeftCell="A2" activePane="bottomLeft" state="frozen"/>
      <selection activeCell="E1" sqref="E1"/>
      <selection pane="bottomLeft" activeCell="P108" sqref="P108"/>
    </sheetView>
  </sheetViews>
  <sheetFormatPr defaultRowHeight="12.75"/>
  <cols>
    <col min="10" max="10" width="11.85546875" customWidth="1"/>
    <col min="11" max="11" width="13" customWidth="1"/>
    <col min="12" max="12" width="11.140625" customWidth="1"/>
    <col min="13" max="13" width="12.5703125" customWidth="1"/>
    <col min="22" max="22" width="12.140625" customWidth="1"/>
  </cols>
  <sheetData>
    <row r="1" spans="1:66" s="495" customFormat="1" ht="60" customHeight="1">
      <c r="A1" s="497" t="s">
        <v>3</v>
      </c>
      <c r="B1" s="497" t="s">
        <v>46</v>
      </c>
      <c r="C1" s="498" t="s">
        <v>1038</v>
      </c>
      <c r="D1" s="493" t="s">
        <v>41</v>
      </c>
      <c r="E1" s="493"/>
      <c r="F1" s="492" t="s">
        <v>42</v>
      </c>
      <c r="G1" s="497" t="s">
        <v>1448</v>
      </c>
      <c r="H1" s="497" t="s">
        <v>2436</v>
      </c>
      <c r="I1" s="499" t="s">
        <v>2439</v>
      </c>
      <c r="J1" s="1050" t="s">
        <v>1505</v>
      </c>
      <c r="K1" s="1051"/>
      <c r="L1" s="1051"/>
      <c r="M1" s="1051"/>
      <c r="N1" s="1051"/>
      <c r="O1" s="1052"/>
      <c r="P1" s="1053" t="s">
        <v>2442</v>
      </c>
      <c r="Q1" s="1054"/>
      <c r="R1" s="1055"/>
      <c r="S1" s="1053" t="s">
        <v>2445</v>
      </c>
      <c r="T1" s="1054"/>
      <c r="U1" s="1056"/>
      <c r="V1" s="1057" t="s">
        <v>2434</v>
      </c>
      <c r="W1" s="1058"/>
      <c r="X1" s="1059"/>
      <c r="Y1" s="1060" t="s">
        <v>31</v>
      </c>
      <c r="Z1" s="1061"/>
      <c r="AA1" s="1061"/>
      <c r="AB1" s="1061"/>
      <c r="AC1" s="1061"/>
      <c r="AD1" s="1061"/>
      <c r="AE1" s="1061"/>
      <c r="AF1" s="1061"/>
      <c r="AG1" s="1061"/>
      <c r="AH1" s="1061"/>
      <c r="AI1" s="1062"/>
      <c r="AJ1" s="1065" t="s">
        <v>1557</v>
      </c>
      <c r="AK1" s="1063" t="s">
        <v>2435</v>
      </c>
      <c r="AL1" s="1064"/>
      <c r="AM1" s="1067"/>
      <c r="AN1" s="494"/>
      <c r="AO1" s="1044" t="s">
        <v>35</v>
      </c>
      <c r="AP1" s="1045"/>
      <c r="AQ1" s="1045"/>
      <c r="AR1" s="1045"/>
      <c r="AS1" s="1046"/>
      <c r="AT1" s="1047" t="s">
        <v>112</v>
      </c>
      <c r="AU1" s="1046"/>
      <c r="AV1" s="1048" t="s">
        <v>51</v>
      </c>
    </row>
    <row r="2" spans="1:66" s="496" customFormat="1" ht="48" customHeight="1">
      <c r="A2" s="244"/>
      <c r="B2" s="244"/>
      <c r="C2" s="245"/>
      <c r="D2" s="247" t="s">
        <v>108</v>
      </c>
      <c r="E2" s="247" t="s">
        <v>107</v>
      </c>
      <c r="F2" s="244"/>
      <c r="G2" s="244"/>
      <c r="H2" s="244"/>
      <c r="I2" s="251"/>
      <c r="J2" s="246" t="s">
        <v>13</v>
      </c>
      <c r="K2" s="246" t="s">
        <v>45</v>
      </c>
      <c r="L2" s="250" t="s">
        <v>111</v>
      </c>
      <c r="M2" s="246" t="s">
        <v>67</v>
      </c>
      <c r="N2" s="500" t="s">
        <v>2299</v>
      </c>
      <c r="O2" s="246" t="s">
        <v>115</v>
      </c>
      <c r="P2" s="478" t="s">
        <v>2443</v>
      </c>
      <c r="Q2" s="249" t="s">
        <v>2444</v>
      </c>
      <c r="R2" s="249" t="s">
        <v>50</v>
      </c>
      <c r="S2" s="248" t="s">
        <v>93</v>
      </c>
      <c r="T2" s="248" t="s">
        <v>92</v>
      </c>
      <c r="U2" s="248" t="s">
        <v>91</v>
      </c>
      <c r="V2" s="249" t="s">
        <v>48</v>
      </c>
      <c r="W2" s="249" t="s">
        <v>49</v>
      </c>
      <c r="X2" s="501" t="s">
        <v>2360</v>
      </c>
      <c r="Y2" s="471" t="s">
        <v>38</v>
      </c>
      <c r="Z2" s="471" t="s">
        <v>76</v>
      </c>
      <c r="AA2" s="471" t="s">
        <v>77</v>
      </c>
      <c r="AB2" s="471" t="s">
        <v>82</v>
      </c>
      <c r="AC2" s="471" t="s">
        <v>109</v>
      </c>
      <c r="AD2" s="471" t="s">
        <v>110</v>
      </c>
      <c r="AE2" s="471" t="s">
        <v>81</v>
      </c>
      <c r="AF2" s="471" t="s">
        <v>33</v>
      </c>
      <c r="AG2" s="471" t="s">
        <v>34</v>
      </c>
      <c r="AH2" s="471" t="s">
        <v>32</v>
      </c>
      <c r="AI2" s="472" t="s">
        <v>86</v>
      </c>
      <c r="AJ2" s="1066"/>
      <c r="AK2" s="477" t="s">
        <v>47</v>
      </c>
      <c r="AL2" s="477" t="s">
        <v>74</v>
      </c>
      <c r="AM2" s="512" t="s">
        <v>2446</v>
      </c>
      <c r="AN2" s="479" t="s">
        <v>0</v>
      </c>
      <c r="AO2" s="480" t="s">
        <v>57</v>
      </c>
      <c r="AP2" s="480" t="s">
        <v>39</v>
      </c>
      <c r="AQ2" s="480" t="s">
        <v>40</v>
      </c>
      <c r="AR2" s="480" t="s">
        <v>37</v>
      </c>
      <c r="AS2" s="480" t="s">
        <v>36</v>
      </c>
      <c r="AT2" s="480" t="s">
        <v>113</v>
      </c>
      <c r="AU2" s="479" t="s">
        <v>114</v>
      </c>
      <c r="AV2" s="1049"/>
    </row>
    <row r="3" spans="1:66" s="266" customFormat="1" ht="15.75" customHeight="1">
      <c r="A3" s="260">
        <v>333</v>
      </c>
      <c r="B3" s="342" t="s">
        <v>477</v>
      </c>
      <c r="C3" s="304" t="s">
        <v>1299</v>
      </c>
      <c r="D3" s="317">
        <v>39569</v>
      </c>
      <c r="E3" s="317">
        <v>39783</v>
      </c>
      <c r="F3" s="342" t="s">
        <v>781</v>
      </c>
      <c r="G3" s="252" t="s">
        <v>1453</v>
      </c>
      <c r="H3" s="342" t="s">
        <v>839</v>
      </c>
      <c r="I3" s="254" t="s">
        <v>2331</v>
      </c>
      <c r="J3" s="318">
        <v>1000</v>
      </c>
      <c r="K3" s="318">
        <v>64000</v>
      </c>
      <c r="L3" s="318">
        <v>57032</v>
      </c>
      <c r="M3" s="318">
        <v>57032</v>
      </c>
      <c r="N3" s="256">
        <f t="shared" ref="N3:N34" si="0">M3/J3</f>
        <v>57.031999999999996</v>
      </c>
      <c r="O3" s="318">
        <v>89</v>
      </c>
      <c r="P3" s="318" t="s">
        <v>75</v>
      </c>
      <c r="Q3" s="318" t="s">
        <v>75</v>
      </c>
      <c r="R3" s="318" t="s">
        <v>75</v>
      </c>
      <c r="S3" s="318" t="s">
        <v>849</v>
      </c>
      <c r="T3" s="318" t="s">
        <v>75</v>
      </c>
      <c r="U3" s="318">
        <v>1000</v>
      </c>
      <c r="V3" s="318">
        <v>12000</v>
      </c>
      <c r="W3" s="318">
        <f>0.89*V3</f>
        <v>10680</v>
      </c>
      <c r="X3" s="318"/>
      <c r="Y3" s="318">
        <v>1500</v>
      </c>
      <c r="Z3" s="318">
        <v>1500</v>
      </c>
      <c r="AA3" s="318">
        <v>1500</v>
      </c>
      <c r="AB3" s="318">
        <v>30</v>
      </c>
      <c r="AC3" s="318" t="s">
        <v>75</v>
      </c>
      <c r="AD3" s="318" t="s">
        <v>75</v>
      </c>
      <c r="AE3" s="318" t="s">
        <v>75</v>
      </c>
      <c r="AF3" s="318" t="s">
        <v>75</v>
      </c>
      <c r="AG3" s="318" t="s">
        <v>75</v>
      </c>
      <c r="AH3" s="318">
        <v>32</v>
      </c>
      <c r="AI3" s="318" t="s">
        <v>75</v>
      </c>
      <c r="AJ3" s="301">
        <f t="shared" ref="AJ3:AJ34" si="1">SUM(Z3,AA3,AH3)</f>
        <v>3032</v>
      </c>
      <c r="AK3" s="318" t="s">
        <v>75</v>
      </c>
      <c r="AL3" s="318" t="s">
        <v>75</v>
      </c>
      <c r="AM3" s="318"/>
      <c r="AN3" s="319"/>
      <c r="AO3" s="319" t="s">
        <v>75</v>
      </c>
      <c r="AP3" s="319" t="s">
        <v>75</v>
      </c>
      <c r="AQ3" s="319" t="s">
        <v>75</v>
      </c>
      <c r="AR3" s="319" t="s">
        <v>75</v>
      </c>
      <c r="AS3" s="319" t="s">
        <v>75</v>
      </c>
      <c r="AT3" s="319" t="s">
        <v>75</v>
      </c>
      <c r="AU3" s="319" t="s">
        <v>75</v>
      </c>
      <c r="AV3" s="356" t="s">
        <v>838</v>
      </c>
      <c r="AW3" s="357"/>
      <c r="AX3" s="357"/>
      <c r="AY3" s="357"/>
      <c r="AZ3" s="357"/>
      <c r="BA3" s="357"/>
      <c r="BB3" s="357"/>
      <c r="BC3" s="357"/>
      <c r="BD3" s="357"/>
      <c r="BE3" s="357"/>
      <c r="BF3" s="357"/>
      <c r="BG3" s="357"/>
      <c r="BH3" s="357"/>
      <c r="BI3" s="357"/>
      <c r="BJ3" s="357"/>
      <c r="BK3" s="357"/>
      <c r="BL3" s="357"/>
      <c r="BM3" s="357"/>
      <c r="BN3" s="357"/>
    </row>
    <row r="4" spans="1:66" s="266" customFormat="1" ht="14.25" customHeight="1">
      <c r="A4" s="260">
        <v>334</v>
      </c>
      <c r="B4" s="342" t="s">
        <v>145</v>
      </c>
      <c r="C4" s="304" t="s">
        <v>1299</v>
      </c>
      <c r="D4" s="317">
        <v>39479</v>
      </c>
      <c r="E4" s="317">
        <v>39630</v>
      </c>
      <c r="F4" s="342" t="s">
        <v>615</v>
      </c>
      <c r="G4" s="273" t="s">
        <v>1452</v>
      </c>
      <c r="H4" s="342" t="s">
        <v>801</v>
      </c>
      <c r="I4" s="254" t="s">
        <v>2331</v>
      </c>
      <c r="J4" s="318">
        <v>2000</v>
      </c>
      <c r="K4" s="318">
        <v>70000</v>
      </c>
      <c r="L4" s="318">
        <v>70010</v>
      </c>
      <c r="M4" s="318">
        <v>70010</v>
      </c>
      <c r="N4" s="256">
        <f t="shared" si="0"/>
        <v>35.005000000000003</v>
      </c>
      <c r="O4" s="318">
        <v>100</v>
      </c>
      <c r="P4" s="318"/>
      <c r="Q4" s="318"/>
      <c r="R4" s="318"/>
      <c r="S4" s="318" t="s">
        <v>849</v>
      </c>
      <c r="T4" s="318" t="s">
        <v>75</v>
      </c>
      <c r="U4" s="318">
        <v>2000</v>
      </c>
      <c r="V4" s="318" t="s">
        <v>75</v>
      </c>
      <c r="W4" s="318" t="s">
        <v>75</v>
      </c>
      <c r="X4" s="318"/>
      <c r="Y4" s="318" t="s">
        <v>75</v>
      </c>
      <c r="Z4" s="318" t="s">
        <v>75</v>
      </c>
      <c r="AA4" s="318" t="s">
        <v>75</v>
      </c>
      <c r="AB4" s="318" t="s">
        <v>75</v>
      </c>
      <c r="AC4" s="318" t="s">
        <v>75</v>
      </c>
      <c r="AD4" s="318" t="s">
        <v>75</v>
      </c>
      <c r="AE4" s="318">
        <v>800</v>
      </c>
      <c r="AF4" s="318" t="s">
        <v>75</v>
      </c>
      <c r="AG4" s="318" t="s">
        <v>75</v>
      </c>
      <c r="AH4" s="318" t="s">
        <v>75</v>
      </c>
      <c r="AI4" s="318" t="s">
        <v>75</v>
      </c>
      <c r="AJ4" s="288">
        <f t="shared" si="1"/>
        <v>0</v>
      </c>
      <c r="AK4" s="318" t="s">
        <v>75</v>
      </c>
      <c r="AL4" s="318" t="s">
        <v>75</v>
      </c>
      <c r="AM4" s="318"/>
      <c r="AN4" s="319"/>
      <c r="AO4" s="319" t="s">
        <v>75</v>
      </c>
      <c r="AP4" s="319" t="s">
        <v>75</v>
      </c>
      <c r="AQ4" s="319" t="s">
        <v>75</v>
      </c>
      <c r="AR4" s="319" t="s">
        <v>75</v>
      </c>
      <c r="AS4" s="319" t="s">
        <v>75</v>
      </c>
      <c r="AT4" s="319" t="s">
        <v>75</v>
      </c>
      <c r="AU4" s="319" t="s">
        <v>75</v>
      </c>
      <c r="AV4" s="356" t="s">
        <v>800</v>
      </c>
      <c r="AW4" s="357"/>
      <c r="AX4" s="357"/>
      <c r="AY4" s="357"/>
      <c r="AZ4" s="357"/>
      <c r="BA4" s="357"/>
      <c r="BB4" s="357"/>
      <c r="BC4" s="357"/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</row>
    <row r="5" spans="1:66" s="266" customFormat="1" ht="20.25" customHeight="1">
      <c r="A5" s="260">
        <v>335</v>
      </c>
      <c r="B5" s="261" t="s">
        <v>124</v>
      </c>
      <c r="C5" s="261" t="s">
        <v>1278</v>
      </c>
      <c r="D5" s="262">
        <v>39753</v>
      </c>
      <c r="E5" s="262">
        <v>39845</v>
      </c>
      <c r="F5" s="342" t="s">
        <v>623</v>
      </c>
      <c r="G5" s="252" t="s">
        <v>1451</v>
      </c>
      <c r="H5" s="261" t="s">
        <v>622</v>
      </c>
      <c r="I5" s="254" t="s">
        <v>2331</v>
      </c>
      <c r="J5" s="263">
        <v>2423</v>
      </c>
      <c r="K5" s="263">
        <v>117783</v>
      </c>
      <c r="L5" s="263">
        <v>117783</v>
      </c>
      <c r="M5" s="263">
        <v>117783</v>
      </c>
      <c r="N5" s="256">
        <f t="shared" si="0"/>
        <v>48.610400330169213</v>
      </c>
      <c r="O5" s="263">
        <v>100</v>
      </c>
      <c r="P5" s="263" t="s">
        <v>339</v>
      </c>
      <c r="Q5" s="263">
        <v>2423</v>
      </c>
      <c r="R5" s="263">
        <v>2423</v>
      </c>
      <c r="S5" s="263" t="s">
        <v>95</v>
      </c>
      <c r="T5" s="263">
        <v>300</v>
      </c>
      <c r="U5" s="263">
        <v>48953</v>
      </c>
      <c r="V5" s="263" t="s">
        <v>75</v>
      </c>
      <c r="W5" s="263" t="s">
        <v>75</v>
      </c>
      <c r="X5" s="349"/>
      <c r="Y5" s="318" t="s">
        <v>339</v>
      </c>
      <c r="Z5" s="263" t="s">
        <v>75</v>
      </c>
      <c r="AA5" s="263">
        <v>2423</v>
      </c>
      <c r="AB5" s="263" t="s">
        <v>75</v>
      </c>
      <c r="AC5" s="263" t="s">
        <v>75</v>
      </c>
      <c r="AD5" s="263" t="s">
        <v>75</v>
      </c>
      <c r="AE5" s="263" t="s">
        <v>75</v>
      </c>
      <c r="AF5" s="263" t="s">
        <v>75</v>
      </c>
      <c r="AG5" s="263" t="s">
        <v>75</v>
      </c>
      <c r="AH5" s="263" t="s">
        <v>75</v>
      </c>
      <c r="AI5" s="263" t="s">
        <v>75</v>
      </c>
      <c r="AJ5" s="301">
        <f t="shared" si="1"/>
        <v>2423</v>
      </c>
      <c r="AK5" s="263" t="s">
        <v>75</v>
      </c>
      <c r="AL5" s="263" t="s">
        <v>75</v>
      </c>
      <c r="AM5" s="263"/>
      <c r="AN5" s="264"/>
      <c r="AO5" s="264" t="s">
        <v>75</v>
      </c>
      <c r="AP5" s="264" t="s">
        <v>75</v>
      </c>
      <c r="AQ5" s="264" t="s">
        <v>75</v>
      </c>
      <c r="AR5" s="264" t="s">
        <v>75</v>
      </c>
      <c r="AS5" s="264" t="s">
        <v>75</v>
      </c>
      <c r="AT5" s="264" t="s">
        <v>75</v>
      </c>
      <c r="AU5" s="264" t="s">
        <v>75</v>
      </c>
      <c r="AV5" s="344" t="s">
        <v>621</v>
      </c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</row>
    <row r="6" spans="1:66" s="266" customFormat="1" ht="15" customHeight="1">
      <c r="A6" s="260">
        <v>336</v>
      </c>
      <c r="B6" s="261" t="s">
        <v>145</v>
      </c>
      <c r="C6" s="261" t="s">
        <v>1299</v>
      </c>
      <c r="D6" s="262">
        <v>39762</v>
      </c>
      <c r="E6" s="262">
        <v>39851</v>
      </c>
      <c r="F6" s="342" t="s">
        <v>615</v>
      </c>
      <c r="G6" s="273" t="s">
        <v>1452</v>
      </c>
      <c r="H6" s="261" t="s">
        <v>1993</v>
      </c>
      <c r="I6" s="278" t="s">
        <v>2438</v>
      </c>
      <c r="J6" s="263">
        <v>2500</v>
      </c>
      <c r="K6" s="263">
        <v>691687</v>
      </c>
      <c r="L6" s="263">
        <v>251620</v>
      </c>
      <c r="M6" s="263">
        <v>251620</v>
      </c>
      <c r="N6" s="256">
        <f t="shared" si="0"/>
        <v>100.648</v>
      </c>
      <c r="O6" s="263">
        <v>36</v>
      </c>
      <c r="P6" s="263">
        <v>2500</v>
      </c>
      <c r="Q6" s="263">
        <v>2500</v>
      </c>
      <c r="R6" s="263">
        <v>2500</v>
      </c>
      <c r="S6" s="263" t="s">
        <v>95</v>
      </c>
      <c r="T6" s="263">
        <v>20</v>
      </c>
      <c r="U6" s="263">
        <v>2500</v>
      </c>
      <c r="V6" s="263">
        <v>149100</v>
      </c>
      <c r="W6" s="263">
        <v>28378</v>
      </c>
      <c r="X6" s="349">
        <f>W6/R6</f>
        <v>11.3512</v>
      </c>
      <c r="Y6" s="263">
        <v>2500</v>
      </c>
      <c r="Z6" s="263" t="s">
        <v>75</v>
      </c>
      <c r="AA6" s="263" t="s">
        <v>339</v>
      </c>
      <c r="AB6" s="263">
        <v>40</v>
      </c>
      <c r="AC6" s="263" t="s">
        <v>75</v>
      </c>
      <c r="AD6" s="263" t="s">
        <v>75</v>
      </c>
      <c r="AE6" s="263">
        <v>1400</v>
      </c>
      <c r="AF6" s="263" t="s">
        <v>75</v>
      </c>
      <c r="AG6" s="263" t="s">
        <v>75</v>
      </c>
      <c r="AH6" s="263" t="s">
        <v>75</v>
      </c>
      <c r="AI6" s="263" t="s">
        <v>75</v>
      </c>
      <c r="AJ6" s="288">
        <f t="shared" si="1"/>
        <v>0</v>
      </c>
      <c r="AK6" s="263" t="s">
        <v>75</v>
      </c>
      <c r="AL6" s="263" t="s">
        <v>75</v>
      </c>
      <c r="AM6" s="263"/>
      <c r="AN6" s="264"/>
      <c r="AO6" s="264" t="s">
        <v>75</v>
      </c>
      <c r="AP6" s="264" t="s">
        <v>75</v>
      </c>
      <c r="AQ6" s="264" t="s">
        <v>75</v>
      </c>
      <c r="AR6" s="264" t="s">
        <v>75</v>
      </c>
      <c r="AS6" s="264" t="s">
        <v>75</v>
      </c>
      <c r="AT6" s="264" t="s">
        <v>75</v>
      </c>
      <c r="AU6" s="264" t="s">
        <v>75</v>
      </c>
      <c r="AV6" s="293" t="s">
        <v>669</v>
      </c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</row>
    <row r="7" spans="1:66" s="358" customFormat="1" ht="19.5" customHeight="1">
      <c r="A7" s="260">
        <v>337</v>
      </c>
      <c r="B7" s="261" t="s">
        <v>452</v>
      </c>
      <c r="C7" s="261" t="s">
        <v>1278</v>
      </c>
      <c r="D7" s="262">
        <v>39692</v>
      </c>
      <c r="E7" s="262">
        <v>39753</v>
      </c>
      <c r="F7" s="342" t="s">
        <v>604</v>
      </c>
      <c r="G7" s="273" t="s">
        <v>1454</v>
      </c>
      <c r="H7" s="261" t="s">
        <v>603</v>
      </c>
      <c r="I7" s="254" t="s">
        <v>2331</v>
      </c>
      <c r="J7" s="263">
        <v>3000</v>
      </c>
      <c r="K7" s="263">
        <v>249198</v>
      </c>
      <c r="L7" s="263">
        <v>249198</v>
      </c>
      <c r="M7" s="263">
        <v>249198</v>
      </c>
      <c r="N7" s="256">
        <f t="shared" si="0"/>
        <v>83.066000000000003</v>
      </c>
      <c r="O7" s="263">
        <v>100</v>
      </c>
      <c r="P7" s="263">
        <v>1500</v>
      </c>
      <c r="Q7" s="263"/>
      <c r="R7" s="263">
        <v>1500</v>
      </c>
      <c r="S7" s="263" t="s">
        <v>95</v>
      </c>
      <c r="T7" s="263" t="s">
        <v>583</v>
      </c>
      <c r="U7" s="263"/>
      <c r="V7" s="263">
        <v>2400</v>
      </c>
      <c r="W7" s="263">
        <v>2400</v>
      </c>
      <c r="X7" s="349">
        <f>W7/R7</f>
        <v>1.6</v>
      </c>
      <c r="Y7" s="263" t="s">
        <v>75</v>
      </c>
      <c r="Z7" s="263">
        <v>3000</v>
      </c>
      <c r="AA7" s="263" t="s">
        <v>75</v>
      </c>
      <c r="AB7" s="263">
        <v>200</v>
      </c>
      <c r="AC7" s="263" t="s">
        <v>75</v>
      </c>
      <c r="AD7" s="263" t="s">
        <v>75</v>
      </c>
      <c r="AE7" s="263" t="s">
        <v>75</v>
      </c>
      <c r="AF7" s="263" t="s">
        <v>75</v>
      </c>
      <c r="AG7" s="263" t="s">
        <v>75</v>
      </c>
      <c r="AH7" s="263" t="s">
        <v>75</v>
      </c>
      <c r="AI7" s="263" t="s">
        <v>75</v>
      </c>
      <c r="AJ7" s="288">
        <f t="shared" si="1"/>
        <v>3000</v>
      </c>
      <c r="AK7" s="263" t="s">
        <v>75</v>
      </c>
      <c r="AL7" s="263" t="s">
        <v>75</v>
      </c>
      <c r="AM7" s="263"/>
      <c r="AN7" s="264"/>
      <c r="AO7" s="264" t="s">
        <v>75</v>
      </c>
      <c r="AP7" s="264" t="s">
        <v>75</v>
      </c>
      <c r="AQ7" s="264" t="s">
        <v>75</v>
      </c>
      <c r="AR7" s="264" t="s">
        <v>75</v>
      </c>
      <c r="AS7" s="264" t="s">
        <v>75</v>
      </c>
      <c r="AT7" s="264" t="s">
        <v>75</v>
      </c>
      <c r="AU7" s="264" t="s">
        <v>75</v>
      </c>
      <c r="AV7" s="293" t="s">
        <v>602</v>
      </c>
    </row>
    <row r="8" spans="1:66" s="358" customFormat="1" ht="15.75" customHeight="1">
      <c r="A8" s="260">
        <v>338</v>
      </c>
      <c r="B8" s="261" t="s">
        <v>8</v>
      </c>
      <c r="C8" s="261" t="s">
        <v>1261</v>
      </c>
      <c r="D8" s="262">
        <v>39600</v>
      </c>
      <c r="E8" s="262">
        <v>39994</v>
      </c>
      <c r="F8" s="342" t="s">
        <v>712</v>
      </c>
      <c r="G8" s="252" t="s">
        <v>1450</v>
      </c>
      <c r="H8" s="261" t="s">
        <v>711</v>
      </c>
      <c r="I8" s="278" t="s">
        <v>2438</v>
      </c>
      <c r="J8" s="263">
        <v>5000</v>
      </c>
      <c r="K8" s="263">
        <v>2075697</v>
      </c>
      <c r="L8" s="263">
        <v>2079647</v>
      </c>
      <c r="M8" s="263">
        <v>2079647</v>
      </c>
      <c r="N8" s="256">
        <f t="shared" si="0"/>
        <v>415.92939999999999</v>
      </c>
      <c r="O8" s="263">
        <v>100</v>
      </c>
      <c r="P8" s="263">
        <v>20000</v>
      </c>
      <c r="Q8" s="263">
        <f>(350*5)+5000</f>
        <v>6750</v>
      </c>
      <c r="R8" s="263">
        <v>83250</v>
      </c>
      <c r="S8" s="263" t="s">
        <v>95</v>
      </c>
      <c r="T8" s="263">
        <v>340</v>
      </c>
      <c r="U8" s="263">
        <v>124000</v>
      </c>
      <c r="V8" s="263">
        <v>15031</v>
      </c>
      <c r="W8" s="263">
        <v>50846</v>
      </c>
      <c r="X8" s="349">
        <f>W8/R8</f>
        <v>0.61076276276276276</v>
      </c>
      <c r="Y8" s="263">
        <v>147360</v>
      </c>
      <c r="Z8" s="263" t="s">
        <v>75</v>
      </c>
      <c r="AA8" s="263" t="s">
        <v>339</v>
      </c>
      <c r="AB8" s="263" t="s">
        <v>75</v>
      </c>
      <c r="AC8" s="263" t="s">
        <v>75</v>
      </c>
      <c r="AD8" s="263" t="s">
        <v>75</v>
      </c>
      <c r="AE8" s="263">
        <v>7200</v>
      </c>
      <c r="AF8" s="263" t="s">
        <v>75</v>
      </c>
      <c r="AG8" s="263" t="s">
        <v>75</v>
      </c>
      <c r="AH8" s="263" t="s">
        <v>75</v>
      </c>
      <c r="AI8" s="263" t="s">
        <v>75</v>
      </c>
      <c r="AJ8" s="301">
        <f t="shared" si="1"/>
        <v>0</v>
      </c>
      <c r="AK8" s="263" t="s">
        <v>75</v>
      </c>
      <c r="AL8" s="263" t="s">
        <v>75</v>
      </c>
      <c r="AM8" s="263"/>
      <c r="AN8" s="264"/>
      <c r="AO8" s="264" t="s">
        <v>75</v>
      </c>
      <c r="AP8" s="264" t="s">
        <v>75</v>
      </c>
      <c r="AQ8" s="264">
        <v>1</v>
      </c>
      <c r="AR8" s="264" t="s">
        <v>75</v>
      </c>
      <c r="AS8" s="264" t="s">
        <v>75</v>
      </c>
      <c r="AT8" s="264" t="s">
        <v>75</v>
      </c>
      <c r="AU8" s="264" t="s">
        <v>75</v>
      </c>
      <c r="AV8" s="293" t="s">
        <v>710</v>
      </c>
    </row>
    <row r="9" spans="1:66" s="358" customFormat="1" ht="19.5" customHeight="1">
      <c r="A9" s="260">
        <v>339</v>
      </c>
      <c r="B9" s="342" t="s">
        <v>196</v>
      </c>
      <c r="C9" s="304" t="s">
        <v>1260</v>
      </c>
      <c r="D9" s="317">
        <v>39508</v>
      </c>
      <c r="E9" s="317">
        <v>39661</v>
      </c>
      <c r="F9" s="342" t="s">
        <v>834</v>
      </c>
      <c r="G9" s="273" t="s">
        <v>1453</v>
      </c>
      <c r="H9" s="342" t="s">
        <v>833</v>
      </c>
      <c r="I9" s="278" t="s">
        <v>2438</v>
      </c>
      <c r="J9" s="318">
        <v>5097</v>
      </c>
      <c r="K9" s="318">
        <v>572678</v>
      </c>
      <c r="L9" s="318">
        <v>491044</v>
      </c>
      <c r="M9" s="318">
        <v>491044</v>
      </c>
      <c r="N9" s="256">
        <f t="shared" si="0"/>
        <v>96.339807730037279</v>
      </c>
      <c r="O9" s="318">
        <v>86</v>
      </c>
      <c r="P9" s="318">
        <v>2003</v>
      </c>
      <c r="Q9" s="318"/>
      <c r="R9" s="318">
        <v>2003</v>
      </c>
      <c r="S9" s="318" t="s">
        <v>849</v>
      </c>
      <c r="T9" s="318" t="s">
        <v>75</v>
      </c>
      <c r="U9" s="318">
        <v>2003</v>
      </c>
      <c r="V9" s="318">
        <v>159572</v>
      </c>
      <c r="W9" s="318">
        <v>54442</v>
      </c>
      <c r="X9" s="349">
        <f>W9/R9</f>
        <v>27.180229655516726</v>
      </c>
      <c r="Y9" s="318" t="s">
        <v>339</v>
      </c>
      <c r="Z9" s="318" t="s">
        <v>75</v>
      </c>
      <c r="AA9" s="318">
        <v>2003</v>
      </c>
      <c r="AB9" s="318">
        <v>42</v>
      </c>
      <c r="AC9" s="318" t="s">
        <v>75</v>
      </c>
      <c r="AD9" s="318" t="s">
        <v>75</v>
      </c>
      <c r="AE9" s="318" t="s">
        <v>75</v>
      </c>
      <c r="AF9" s="318" t="s">
        <v>75</v>
      </c>
      <c r="AG9" s="318" t="s">
        <v>75</v>
      </c>
      <c r="AH9" s="318" t="s">
        <v>75</v>
      </c>
      <c r="AI9" s="318" t="s">
        <v>75</v>
      </c>
      <c r="AJ9" s="301">
        <f t="shared" si="1"/>
        <v>2003</v>
      </c>
      <c r="AK9" s="318">
        <v>1128</v>
      </c>
      <c r="AL9" s="318">
        <v>1487</v>
      </c>
      <c r="AM9" s="318">
        <f>AL9/AJ9</f>
        <v>0.7423864203694458</v>
      </c>
      <c r="AN9" s="319"/>
      <c r="AO9" s="319" t="s">
        <v>75</v>
      </c>
      <c r="AP9" s="319" t="s">
        <v>75</v>
      </c>
      <c r="AQ9" s="319" t="s">
        <v>75</v>
      </c>
      <c r="AR9" s="319" t="s">
        <v>75</v>
      </c>
      <c r="AS9" s="319" t="s">
        <v>75</v>
      </c>
      <c r="AT9" s="319" t="s">
        <v>75</v>
      </c>
      <c r="AU9" s="319" t="s">
        <v>75</v>
      </c>
      <c r="AV9" s="359" t="s">
        <v>832</v>
      </c>
      <c r="AW9" s="357"/>
      <c r="AX9" s="357"/>
      <c r="AY9" s="357"/>
      <c r="AZ9" s="357"/>
      <c r="BA9" s="357"/>
      <c r="BB9" s="357"/>
      <c r="BC9" s="357"/>
      <c r="BD9" s="357"/>
      <c r="BE9" s="357"/>
      <c r="BF9" s="357"/>
      <c r="BG9" s="357"/>
      <c r="BH9" s="357"/>
      <c r="BI9" s="357"/>
      <c r="BJ9" s="357"/>
      <c r="BK9" s="357"/>
      <c r="BL9" s="357"/>
      <c r="BM9" s="357"/>
      <c r="BN9" s="357"/>
    </row>
    <row r="10" spans="1:66" s="358" customFormat="1" ht="15">
      <c r="A10" s="260">
        <v>340</v>
      </c>
      <c r="B10" s="261" t="s">
        <v>1093</v>
      </c>
      <c r="C10" s="261" t="s">
        <v>1261</v>
      </c>
      <c r="D10" s="262">
        <v>39661</v>
      </c>
      <c r="E10" s="262">
        <v>39753</v>
      </c>
      <c r="F10" s="342" t="s">
        <v>5</v>
      </c>
      <c r="G10" s="252" t="s">
        <v>1451</v>
      </c>
      <c r="H10" s="261" t="s">
        <v>609</v>
      </c>
      <c r="I10" s="254" t="s">
        <v>2331</v>
      </c>
      <c r="J10" s="263">
        <v>8000</v>
      </c>
      <c r="K10" s="263">
        <v>200000</v>
      </c>
      <c r="L10" s="263">
        <v>200000</v>
      </c>
      <c r="M10" s="263">
        <v>174056</v>
      </c>
      <c r="N10" s="256">
        <f t="shared" si="0"/>
        <v>21.757000000000001</v>
      </c>
      <c r="O10" s="263">
        <v>100</v>
      </c>
      <c r="P10" s="263" t="s">
        <v>75</v>
      </c>
      <c r="Q10" s="263" t="s">
        <v>75</v>
      </c>
      <c r="R10" s="263" t="s">
        <v>75</v>
      </c>
      <c r="S10" s="263" t="s">
        <v>95</v>
      </c>
      <c r="T10" s="263" t="s">
        <v>75</v>
      </c>
      <c r="U10" s="263">
        <v>8000</v>
      </c>
      <c r="V10" s="263" t="s">
        <v>75</v>
      </c>
      <c r="W10" s="263" t="s">
        <v>75</v>
      </c>
      <c r="X10" s="263"/>
      <c r="Y10" s="263" t="s">
        <v>75</v>
      </c>
      <c r="Z10" s="263" t="s">
        <v>75</v>
      </c>
      <c r="AA10" s="263" t="s">
        <v>75</v>
      </c>
      <c r="AB10" s="263" t="s">
        <v>75</v>
      </c>
      <c r="AC10" s="263" t="s">
        <v>75</v>
      </c>
      <c r="AD10" s="263" t="s">
        <v>75</v>
      </c>
      <c r="AE10" s="263" t="s">
        <v>75</v>
      </c>
      <c r="AF10" s="263" t="s">
        <v>75</v>
      </c>
      <c r="AG10" s="263" t="s">
        <v>75</v>
      </c>
      <c r="AH10" s="263" t="s">
        <v>75</v>
      </c>
      <c r="AI10" s="263" t="s">
        <v>75</v>
      </c>
      <c r="AJ10" s="301">
        <f t="shared" si="1"/>
        <v>0</v>
      </c>
      <c r="AK10" s="263" t="s">
        <v>75</v>
      </c>
      <c r="AL10" s="263" t="s">
        <v>75</v>
      </c>
      <c r="AM10" s="263"/>
      <c r="AN10" s="264"/>
      <c r="AO10" s="264" t="s">
        <v>75</v>
      </c>
      <c r="AP10" s="264" t="s">
        <v>75</v>
      </c>
      <c r="AQ10" s="264" t="s">
        <v>75</v>
      </c>
      <c r="AR10" s="264" t="s">
        <v>75</v>
      </c>
      <c r="AS10" s="264" t="s">
        <v>75</v>
      </c>
      <c r="AT10" s="264" t="s">
        <v>75</v>
      </c>
      <c r="AU10" s="264" t="s">
        <v>75</v>
      </c>
      <c r="AV10" s="276" t="s">
        <v>608</v>
      </c>
    </row>
    <row r="11" spans="1:66" s="358" customFormat="1" ht="17.25" customHeight="1">
      <c r="A11" s="260">
        <v>341</v>
      </c>
      <c r="B11" s="261" t="s">
        <v>871</v>
      </c>
      <c r="C11" s="261" t="s">
        <v>1260</v>
      </c>
      <c r="D11" s="262">
        <v>39682</v>
      </c>
      <c r="E11" s="262">
        <v>39940</v>
      </c>
      <c r="F11" s="355" t="s">
        <v>726</v>
      </c>
      <c r="G11" s="252" t="s">
        <v>1452</v>
      </c>
      <c r="H11" s="261" t="s">
        <v>725</v>
      </c>
      <c r="I11" s="254" t="s">
        <v>2331</v>
      </c>
      <c r="J11" s="263">
        <v>10000</v>
      </c>
      <c r="K11" s="263">
        <v>250000</v>
      </c>
      <c r="L11" s="263">
        <v>250000</v>
      </c>
      <c r="M11" s="263">
        <v>213924</v>
      </c>
      <c r="N11" s="256">
        <f t="shared" si="0"/>
        <v>21.392399999999999</v>
      </c>
      <c r="O11" s="263">
        <v>100</v>
      </c>
      <c r="P11" s="263" t="s">
        <v>339</v>
      </c>
      <c r="Q11" s="263" t="s">
        <v>339</v>
      </c>
      <c r="R11" s="263" t="s">
        <v>339</v>
      </c>
      <c r="S11" s="263" t="s">
        <v>95</v>
      </c>
      <c r="T11" s="263" t="s">
        <v>339</v>
      </c>
      <c r="U11" s="263" t="s">
        <v>339</v>
      </c>
      <c r="V11" s="263" t="s">
        <v>75</v>
      </c>
      <c r="W11" s="263" t="s">
        <v>75</v>
      </c>
      <c r="X11" s="263"/>
      <c r="Y11" s="263" t="s">
        <v>75</v>
      </c>
      <c r="Z11" s="263">
        <v>3000</v>
      </c>
      <c r="AA11" s="263" t="s">
        <v>75</v>
      </c>
      <c r="AB11" s="263">
        <v>25</v>
      </c>
      <c r="AC11" s="263" t="s">
        <v>75</v>
      </c>
      <c r="AD11" s="263" t="s">
        <v>75</v>
      </c>
      <c r="AE11" s="263" t="s">
        <v>75</v>
      </c>
      <c r="AF11" s="263" t="s">
        <v>75</v>
      </c>
      <c r="AG11" s="263" t="s">
        <v>75</v>
      </c>
      <c r="AH11" s="263" t="s">
        <v>75</v>
      </c>
      <c r="AI11" s="263" t="s">
        <v>75</v>
      </c>
      <c r="AJ11" s="301">
        <f t="shared" si="1"/>
        <v>3000</v>
      </c>
      <c r="AK11" s="263" t="s">
        <v>75</v>
      </c>
      <c r="AL11" s="263" t="s">
        <v>75</v>
      </c>
      <c r="AM11" s="263"/>
      <c r="AN11" s="264"/>
      <c r="AO11" s="264" t="s">
        <v>75</v>
      </c>
      <c r="AP11" s="264" t="s">
        <v>75</v>
      </c>
      <c r="AQ11" s="264" t="s">
        <v>75</v>
      </c>
      <c r="AR11" s="264" t="s">
        <v>75</v>
      </c>
      <c r="AS11" s="264" t="s">
        <v>75</v>
      </c>
      <c r="AT11" s="264" t="s">
        <v>75</v>
      </c>
      <c r="AU11" s="264" t="s">
        <v>75</v>
      </c>
      <c r="AV11" s="344" t="s">
        <v>724</v>
      </c>
    </row>
    <row r="12" spans="1:66" s="358" customFormat="1" ht="15">
      <c r="A12" s="260">
        <v>342</v>
      </c>
      <c r="B12" s="261" t="s">
        <v>333</v>
      </c>
      <c r="C12" s="261" t="s">
        <v>1278</v>
      </c>
      <c r="D12" s="262">
        <v>39759</v>
      </c>
      <c r="E12" s="262">
        <v>39933</v>
      </c>
      <c r="F12" s="342" t="s">
        <v>5</v>
      </c>
      <c r="G12" s="273" t="s">
        <v>1451</v>
      </c>
      <c r="H12" s="261" t="s">
        <v>706</v>
      </c>
      <c r="I12" s="278" t="s">
        <v>2438</v>
      </c>
      <c r="J12" s="263">
        <v>10000</v>
      </c>
      <c r="K12" s="263">
        <v>1618182</v>
      </c>
      <c r="L12" s="263">
        <v>245551</v>
      </c>
      <c r="M12" s="263">
        <v>245551</v>
      </c>
      <c r="N12" s="256">
        <f t="shared" si="0"/>
        <v>24.555099999999999</v>
      </c>
      <c r="O12" s="263">
        <v>15</v>
      </c>
      <c r="P12" s="263">
        <v>10000</v>
      </c>
      <c r="Q12" s="263"/>
      <c r="R12" s="263">
        <v>10000</v>
      </c>
      <c r="S12" s="263" t="s">
        <v>95</v>
      </c>
      <c r="T12" s="263" t="s">
        <v>75</v>
      </c>
      <c r="U12" s="263">
        <v>10000</v>
      </c>
      <c r="V12" s="263">
        <v>10000</v>
      </c>
      <c r="W12" s="263">
        <v>1500</v>
      </c>
      <c r="X12" s="349">
        <f>W12/R12</f>
        <v>0.15</v>
      </c>
      <c r="Y12" s="263" t="s">
        <v>75</v>
      </c>
      <c r="Z12" s="263" t="s">
        <v>75</v>
      </c>
      <c r="AA12" s="263" t="s">
        <v>75</v>
      </c>
      <c r="AB12" s="263" t="s">
        <v>75</v>
      </c>
      <c r="AC12" s="263">
        <v>200</v>
      </c>
      <c r="AD12" s="263" t="s">
        <v>75</v>
      </c>
      <c r="AE12" s="263" t="s">
        <v>75</v>
      </c>
      <c r="AF12" s="263" t="s">
        <v>75</v>
      </c>
      <c r="AG12" s="263" t="s">
        <v>75</v>
      </c>
      <c r="AH12" s="263" t="s">
        <v>75</v>
      </c>
      <c r="AI12" s="263" t="s">
        <v>75</v>
      </c>
      <c r="AJ12" s="301">
        <f t="shared" si="1"/>
        <v>0</v>
      </c>
      <c r="AK12" s="263" t="s">
        <v>75</v>
      </c>
      <c r="AL12" s="263" t="s">
        <v>75</v>
      </c>
      <c r="AM12" s="263"/>
      <c r="AN12" s="264"/>
      <c r="AO12" s="264" t="s">
        <v>75</v>
      </c>
      <c r="AP12" s="264" t="s">
        <v>75</v>
      </c>
      <c r="AQ12" s="264" t="s">
        <v>75</v>
      </c>
      <c r="AR12" s="264" t="s">
        <v>75</v>
      </c>
      <c r="AS12" s="264" t="s">
        <v>75</v>
      </c>
      <c r="AT12" s="264" t="s">
        <v>75</v>
      </c>
      <c r="AU12" s="264" t="s">
        <v>75</v>
      </c>
      <c r="AV12" s="293" t="s">
        <v>705</v>
      </c>
    </row>
    <row r="13" spans="1:66" s="358" customFormat="1" ht="15" customHeight="1">
      <c r="A13" s="260">
        <v>343</v>
      </c>
      <c r="B13" s="261" t="s">
        <v>477</v>
      </c>
      <c r="C13" s="261" t="s">
        <v>1299</v>
      </c>
      <c r="D13" s="262">
        <v>39722</v>
      </c>
      <c r="E13" s="262">
        <v>39904</v>
      </c>
      <c r="F13" s="342" t="s">
        <v>168</v>
      </c>
      <c r="G13" s="252" t="s">
        <v>1449</v>
      </c>
      <c r="H13" s="261" t="s">
        <v>628</v>
      </c>
      <c r="I13" s="254" t="s">
        <v>2331</v>
      </c>
      <c r="J13" s="263">
        <v>10000</v>
      </c>
      <c r="K13" s="263"/>
      <c r="L13" s="263"/>
      <c r="M13" s="263"/>
      <c r="N13" s="256">
        <f t="shared" si="0"/>
        <v>0</v>
      </c>
      <c r="O13" s="263"/>
      <c r="P13" s="263" t="s">
        <v>339</v>
      </c>
      <c r="Q13" s="274"/>
      <c r="R13" s="263">
        <v>14627</v>
      </c>
      <c r="S13" s="263" t="s">
        <v>95</v>
      </c>
      <c r="T13" s="263">
        <v>100</v>
      </c>
      <c r="U13" s="263">
        <v>14627</v>
      </c>
      <c r="V13" s="263"/>
      <c r="W13" s="263"/>
      <c r="X13" s="349">
        <f>W13/R13</f>
        <v>0</v>
      </c>
      <c r="Y13" s="263">
        <v>14627</v>
      </c>
      <c r="Z13" s="263" t="s">
        <v>75</v>
      </c>
      <c r="AA13" s="263">
        <v>14627</v>
      </c>
      <c r="AB13" s="263">
        <v>100</v>
      </c>
      <c r="AC13" s="263" t="s">
        <v>75</v>
      </c>
      <c r="AD13" s="263" t="s">
        <v>75</v>
      </c>
      <c r="AE13" s="263" t="s">
        <v>75</v>
      </c>
      <c r="AF13" s="263" t="s">
        <v>75</v>
      </c>
      <c r="AG13" s="263" t="s">
        <v>75</v>
      </c>
      <c r="AH13" s="263">
        <v>58</v>
      </c>
      <c r="AI13" s="263" t="s">
        <v>75</v>
      </c>
      <c r="AJ13" s="301">
        <f t="shared" si="1"/>
        <v>14685</v>
      </c>
      <c r="AK13" s="263"/>
      <c r="AL13" s="263"/>
      <c r="AM13" s="263"/>
      <c r="AN13" s="264"/>
      <c r="AO13" s="264" t="s">
        <v>75</v>
      </c>
      <c r="AP13" s="264" t="s">
        <v>75</v>
      </c>
      <c r="AQ13" s="264" t="s">
        <v>75</v>
      </c>
      <c r="AR13" s="264" t="s">
        <v>75</v>
      </c>
      <c r="AS13" s="264" t="s">
        <v>75</v>
      </c>
      <c r="AT13" s="264" t="s">
        <v>75</v>
      </c>
      <c r="AU13" s="264" t="s">
        <v>75</v>
      </c>
      <c r="AV13" s="293" t="s">
        <v>627</v>
      </c>
    </row>
    <row r="14" spans="1:66" s="358" customFormat="1" ht="19.5" customHeight="1">
      <c r="A14" s="260">
        <v>344</v>
      </c>
      <c r="B14" s="261" t="s">
        <v>244</v>
      </c>
      <c r="C14" s="261" t="s">
        <v>1299</v>
      </c>
      <c r="D14" s="262">
        <v>39491</v>
      </c>
      <c r="E14" s="262">
        <v>39873</v>
      </c>
      <c r="F14" s="342" t="s">
        <v>615</v>
      </c>
      <c r="G14" s="273" t="s">
        <v>1452</v>
      </c>
      <c r="H14" s="261" t="s">
        <v>614</v>
      </c>
      <c r="I14" s="278" t="s">
        <v>2438</v>
      </c>
      <c r="J14" s="263">
        <v>10000</v>
      </c>
      <c r="K14" s="263">
        <v>2640508</v>
      </c>
      <c r="L14" s="263">
        <v>1644846</v>
      </c>
      <c r="M14" s="263">
        <v>1644846</v>
      </c>
      <c r="N14" s="256">
        <f t="shared" si="0"/>
        <v>164.4846</v>
      </c>
      <c r="O14" s="263">
        <v>62</v>
      </c>
      <c r="P14" s="263">
        <v>4090</v>
      </c>
      <c r="Q14" s="263">
        <f>110*20</f>
        <v>2200</v>
      </c>
      <c r="R14" s="263">
        <v>4090</v>
      </c>
      <c r="S14" s="263" t="s">
        <v>95</v>
      </c>
      <c r="T14" s="263">
        <v>30</v>
      </c>
      <c r="U14" s="263">
        <v>5673</v>
      </c>
      <c r="V14" s="263">
        <v>175245</v>
      </c>
      <c r="W14" s="263">
        <v>121652</v>
      </c>
      <c r="X14" s="349">
        <f>W14/R14</f>
        <v>29.743765281173594</v>
      </c>
      <c r="Y14" s="263">
        <v>16970</v>
      </c>
      <c r="Z14" s="263" t="s">
        <v>75</v>
      </c>
      <c r="AA14" s="263">
        <v>16970</v>
      </c>
      <c r="AB14" s="263" t="s">
        <v>75</v>
      </c>
      <c r="AC14" s="263" t="s">
        <v>75</v>
      </c>
      <c r="AD14" s="263" t="s">
        <v>75</v>
      </c>
      <c r="AE14" s="263">
        <v>2900</v>
      </c>
      <c r="AF14" s="263" t="s">
        <v>75</v>
      </c>
      <c r="AG14" s="263" t="s">
        <v>75</v>
      </c>
      <c r="AH14" s="263" t="s">
        <v>75</v>
      </c>
      <c r="AI14" s="263">
        <v>201</v>
      </c>
      <c r="AJ14" s="288">
        <f t="shared" si="1"/>
        <v>16970</v>
      </c>
      <c r="AK14" s="263">
        <v>620435</v>
      </c>
      <c r="AL14" s="263">
        <v>49135</v>
      </c>
      <c r="AM14" s="318">
        <f>AL14/AJ14</f>
        <v>2.8954036535061873</v>
      </c>
      <c r="AN14" s="264"/>
      <c r="AO14" s="264" t="s">
        <v>75</v>
      </c>
      <c r="AP14" s="264" t="s">
        <v>75</v>
      </c>
      <c r="AQ14" s="264" t="s">
        <v>75</v>
      </c>
      <c r="AR14" s="264" t="s">
        <v>75</v>
      </c>
      <c r="AS14" s="264">
        <v>1</v>
      </c>
      <c r="AT14" s="264" t="s">
        <v>75</v>
      </c>
      <c r="AU14" s="264" t="s">
        <v>75</v>
      </c>
      <c r="AV14" s="293" t="s">
        <v>613</v>
      </c>
    </row>
    <row r="15" spans="1:66" s="358" customFormat="1" ht="14.25" customHeight="1">
      <c r="A15" s="260">
        <v>345</v>
      </c>
      <c r="B15" s="261" t="s">
        <v>597</v>
      </c>
      <c r="C15" s="261" t="s">
        <v>1299</v>
      </c>
      <c r="D15" s="262">
        <v>39448</v>
      </c>
      <c r="E15" s="262">
        <v>39873</v>
      </c>
      <c r="F15" s="342" t="s">
        <v>116</v>
      </c>
      <c r="G15" s="252" t="s">
        <v>1452</v>
      </c>
      <c r="H15" s="261" t="s">
        <v>596</v>
      </c>
      <c r="I15" s="254" t="s">
        <v>2331</v>
      </c>
      <c r="J15" s="263">
        <v>10000</v>
      </c>
      <c r="K15" s="263">
        <v>212101</v>
      </c>
      <c r="L15" s="263">
        <v>204300</v>
      </c>
      <c r="M15" s="263">
        <v>204300</v>
      </c>
      <c r="N15" s="256">
        <f t="shared" si="0"/>
        <v>20.43</v>
      </c>
      <c r="O15" s="263">
        <v>96</v>
      </c>
      <c r="P15" s="263" t="s">
        <v>339</v>
      </c>
      <c r="Q15" s="263">
        <v>10000</v>
      </c>
      <c r="R15" s="263">
        <v>10000</v>
      </c>
      <c r="S15" s="263" t="s">
        <v>95</v>
      </c>
      <c r="T15" s="263">
        <v>60</v>
      </c>
      <c r="U15" s="263">
        <v>10000</v>
      </c>
      <c r="V15" s="263">
        <v>81790</v>
      </c>
      <c r="W15" s="263">
        <v>25214</v>
      </c>
      <c r="X15" s="349">
        <f>W15/R15</f>
        <v>2.5213999999999999</v>
      </c>
      <c r="Y15" s="318" t="s">
        <v>339</v>
      </c>
      <c r="Z15" s="263" t="s">
        <v>75</v>
      </c>
      <c r="AA15" s="263">
        <v>10000</v>
      </c>
      <c r="AB15" s="263" t="s">
        <v>75</v>
      </c>
      <c r="AC15" s="263" t="s">
        <v>75</v>
      </c>
      <c r="AD15" s="263" t="s">
        <v>75</v>
      </c>
      <c r="AE15" s="263" t="s">
        <v>75</v>
      </c>
      <c r="AF15" s="263" t="s">
        <v>75</v>
      </c>
      <c r="AG15" s="263" t="s">
        <v>75</v>
      </c>
      <c r="AH15" s="263" t="s">
        <v>75</v>
      </c>
      <c r="AI15" s="263" t="s">
        <v>75</v>
      </c>
      <c r="AJ15" s="301">
        <f t="shared" si="1"/>
        <v>10000</v>
      </c>
      <c r="AK15" s="263" t="s">
        <v>75</v>
      </c>
      <c r="AL15" s="263" t="s">
        <v>75</v>
      </c>
      <c r="AM15" s="263"/>
      <c r="AN15" s="264"/>
      <c r="AO15" s="264" t="s">
        <v>75</v>
      </c>
      <c r="AP15" s="264" t="s">
        <v>75</v>
      </c>
      <c r="AQ15" s="264" t="s">
        <v>75</v>
      </c>
      <c r="AR15" s="264" t="s">
        <v>75</v>
      </c>
      <c r="AS15" s="264" t="s">
        <v>75</v>
      </c>
      <c r="AT15" s="264" t="s">
        <v>75</v>
      </c>
      <c r="AU15" s="264" t="s">
        <v>75</v>
      </c>
      <c r="AV15" s="344" t="s">
        <v>595</v>
      </c>
    </row>
    <row r="16" spans="1:66" s="358" customFormat="1" ht="16.5" customHeight="1">
      <c r="A16" s="260">
        <v>346</v>
      </c>
      <c r="B16" s="261" t="s">
        <v>362</v>
      </c>
      <c r="C16" s="261" t="s">
        <v>1278</v>
      </c>
      <c r="D16" s="262">
        <v>39738</v>
      </c>
      <c r="E16" s="262">
        <v>39933</v>
      </c>
      <c r="F16" s="342" t="s">
        <v>682</v>
      </c>
      <c r="G16" s="252" t="s">
        <v>1451</v>
      </c>
      <c r="H16" s="261" t="s">
        <v>681</v>
      </c>
      <c r="I16" s="278" t="s">
        <v>2438</v>
      </c>
      <c r="J16" s="263">
        <v>12000</v>
      </c>
      <c r="K16" s="263">
        <v>809626</v>
      </c>
      <c r="L16" s="263">
        <v>269821</v>
      </c>
      <c r="M16" s="263">
        <v>269821</v>
      </c>
      <c r="N16" s="256">
        <f t="shared" si="0"/>
        <v>22.485083333333332</v>
      </c>
      <c r="O16" s="263">
        <v>33</v>
      </c>
      <c r="P16" s="263" t="s">
        <v>75</v>
      </c>
      <c r="Q16" s="263" t="s">
        <v>75</v>
      </c>
      <c r="R16" s="263" t="s">
        <v>75</v>
      </c>
      <c r="S16" s="263" t="s">
        <v>95</v>
      </c>
      <c r="T16" s="263">
        <v>50</v>
      </c>
      <c r="U16" s="263">
        <v>10000</v>
      </c>
      <c r="V16" s="263">
        <v>34000</v>
      </c>
      <c r="W16" s="263">
        <v>19591</v>
      </c>
      <c r="X16" s="263"/>
      <c r="Y16" s="263">
        <v>12000</v>
      </c>
      <c r="Z16" s="263">
        <v>5000</v>
      </c>
      <c r="AA16" s="263" t="s">
        <v>75</v>
      </c>
      <c r="AB16" s="263">
        <v>160</v>
      </c>
      <c r="AC16" s="263" t="s">
        <v>75</v>
      </c>
      <c r="AD16" s="263" t="s">
        <v>75</v>
      </c>
      <c r="AE16" s="263" t="s">
        <v>75</v>
      </c>
      <c r="AF16" s="263" t="s">
        <v>75</v>
      </c>
      <c r="AG16" s="263" t="s">
        <v>75</v>
      </c>
      <c r="AH16" s="263" t="s">
        <v>75</v>
      </c>
      <c r="AI16" s="263" t="s">
        <v>75</v>
      </c>
      <c r="AJ16" s="301">
        <f t="shared" si="1"/>
        <v>5000</v>
      </c>
      <c r="AK16" s="263" t="s">
        <v>75</v>
      </c>
      <c r="AL16" s="263" t="s">
        <v>75</v>
      </c>
      <c r="AM16" s="263"/>
      <c r="AN16" s="264"/>
      <c r="AO16" s="264" t="s">
        <v>75</v>
      </c>
      <c r="AP16" s="264" t="s">
        <v>75</v>
      </c>
      <c r="AQ16" s="264" t="s">
        <v>75</v>
      </c>
      <c r="AR16" s="264" t="s">
        <v>75</v>
      </c>
      <c r="AS16" s="264" t="s">
        <v>75</v>
      </c>
      <c r="AT16" s="264" t="s">
        <v>75</v>
      </c>
      <c r="AU16" s="264" t="s">
        <v>94</v>
      </c>
      <c r="AV16" s="344" t="s">
        <v>680</v>
      </c>
    </row>
    <row r="17" spans="1:66" s="358" customFormat="1" ht="19.5" customHeight="1">
      <c r="A17" s="260">
        <v>347</v>
      </c>
      <c r="B17" s="261" t="s">
        <v>273</v>
      </c>
      <c r="C17" s="261" t="s">
        <v>1286</v>
      </c>
      <c r="D17" s="262">
        <v>39626</v>
      </c>
      <c r="E17" s="262">
        <v>39871</v>
      </c>
      <c r="F17" s="342" t="s">
        <v>5</v>
      </c>
      <c r="G17" s="273" t="s">
        <v>1451</v>
      </c>
      <c r="H17" s="261" t="s">
        <v>689</v>
      </c>
      <c r="I17" s="278" t="s">
        <v>2438</v>
      </c>
      <c r="J17" s="263">
        <v>15000</v>
      </c>
      <c r="K17" s="263">
        <v>911135</v>
      </c>
      <c r="L17" s="263">
        <v>908228</v>
      </c>
      <c r="M17" s="263">
        <v>905533</v>
      </c>
      <c r="N17" s="256">
        <f t="shared" si="0"/>
        <v>60.368866666666669</v>
      </c>
      <c r="O17" s="263">
        <f>(L17*100)/K17</f>
        <v>99.680947389794042</v>
      </c>
      <c r="P17" s="263"/>
      <c r="Q17" s="263"/>
      <c r="R17" s="263"/>
      <c r="S17" s="263" t="s">
        <v>95</v>
      </c>
      <c r="T17" s="263" t="s">
        <v>583</v>
      </c>
      <c r="U17" s="263">
        <v>12770</v>
      </c>
      <c r="V17" s="263" t="s">
        <v>75</v>
      </c>
      <c r="W17" s="263" t="s">
        <v>75</v>
      </c>
      <c r="X17" s="263"/>
      <c r="Y17" s="263">
        <v>15000</v>
      </c>
      <c r="Z17" s="263" t="s">
        <v>75</v>
      </c>
      <c r="AA17" s="263" t="s">
        <v>75</v>
      </c>
      <c r="AB17" s="263" t="s">
        <v>75</v>
      </c>
      <c r="AC17" s="263" t="s">
        <v>75</v>
      </c>
      <c r="AD17" s="263" t="s">
        <v>75</v>
      </c>
      <c r="AE17" s="263" t="s">
        <v>75</v>
      </c>
      <c r="AF17" s="263" t="s">
        <v>75</v>
      </c>
      <c r="AG17" s="263" t="s">
        <v>75</v>
      </c>
      <c r="AH17" s="263" t="s">
        <v>75</v>
      </c>
      <c r="AI17" s="263" t="s">
        <v>75</v>
      </c>
      <c r="AJ17" s="301">
        <f t="shared" si="1"/>
        <v>0</v>
      </c>
      <c r="AK17" s="263" t="s">
        <v>339</v>
      </c>
      <c r="AL17" s="263">
        <v>53</v>
      </c>
      <c r="AM17" s="318"/>
      <c r="AN17" s="264"/>
      <c r="AO17" s="264" t="s">
        <v>75</v>
      </c>
      <c r="AP17" s="264" t="s">
        <v>75</v>
      </c>
      <c r="AQ17" s="264" t="s">
        <v>75</v>
      </c>
      <c r="AR17" s="264" t="s">
        <v>75</v>
      </c>
      <c r="AS17" s="264" t="s">
        <v>75</v>
      </c>
      <c r="AT17" s="264" t="s">
        <v>94</v>
      </c>
      <c r="AU17" s="264" t="s">
        <v>75</v>
      </c>
      <c r="AV17" s="293" t="s">
        <v>688</v>
      </c>
    </row>
    <row r="18" spans="1:66" s="358" customFormat="1" ht="15" customHeight="1">
      <c r="A18" s="260">
        <v>348</v>
      </c>
      <c r="B18" s="261" t="s">
        <v>22</v>
      </c>
      <c r="C18" s="261" t="s">
        <v>1286</v>
      </c>
      <c r="D18" s="262">
        <v>39700</v>
      </c>
      <c r="E18" s="262">
        <v>40065</v>
      </c>
      <c r="F18" s="342" t="s">
        <v>740</v>
      </c>
      <c r="G18" s="252" t="s">
        <v>1450</v>
      </c>
      <c r="H18" s="261" t="s">
        <v>739</v>
      </c>
      <c r="I18" s="278" t="s">
        <v>2438</v>
      </c>
      <c r="J18" s="263">
        <v>20000</v>
      </c>
      <c r="K18" s="263">
        <v>2010991</v>
      </c>
      <c r="L18" s="263">
        <v>1747365</v>
      </c>
      <c r="M18" s="263">
        <v>1685768</v>
      </c>
      <c r="N18" s="256">
        <f t="shared" si="0"/>
        <v>84.288399999999996</v>
      </c>
      <c r="O18" s="263">
        <v>87</v>
      </c>
      <c r="P18" s="263" t="s">
        <v>75</v>
      </c>
      <c r="Q18" s="263" t="s">
        <v>75</v>
      </c>
      <c r="R18" s="263" t="s">
        <v>75</v>
      </c>
      <c r="S18" s="263" t="s">
        <v>95</v>
      </c>
      <c r="T18" s="263" t="s">
        <v>75</v>
      </c>
      <c r="U18" s="263" t="s">
        <v>75</v>
      </c>
      <c r="V18" s="263">
        <v>21500</v>
      </c>
      <c r="W18" s="263">
        <v>18705</v>
      </c>
      <c r="X18" s="263"/>
      <c r="Y18" s="318" t="s">
        <v>339</v>
      </c>
      <c r="Z18" s="263">
        <v>161</v>
      </c>
      <c r="AA18" s="263" t="s">
        <v>339</v>
      </c>
      <c r="AB18" s="263" t="s">
        <v>75</v>
      </c>
      <c r="AC18" s="263" t="s">
        <v>75</v>
      </c>
      <c r="AD18" s="263" t="s">
        <v>75</v>
      </c>
      <c r="AE18" s="263" t="s">
        <v>75</v>
      </c>
      <c r="AF18" s="263" t="s">
        <v>75</v>
      </c>
      <c r="AG18" s="263" t="s">
        <v>75</v>
      </c>
      <c r="AH18" s="263" t="s">
        <v>75</v>
      </c>
      <c r="AI18" s="263" t="s">
        <v>75</v>
      </c>
      <c r="AJ18" s="301">
        <f t="shared" si="1"/>
        <v>161</v>
      </c>
      <c r="AK18" s="263">
        <v>1925</v>
      </c>
      <c r="AL18" s="263">
        <v>4025</v>
      </c>
      <c r="AM18" s="318">
        <f t="shared" ref="AM18" si="2">AL18/AJ18</f>
        <v>25</v>
      </c>
      <c r="AN18" s="264"/>
      <c r="AO18" s="264" t="s">
        <v>75</v>
      </c>
      <c r="AP18" s="264" t="s">
        <v>75</v>
      </c>
      <c r="AQ18" s="264" t="s">
        <v>75</v>
      </c>
      <c r="AR18" s="264" t="s">
        <v>75</v>
      </c>
      <c r="AS18" s="264" t="s">
        <v>75</v>
      </c>
      <c r="AT18" s="264" t="s">
        <v>75</v>
      </c>
      <c r="AU18" s="264" t="s">
        <v>75</v>
      </c>
      <c r="AV18" s="276" t="s">
        <v>738</v>
      </c>
    </row>
    <row r="19" spans="1:66" s="358" customFormat="1" ht="15" customHeight="1">
      <c r="A19" s="260">
        <v>349</v>
      </c>
      <c r="B19" s="261" t="s">
        <v>1465</v>
      </c>
      <c r="C19" s="261" t="s">
        <v>1299</v>
      </c>
      <c r="D19" s="262">
        <v>39720</v>
      </c>
      <c r="E19" s="262">
        <v>39903</v>
      </c>
      <c r="F19" s="342" t="s">
        <v>5</v>
      </c>
      <c r="G19" s="273" t="s">
        <v>1451</v>
      </c>
      <c r="H19" s="261" t="s">
        <v>655</v>
      </c>
      <c r="I19" s="278" t="s">
        <v>2438</v>
      </c>
      <c r="J19" s="263">
        <v>21180</v>
      </c>
      <c r="K19" s="263">
        <v>285379</v>
      </c>
      <c r="L19" s="263">
        <v>104971</v>
      </c>
      <c r="M19" s="263">
        <v>104711</v>
      </c>
      <c r="N19" s="256">
        <f t="shared" si="0"/>
        <v>4.9438621340887634</v>
      </c>
      <c r="O19" s="263">
        <v>37</v>
      </c>
      <c r="P19" s="263">
        <f>21180/2</f>
        <v>10590</v>
      </c>
      <c r="Q19" s="263">
        <f>21180/2</f>
        <v>10590</v>
      </c>
      <c r="R19" s="263">
        <f>21180/2</f>
        <v>10590</v>
      </c>
      <c r="S19" s="263" t="s">
        <v>95</v>
      </c>
      <c r="T19" s="263">
        <v>30</v>
      </c>
      <c r="U19" s="263">
        <v>20000</v>
      </c>
      <c r="V19" s="263">
        <v>13027</v>
      </c>
      <c r="W19" s="263">
        <v>8506</v>
      </c>
      <c r="X19" s="349">
        <f t="shared" ref="X19:X24" si="3">W19/R19</f>
        <v>0.80321057601510859</v>
      </c>
      <c r="Y19" s="263">
        <v>27215</v>
      </c>
      <c r="Z19" s="263" t="s">
        <v>75</v>
      </c>
      <c r="AA19" s="263" t="s">
        <v>75</v>
      </c>
      <c r="AB19" s="263" t="s">
        <v>75</v>
      </c>
      <c r="AC19" s="263" t="s">
        <v>75</v>
      </c>
      <c r="AD19" s="263" t="s">
        <v>75</v>
      </c>
      <c r="AE19" s="263">
        <v>2500</v>
      </c>
      <c r="AF19" s="263" t="s">
        <v>75</v>
      </c>
      <c r="AG19" s="263" t="s">
        <v>75</v>
      </c>
      <c r="AH19" s="263" t="s">
        <v>75</v>
      </c>
      <c r="AI19" s="263" t="s">
        <v>75</v>
      </c>
      <c r="AJ19" s="288">
        <f t="shared" si="1"/>
        <v>0</v>
      </c>
      <c r="AK19" s="263">
        <v>2500</v>
      </c>
      <c r="AL19" s="263">
        <v>925</v>
      </c>
      <c r="AM19" s="318"/>
      <c r="AN19" s="264"/>
      <c r="AO19" s="264" t="s">
        <v>75</v>
      </c>
      <c r="AP19" s="264" t="s">
        <v>75</v>
      </c>
      <c r="AQ19" s="264" t="s">
        <v>75</v>
      </c>
      <c r="AR19" s="264" t="s">
        <v>75</v>
      </c>
      <c r="AS19" s="264" t="s">
        <v>75</v>
      </c>
      <c r="AT19" s="264" t="s">
        <v>75</v>
      </c>
      <c r="AU19" s="264" t="s">
        <v>75</v>
      </c>
      <c r="AV19" s="293" t="s">
        <v>654</v>
      </c>
    </row>
    <row r="20" spans="1:66" s="358" customFormat="1" ht="12" customHeight="1">
      <c r="A20" s="260">
        <v>350</v>
      </c>
      <c r="B20" s="261" t="s">
        <v>148</v>
      </c>
      <c r="C20" s="261" t="s">
        <v>1299</v>
      </c>
      <c r="D20" s="262">
        <v>39508</v>
      </c>
      <c r="E20" s="262">
        <v>39600</v>
      </c>
      <c r="F20" s="342" t="s">
        <v>581</v>
      </c>
      <c r="G20" s="287" t="s">
        <v>1449</v>
      </c>
      <c r="H20" s="261" t="s">
        <v>580</v>
      </c>
      <c r="I20" s="254" t="s">
        <v>2331</v>
      </c>
      <c r="J20" s="263">
        <v>29285</v>
      </c>
      <c r="K20" s="263">
        <v>173401</v>
      </c>
      <c r="L20" s="263">
        <v>168246</v>
      </c>
      <c r="M20" s="263">
        <v>168246</v>
      </c>
      <c r="N20" s="256">
        <f t="shared" si="0"/>
        <v>5.7451254908656306</v>
      </c>
      <c r="O20" s="263">
        <v>97</v>
      </c>
      <c r="P20" s="263">
        <v>10500</v>
      </c>
      <c r="Q20" s="263">
        <f>2600*5</f>
        <v>13000</v>
      </c>
      <c r="R20" s="263">
        <v>10500</v>
      </c>
      <c r="S20" s="263" t="s">
        <v>95</v>
      </c>
      <c r="T20" s="263">
        <v>104</v>
      </c>
      <c r="U20" s="263">
        <v>10500</v>
      </c>
      <c r="V20" s="263" t="s">
        <v>75</v>
      </c>
      <c r="W20" s="263" t="s">
        <v>75</v>
      </c>
      <c r="X20" s="349"/>
      <c r="Y20" s="263" t="s">
        <v>75</v>
      </c>
      <c r="Z20" s="263" t="s">
        <v>75</v>
      </c>
      <c r="AA20" s="263" t="s">
        <v>75</v>
      </c>
      <c r="AB20" s="263" t="s">
        <v>75</v>
      </c>
      <c r="AC20" s="263">
        <v>100</v>
      </c>
      <c r="AD20" s="263" t="s">
        <v>75</v>
      </c>
      <c r="AE20" s="263" t="s">
        <v>75</v>
      </c>
      <c r="AF20" s="263" t="s">
        <v>75</v>
      </c>
      <c r="AG20" s="263" t="s">
        <v>75</v>
      </c>
      <c r="AH20" s="263" t="s">
        <v>75</v>
      </c>
      <c r="AI20" s="263" t="s">
        <v>75</v>
      </c>
      <c r="AJ20" s="288">
        <f t="shared" si="1"/>
        <v>0</v>
      </c>
      <c r="AK20" s="263" t="s">
        <v>75</v>
      </c>
      <c r="AL20" s="263" t="s">
        <v>75</v>
      </c>
      <c r="AM20" s="263"/>
      <c r="AN20" s="264"/>
      <c r="AO20" s="264" t="s">
        <v>75</v>
      </c>
      <c r="AP20" s="264" t="s">
        <v>75</v>
      </c>
      <c r="AQ20" s="264" t="s">
        <v>75</v>
      </c>
      <c r="AR20" s="264" t="s">
        <v>75</v>
      </c>
      <c r="AS20" s="264" t="s">
        <v>75</v>
      </c>
      <c r="AT20" s="264" t="s">
        <v>75</v>
      </c>
      <c r="AU20" s="264" t="s">
        <v>75</v>
      </c>
      <c r="AV20" s="293" t="s">
        <v>579</v>
      </c>
    </row>
    <row r="21" spans="1:66" s="264" customFormat="1" ht="16.5" customHeight="1">
      <c r="A21" s="260">
        <v>351</v>
      </c>
      <c r="B21" s="360" t="s">
        <v>2306</v>
      </c>
      <c r="C21" s="264" t="s">
        <v>1286</v>
      </c>
      <c r="D21" s="361">
        <v>39722</v>
      </c>
      <c r="E21" s="361">
        <v>40087</v>
      </c>
      <c r="F21" s="319" t="s">
        <v>5</v>
      </c>
      <c r="G21" s="288" t="s">
        <v>1450</v>
      </c>
      <c r="H21" s="264" t="s">
        <v>723</v>
      </c>
      <c r="I21" s="278" t="s">
        <v>2438</v>
      </c>
      <c r="J21" s="263">
        <v>32000</v>
      </c>
      <c r="K21" s="263">
        <v>1469778</v>
      </c>
      <c r="L21" s="263">
        <v>1216342</v>
      </c>
      <c r="M21" s="263">
        <v>1216342</v>
      </c>
      <c r="N21" s="256">
        <f t="shared" si="0"/>
        <v>38.010687500000003</v>
      </c>
      <c r="O21" s="263">
        <f>(L21*100)/K21</f>
        <v>82.756851715020915</v>
      </c>
      <c r="P21" s="263">
        <v>1250</v>
      </c>
      <c r="Q21" s="263"/>
      <c r="R21" s="263">
        <v>1250</v>
      </c>
      <c r="S21" s="263"/>
      <c r="T21" s="263">
        <v>22</v>
      </c>
      <c r="U21" s="263">
        <v>1250</v>
      </c>
      <c r="V21" s="263"/>
      <c r="W21" s="263"/>
      <c r="X21" s="349">
        <f t="shared" si="3"/>
        <v>0</v>
      </c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88">
        <f t="shared" si="1"/>
        <v>0</v>
      </c>
      <c r="AK21" s="263"/>
      <c r="AL21" s="263"/>
      <c r="AM21" s="263"/>
      <c r="AT21" s="264" t="s">
        <v>2</v>
      </c>
      <c r="AV21" s="275" t="s">
        <v>722</v>
      </c>
    </row>
    <row r="22" spans="1:66" s="358" customFormat="1" ht="15.75" customHeight="1">
      <c r="A22" s="260">
        <v>352</v>
      </c>
      <c r="B22" s="266" t="s">
        <v>375</v>
      </c>
      <c r="C22" s="316" t="s">
        <v>1286</v>
      </c>
      <c r="D22" s="317">
        <v>39692</v>
      </c>
      <c r="E22" s="317">
        <v>40057</v>
      </c>
      <c r="F22" s="266" t="s">
        <v>740</v>
      </c>
      <c r="G22" s="252" t="s">
        <v>1450</v>
      </c>
      <c r="H22" s="266" t="s">
        <v>1034</v>
      </c>
      <c r="I22" s="278" t="s">
        <v>2438</v>
      </c>
      <c r="J22" s="318">
        <v>35000</v>
      </c>
      <c r="K22" s="318">
        <v>6412000</v>
      </c>
      <c r="L22" s="318">
        <v>6159988</v>
      </c>
      <c r="M22" s="318">
        <v>5988293</v>
      </c>
      <c r="N22" s="256">
        <f t="shared" si="0"/>
        <v>171.09408571428571</v>
      </c>
      <c r="O22" s="318">
        <v>96</v>
      </c>
      <c r="P22" s="318">
        <v>4950</v>
      </c>
      <c r="Q22" s="318"/>
      <c r="R22" s="318">
        <v>4950</v>
      </c>
      <c r="S22" s="318" t="s">
        <v>233</v>
      </c>
      <c r="T22" s="318"/>
      <c r="U22" s="318"/>
      <c r="V22" s="318">
        <v>43560</v>
      </c>
      <c r="W22" s="318">
        <v>37625</v>
      </c>
      <c r="X22" s="349">
        <f t="shared" si="3"/>
        <v>7.6010101010101012</v>
      </c>
      <c r="Y22" s="318"/>
      <c r="Z22" s="318" t="s">
        <v>2</v>
      </c>
      <c r="AA22" s="318"/>
      <c r="AB22" s="318">
        <v>139</v>
      </c>
      <c r="AC22" s="318"/>
      <c r="AD22" s="318"/>
      <c r="AE22" s="318">
        <v>24000</v>
      </c>
      <c r="AF22" s="318"/>
      <c r="AG22" s="318"/>
      <c r="AH22" s="318"/>
      <c r="AI22" s="318"/>
      <c r="AJ22" s="301">
        <f t="shared" si="1"/>
        <v>0</v>
      </c>
      <c r="AK22" s="318" t="s">
        <v>66</v>
      </c>
      <c r="AL22" s="318" t="s">
        <v>66</v>
      </c>
      <c r="AM22" s="318"/>
      <c r="AN22" s="319"/>
      <c r="AO22" s="319"/>
      <c r="AP22" s="319"/>
      <c r="AQ22" s="319"/>
      <c r="AR22" s="319"/>
      <c r="AS22" s="319"/>
      <c r="AT22" s="319"/>
      <c r="AU22" s="319"/>
      <c r="AV22" s="319" t="s">
        <v>1009</v>
      </c>
      <c r="AW22" s="266"/>
      <c r="AX22" s="266"/>
      <c r="AY22" s="266"/>
      <c r="AZ22" s="266"/>
      <c r="BA22" s="266"/>
      <c r="BB22" s="266"/>
      <c r="BC22" s="266"/>
      <c r="BD22" s="266"/>
      <c r="BE22" s="266"/>
      <c r="BF22" s="266"/>
      <c r="BG22" s="266"/>
      <c r="BH22" s="266"/>
      <c r="BI22" s="266"/>
      <c r="BJ22" s="266"/>
      <c r="BK22" s="266"/>
      <c r="BL22" s="266"/>
      <c r="BM22" s="266"/>
      <c r="BN22" s="266"/>
    </row>
    <row r="23" spans="1:66" s="358" customFormat="1" ht="13.5" customHeight="1">
      <c r="A23" s="260">
        <v>353</v>
      </c>
      <c r="B23" s="261" t="s">
        <v>2379</v>
      </c>
      <c r="C23" s="261" t="s">
        <v>1299</v>
      </c>
      <c r="D23" s="262">
        <v>39770</v>
      </c>
      <c r="E23" s="262">
        <v>39963</v>
      </c>
      <c r="F23" s="304" t="s">
        <v>692</v>
      </c>
      <c r="G23" s="252" t="s">
        <v>1451</v>
      </c>
      <c r="H23" s="261" t="s">
        <v>691</v>
      </c>
      <c r="I23" s="278" t="s">
        <v>2438</v>
      </c>
      <c r="J23" s="263">
        <v>47500</v>
      </c>
      <c r="K23" s="263">
        <v>1729787</v>
      </c>
      <c r="L23" s="263">
        <v>1729667</v>
      </c>
      <c r="M23" s="263">
        <v>1729667</v>
      </c>
      <c r="N23" s="256">
        <f t="shared" si="0"/>
        <v>36.414042105263157</v>
      </c>
      <c r="O23" s="263">
        <v>100</v>
      </c>
      <c r="P23" s="263" t="s">
        <v>75</v>
      </c>
      <c r="Q23" s="263" t="s">
        <v>339</v>
      </c>
      <c r="R23" s="263">
        <v>44875</v>
      </c>
      <c r="S23" s="263" t="s">
        <v>95</v>
      </c>
      <c r="T23" s="263" t="s">
        <v>75</v>
      </c>
      <c r="U23" s="263">
        <v>3400</v>
      </c>
      <c r="V23" s="263">
        <v>383396</v>
      </c>
      <c r="W23" s="263">
        <v>73269</v>
      </c>
      <c r="X23" s="349">
        <f t="shared" si="3"/>
        <v>1.6327353760445682</v>
      </c>
      <c r="Y23" s="263">
        <v>44875</v>
      </c>
      <c r="Z23" s="263" t="s">
        <v>75</v>
      </c>
      <c r="AA23" s="263" t="s">
        <v>75</v>
      </c>
      <c r="AB23" s="263" t="s">
        <v>75</v>
      </c>
      <c r="AC23" s="263" t="s">
        <v>75</v>
      </c>
      <c r="AD23" s="263" t="s">
        <v>75</v>
      </c>
      <c r="AE23" s="263">
        <v>550</v>
      </c>
      <c r="AF23" s="263" t="s">
        <v>75</v>
      </c>
      <c r="AG23" s="263" t="s">
        <v>75</v>
      </c>
      <c r="AH23" s="263" t="s">
        <v>75</v>
      </c>
      <c r="AI23" s="263" t="s">
        <v>75</v>
      </c>
      <c r="AJ23" s="301">
        <f t="shared" si="1"/>
        <v>0</v>
      </c>
      <c r="AK23" s="263">
        <v>31875</v>
      </c>
      <c r="AL23" s="263">
        <v>31875</v>
      </c>
      <c r="AM23" s="318"/>
      <c r="AN23" s="264"/>
      <c r="AO23" s="264" t="s">
        <v>75</v>
      </c>
      <c r="AP23" s="264" t="s">
        <v>75</v>
      </c>
      <c r="AQ23" s="264" t="s">
        <v>75</v>
      </c>
      <c r="AR23" s="264" t="s">
        <v>75</v>
      </c>
      <c r="AS23" s="264" t="s">
        <v>75</v>
      </c>
      <c r="AT23" s="264" t="s">
        <v>714</v>
      </c>
      <c r="AU23" s="264" t="s">
        <v>75</v>
      </c>
      <c r="AV23" s="344" t="s">
        <v>690</v>
      </c>
    </row>
    <row r="24" spans="1:66" s="358" customFormat="1" ht="18" customHeight="1">
      <c r="A24" s="260">
        <v>354</v>
      </c>
      <c r="B24" s="266" t="s">
        <v>18</v>
      </c>
      <c r="C24" s="316" t="s">
        <v>1286</v>
      </c>
      <c r="D24" s="317">
        <v>39692</v>
      </c>
      <c r="E24" s="317">
        <v>40118</v>
      </c>
      <c r="F24" s="266" t="s">
        <v>740</v>
      </c>
      <c r="G24" s="273" t="s">
        <v>1450</v>
      </c>
      <c r="H24" s="266" t="s">
        <v>958</v>
      </c>
      <c r="I24" s="278" t="s">
        <v>2438</v>
      </c>
      <c r="J24" s="318">
        <v>50000</v>
      </c>
      <c r="K24" s="318">
        <v>8475870</v>
      </c>
      <c r="L24" s="318">
        <v>8498306</v>
      </c>
      <c r="M24" s="318">
        <v>8420348</v>
      </c>
      <c r="N24" s="256">
        <f t="shared" si="0"/>
        <v>168.40696</v>
      </c>
      <c r="O24" s="318">
        <v>100</v>
      </c>
      <c r="P24" s="318">
        <v>15000</v>
      </c>
      <c r="Q24" s="318">
        <v>6000</v>
      </c>
      <c r="R24" s="318">
        <v>15000</v>
      </c>
      <c r="S24" s="318"/>
      <c r="T24" s="318">
        <v>26</v>
      </c>
      <c r="U24" s="318">
        <v>15000</v>
      </c>
      <c r="V24" s="318">
        <v>198054</v>
      </c>
      <c r="W24" s="318">
        <v>198054</v>
      </c>
      <c r="X24" s="349">
        <f t="shared" si="3"/>
        <v>13.2036</v>
      </c>
      <c r="Y24" s="318">
        <v>30000</v>
      </c>
      <c r="Z24" s="318" t="s">
        <v>94</v>
      </c>
      <c r="AA24" s="318">
        <v>30000</v>
      </c>
      <c r="AB24" s="318">
        <v>50</v>
      </c>
      <c r="AC24" s="318"/>
      <c r="AD24" s="318"/>
      <c r="AE24" s="318">
        <v>20000</v>
      </c>
      <c r="AF24" s="318"/>
      <c r="AG24" s="318"/>
      <c r="AH24" s="318"/>
      <c r="AI24" s="318"/>
      <c r="AJ24" s="301">
        <f t="shared" si="1"/>
        <v>30000</v>
      </c>
      <c r="AK24" s="318">
        <v>367</v>
      </c>
      <c r="AL24" s="318">
        <v>367</v>
      </c>
      <c r="AM24" s="318">
        <f t="shared" ref="AM24:AM26" si="4">AL24/AJ24</f>
        <v>1.2233333333333334E-2</v>
      </c>
      <c r="AN24" s="319"/>
      <c r="AO24" s="319"/>
      <c r="AP24" s="319"/>
      <c r="AQ24" s="319"/>
      <c r="AR24" s="319"/>
      <c r="AS24" s="319">
        <v>2</v>
      </c>
      <c r="AT24" s="319"/>
      <c r="AU24" s="319" t="s">
        <v>94</v>
      </c>
      <c r="AV24" s="320" t="s">
        <v>959</v>
      </c>
      <c r="AW24" s="266"/>
      <c r="AX24" s="266"/>
      <c r="AY24" s="266"/>
      <c r="AZ24" s="266"/>
      <c r="BA24" s="266"/>
      <c r="BB24" s="266"/>
      <c r="BC24" s="266"/>
      <c r="BD24" s="266"/>
      <c r="BE24" s="266"/>
      <c r="BF24" s="266"/>
      <c r="BG24" s="266"/>
      <c r="BH24" s="266"/>
      <c r="BI24" s="266"/>
      <c r="BJ24" s="266"/>
      <c r="BK24" s="266"/>
      <c r="BL24" s="266"/>
      <c r="BM24" s="266"/>
      <c r="BN24" s="266"/>
    </row>
    <row r="25" spans="1:66" s="358" customFormat="1" ht="18.75" customHeight="1">
      <c r="A25" s="260">
        <v>355</v>
      </c>
      <c r="B25" s="261" t="s">
        <v>485</v>
      </c>
      <c r="C25" s="261" t="s">
        <v>1299</v>
      </c>
      <c r="D25" s="262">
        <v>39508</v>
      </c>
      <c r="E25" s="262">
        <v>39692</v>
      </c>
      <c r="F25" s="342" t="s">
        <v>612</v>
      </c>
      <c r="G25" s="273" t="s">
        <v>1450</v>
      </c>
      <c r="H25" s="261" t="s">
        <v>611</v>
      </c>
      <c r="I25" s="278" t="s">
        <v>2438</v>
      </c>
      <c r="J25" s="263">
        <v>50000</v>
      </c>
      <c r="K25" s="263">
        <v>1074882</v>
      </c>
      <c r="L25" s="263">
        <v>702940</v>
      </c>
      <c r="M25" s="263">
        <v>702940</v>
      </c>
      <c r="N25" s="256">
        <f t="shared" si="0"/>
        <v>14.0588</v>
      </c>
      <c r="O25" s="263">
        <v>65</v>
      </c>
      <c r="P25" s="263"/>
      <c r="Q25" s="263"/>
      <c r="R25" s="263"/>
      <c r="S25" s="263" t="s">
        <v>95</v>
      </c>
      <c r="T25" s="263">
        <v>360</v>
      </c>
      <c r="U25" s="263">
        <v>49980</v>
      </c>
      <c r="V25" s="263">
        <v>12000</v>
      </c>
      <c r="W25" s="263">
        <v>7800</v>
      </c>
      <c r="X25" s="263"/>
      <c r="Y25" s="263" t="s">
        <v>75</v>
      </c>
      <c r="Z25" s="263" t="s">
        <v>75</v>
      </c>
      <c r="AA25" s="263" t="s">
        <v>75</v>
      </c>
      <c r="AB25" s="263" t="s">
        <v>75</v>
      </c>
      <c r="AC25" s="263" t="s">
        <v>75</v>
      </c>
      <c r="AD25" s="263" t="s">
        <v>75</v>
      </c>
      <c r="AE25" s="263" t="s">
        <v>75</v>
      </c>
      <c r="AF25" s="263" t="s">
        <v>75</v>
      </c>
      <c r="AG25" s="263" t="s">
        <v>75</v>
      </c>
      <c r="AH25" s="263" t="s">
        <v>75</v>
      </c>
      <c r="AI25" s="263" t="s">
        <v>75</v>
      </c>
      <c r="AJ25" s="301">
        <f t="shared" si="1"/>
        <v>0</v>
      </c>
      <c r="AK25" s="263" t="s">
        <v>339</v>
      </c>
      <c r="AL25" s="263">
        <v>212</v>
      </c>
      <c r="AM25" s="318"/>
      <c r="AN25" s="264"/>
      <c r="AO25" s="264" t="s">
        <v>75</v>
      </c>
      <c r="AP25" s="264" t="s">
        <v>75</v>
      </c>
      <c r="AQ25" s="264" t="s">
        <v>75</v>
      </c>
      <c r="AR25" s="264" t="s">
        <v>75</v>
      </c>
      <c r="AS25" s="264" t="s">
        <v>75</v>
      </c>
      <c r="AT25" s="264" t="s">
        <v>75</v>
      </c>
      <c r="AU25" s="264" t="s">
        <v>75</v>
      </c>
      <c r="AV25" s="293" t="s">
        <v>610</v>
      </c>
    </row>
    <row r="26" spans="1:66" s="261" customFormat="1" ht="15.75" customHeight="1">
      <c r="A26" s="260">
        <v>356</v>
      </c>
      <c r="B26" s="261" t="s">
        <v>477</v>
      </c>
      <c r="C26" s="261" t="s">
        <v>1299</v>
      </c>
      <c r="D26" s="262">
        <v>39661</v>
      </c>
      <c r="E26" s="262">
        <v>39873</v>
      </c>
      <c r="F26" s="342" t="s">
        <v>168</v>
      </c>
      <c r="G26" s="254" t="s">
        <v>1449</v>
      </c>
      <c r="H26" s="261" t="s">
        <v>634</v>
      </c>
      <c r="I26" s="254" t="s">
        <v>2331</v>
      </c>
      <c r="J26" s="263">
        <v>55000</v>
      </c>
      <c r="K26" s="263">
        <v>45738</v>
      </c>
      <c r="L26" s="263">
        <v>43680</v>
      </c>
      <c r="M26" s="263">
        <v>43680</v>
      </c>
      <c r="N26" s="256">
        <f t="shared" si="0"/>
        <v>0.79418181818181821</v>
      </c>
      <c r="O26" s="263">
        <v>96</v>
      </c>
      <c r="P26" s="263"/>
      <c r="Q26" s="263"/>
      <c r="R26" s="263"/>
      <c r="S26" s="263" t="s">
        <v>95</v>
      </c>
      <c r="T26" s="263">
        <v>120</v>
      </c>
      <c r="U26" s="263">
        <v>55000</v>
      </c>
      <c r="V26" s="263" t="s">
        <v>75</v>
      </c>
      <c r="W26" s="263" t="s">
        <v>75</v>
      </c>
      <c r="X26" s="263"/>
      <c r="Y26" s="263">
        <v>55000</v>
      </c>
      <c r="Z26" s="263" t="s">
        <v>75</v>
      </c>
      <c r="AA26" s="263">
        <v>55000</v>
      </c>
      <c r="AB26" s="263">
        <v>120</v>
      </c>
      <c r="AC26" s="263" t="s">
        <v>75</v>
      </c>
      <c r="AD26" s="263" t="s">
        <v>75</v>
      </c>
      <c r="AE26" s="263" t="s">
        <v>75</v>
      </c>
      <c r="AF26" s="263" t="s">
        <v>75</v>
      </c>
      <c r="AG26" s="263" t="s">
        <v>75</v>
      </c>
      <c r="AH26" s="263" t="s">
        <v>75</v>
      </c>
      <c r="AI26" s="263" t="s">
        <v>75</v>
      </c>
      <c r="AJ26" s="301">
        <f t="shared" si="1"/>
        <v>55000</v>
      </c>
      <c r="AK26" s="263">
        <v>6000</v>
      </c>
      <c r="AL26" s="263">
        <v>2408</v>
      </c>
      <c r="AM26" s="318">
        <f t="shared" si="4"/>
        <v>4.3781818181818179E-2</v>
      </c>
      <c r="AN26" s="264"/>
      <c r="AO26" s="264" t="s">
        <v>75</v>
      </c>
      <c r="AP26" s="264" t="s">
        <v>75</v>
      </c>
      <c r="AQ26" s="264" t="s">
        <v>75</v>
      </c>
      <c r="AR26" s="264" t="s">
        <v>75</v>
      </c>
      <c r="AS26" s="264" t="s">
        <v>75</v>
      </c>
      <c r="AT26" s="264" t="s">
        <v>75</v>
      </c>
      <c r="AU26" s="264" t="s">
        <v>75</v>
      </c>
      <c r="AV26" s="276" t="s">
        <v>633</v>
      </c>
    </row>
    <row r="27" spans="1:66" s="261" customFormat="1" ht="17.25" customHeight="1">
      <c r="A27" s="260">
        <v>357</v>
      </c>
      <c r="B27" s="266" t="s">
        <v>995</v>
      </c>
      <c r="C27" s="266" t="s">
        <v>1299</v>
      </c>
      <c r="D27" s="317">
        <v>39783</v>
      </c>
      <c r="E27" s="317">
        <v>40026</v>
      </c>
      <c r="F27" s="266" t="s">
        <v>615</v>
      </c>
      <c r="G27" s="259" t="s">
        <v>1452</v>
      </c>
      <c r="H27" s="319" t="s">
        <v>996</v>
      </c>
      <c r="I27" s="278" t="s">
        <v>2438</v>
      </c>
      <c r="J27" s="318">
        <v>60000</v>
      </c>
      <c r="K27" s="318">
        <v>1300299</v>
      </c>
      <c r="L27" s="318">
        <v>831576</v>
      </c>
      <c r="M27" s="318">
        <v>831576</v>
      </c>
      <c r="N27" s="256">
        <f t="shared" si="0"/>
        <v>13.8596</v>
      </c>
      <c r="O27" s="318">
        <v>64</v>
      </c>
      <c r="P27" s="318"/>
      <c r="Q27" s="318"/>
      <c r="R27" s="318"/>
      <c r="S27" s="318" t="s">
        <v>2</v>
      </c>
      <c r="T27" s="318">
        <v>90</v>
      </c>
      <c r="U27" s="318">
        <v>12805</v>
      </c>
      <c r="V27" s="318">
        <v>336443</v>
      </c>
      <c r="W27" s="318">
        <v>46920</v>
      </c>
      <c r="X27" s="318"/>
      <c r="Y27" s="318"/>
      <c r="Z27" s="318"/>
      <c r="AA27" s="318"/>
      <c r="AB27" s="318">
        <v>150</v>
      </c>
      <c r="AC27" s="318"/>
      <c r="AD27" s="318"/>
      <c r="AE27" s="318"/>
      <c r="AF27" s="318"/>
      <c r="AG27" s="318"/>
      <c r="AH27" s="318"/>
      <c r="AI27" s="318"/>
      <c r="AJ27" s="301">
        <f t="shared" si="1"/>
        <v>0</v>
      </c>
      <c r="AK27" s="318">
        <v>7265</v>
      </c>
      <c r="AL27" s="318">
        <v>17618</v>
      </c>
      <c r="AM27" s="318"/>
      <c r="AN27" s="319"/>
      <c r="AO27" s="319"/>
      <c r="AP27" s="319"/>
      <c r="AQ27" s="319"/>
      <c r="AR27" s="319"/>
      <c r="AS27" s="319"/>
      <c r="AT27" s="319" t="s">
        <v>2</v>
      </c>
      <c r="AU27" s="319"/>
      <c r="AV27" s="319" t="s">
        <v>997</v>
      </c>
      <c r="AW27" s="266"/>
      <c r="AX27" s="266"/>
      <c r="AY27" s="266"/>
      <c r="AZ27" s="266"/>
      <c r="BA27" s="266"/>
      <c r="BB27" s="266"/>
      <c r="BC27" s="266"/>
      <c r="BD27" s="266"/>
      <c r="BE27" s="266"/>
      <c r="BF27" s="266"/>
      <c r="BG27" s="266"/>
      <c r="BH27" s="266"/>
      <c r="BI27" s="266"/>
      <c r="BJ27" s="266"/>
      <c r="BK27" s="266"/>
      <c r="BL27" s="266"/>
      <c r="BM27" s="266"/>
      <c r="BN27" s="266"/>
    </row>
    <row r="28" spans="1:66" s="261" customFormat="1" ht="30">
      <c r="A28" s="260">
        <v>358</v>
      </c>
      <c r="B28" s="261" t="s">
        <v>2407</v>
      </c>
      <c r="C28" s="261" t="s">
        <v>1260</v>
      </c>
      <c r="D28" s="262">
        <v>39665</v>
      </c>
      <c r="E28" s="262">
        <v>39964</v>
      </c>
      <c r="F28" s="342" t="s">
        <v>5</v>
      </c>
      <c r="G28" s="259" t="s">
        <v>1451</v>
      </c>
      <c r="H28" s="261" t="s">
        <v>702</v>
      </c>
      <c r="I28" s="278" t="s">
        <v>2438</v>
      </c>
      <c r="J28" s="263">
        <v>60000</v>
      </c>
      <c r="K28" s="263">
        <v>1510242</v>
      </c>
      <c r="L28" s="263">
        <v>1508099</v>
      </c>
      <c r="M28" s="263">
        <v>1508099</v>
      </c>
      <c r="N28" s="256">
        <f t="shared" si="0"/>
        <v>25.134983333333334</v>
      </c>
      <c r="O28" s="263">
        <v>100</v>
      </c>
      <c r="P28" s="263" t="s">
        <v>339</v>
      </c>
      <c r="Q28" s="263" t="s">
        <v>339</v>
      </c>
      <c r="R28" s="263">
        <v>50000</v>
      </c>
      <c r="S28" s="263" t="s">
        <v>95</v>
      </c>
      <c r="T28" s="263" t="s">
        <v>75</v>
      </c>
      <c r="U28" s="263">
        <v>12000</v>
      </c>
      <c r="V28" s="263">
        <v>237869</v>
      </c>
      <c r="W28" s="263">
        <v>176563</v>
      </c>
      <c r="X28" s="349">
        <f>W28/R28</f>
        <v>3.5312600000000001</v>
      </c>
      <c r="Y28" s="318" t="s">
        <v>339</v>
      </c>
      <c r="Z28" s="263" t="s">
        <v>75</v>
      </c>
      <c r="AA28" s="263">
        <v>50000</v>
      </c>
      <c r="AB28" s="263" t="s">
        <v>75</v>
      </c>
      <c r="AC28" s="263" t="s">
        <v>75</v>
      </c>
      <c r="AD28" s="263" t="s">
        <v>75</v>
      </c>
      <c r="AE28" s="263" t="s">
        <v>75</v>
      </c>
      <c r="AF28" s="263" t="s">
        <v>75</v>
      </c>
      <c r="AG28" s="263" t="s">
        <v>75</v>
      </c>
      <c r="AH28" s="263" t="s">
        <v>75</v>
      </c>
      <c r="AI28" s="263" t="s">
        <v>75</v>
      </c>
      <c r="AJ28" s="301">
        <f t="shared" si="1"/>
        <v>50000</v>
      </c>
      <c r="AK28" s="263" t="s">
        <v>75</v>
      </c>
      <c r="AL28" s="263" t="s">
        <v>75</v>
      </c>
      <c r="AM28" s="263"/>
      <c r="AN28" s="264"/>
      <c r="AO28" s="264" t="s">
        <v>75</v>
      </c>
      <c r="AP28" s="264" t="s">
        <v>75</v>
      </c>
      <c r="AQ28" s="264" t="s">
        <v>75</v>
      </c>
      <c r="AR28" s="264" t="s">
        <v>75</v>
      </c>
      <c r="AS28" s="264" t="s">
        <v>75</v>
      </c>
      <c r="AT28" s="264" t="s">
        <v>460</v>
      </c>
      <c r="AU28" s="264" t="s">
        <v>75</v>
      </c>
      <c r="AV28" s="344" t="s">
        <v>701</v>
      </c>
    </row>
    <row r="29" spans="1:66" s="261" customFormat="1" ht="17.25" customHeight="1">
      <c r="A29" s="260">
        <v>359</v>
      </c>
      <c r="B29" s="261" t="s">
        <v>607</v>
      </c>
      <c r="C29" s="261" t="s">
        <v>1299</v>
      </c>
      <c r="D29" s="262">
        <v>39611</v>
      </c>
      <c r="E29" s="262">
        <v>39970</v>
      </c>
      <c r="F29" s="342" t="s">
        <v>737</v>
      </c>
      <c r="G29" s="259" t="s">
        <v>1452</v>
      </c>
      <c r="H29" s="261" t="s">
        <v>736</v>
      </c>
      <c r="I29" s="278" t="s">
        <v>2438</v>
      </c>
      <c r="J29" s="263">
        <v>76075</v>
      </c>
      <c r="K29" s="263">
        <v>8157607</v>
      </c>
      <c r="L29" s="263">
        <v>2107261</v>
      </c>
      <c r="M29" s="263">
        <v>2107261</v>
      </c>
      <c r="N29" s="256">
        <f t="shared" si="0"/>
        <v>27.699783108774238</v>
      </c>
      <c r="O29" s="263">
        <v>26</v>
      </c>
      <c r="P29" s="263">
        <v>11300</v>
      </c>
      <c r="Q29" s="263">
        <v>4680</v>
      </c>
      <c r="R29" s="263">
        <v>16214</v>
      </c>
      <c r="S29" s="263" t="s">
        <v>2</v>
      </c>
      <c r="T29" s="263">
        <v>234</v>
      </c>
      <c r="U29" s="263" t="s">
        <v>339</v>
      </c>
      <c r="V29" s="263">
        <v>557731</v>
      </c>
      <c r="W29" s="263">
        <v>145010.06</v>
      </c>
      <c r="X29" s="349">
        <f>W29/R29</f>
        <v>8.943509312939435</v>
      </c>
      <c r="Y29" s="318" t="s">
        <v>339</v>
      </c>
      <c r="Z29" s="263" t="s">
        <v>339</v>
      </c>
      <c r="AA29" s="263" t="s">
        <v>339</v>
      </c>
      <c r="AB29" s="330" t="s">
        <v>339</v>
      </c>
      <c r="AC29" s="263" t="s">
        <v>75</v>
      </c>
      <c r="AD29" s="263" t="s">
        <v>75</v>
      </c>
      <c r="AE29" s="263" t="s">
        <v>75</v>
      </c>
      <c r="AF29" s="263" t="s">
        <v>75</v>
      </c>
      <c r="AG29" s="263" t="s">
        <v>75</v>
      </c>
      <c r="AH29" s="263" t="s">
        <v>75</v>
      </c>
      <c r="AI29" s="263" t="s">
        <v>75</v>
      </c>
      <c r="AJ29" s="301">
        <f t="shared" si="1"/>
        <v>0</v>
      </c>
      <c r="AK29" s="263" t="s">
        <v>339</v>
      </c>
      <c r="AL29" s="263" t="s">
        <v>134</v>
      </c>
      <c r="AM29" s="263"/>
      <c r="AN29" s="319"/>
      <c r="AO29" s="264" t="s">
        <v>75</v>
      </c>
      <c r="AP29" s="264" t="s">
        <v>75</v>
      </c>
      <c r="AQ29" s="264" t="s">
        <v>75</v>
      </c>
      <c r="AR29" s="264" t="s">
        <v>75</v>
      </c>
      <c r="AS29" s="264" t="s">
        <v>75</v>
      </c>
      <c r="AT29" s="264" t="s">
        <v>75</v>
      </c>
      <c r="AU29" s="264" t="s">
        <v>75</v>
      </c>
      <c r="AV29" s="276" t="s">
        <v>735</v>
      </c>
    </row>
    <row r="30" spans="1:66" s="261" customFormat="1" ht="16.5" customHeight="1">
      <c r="A30" s="260">
        <v>360</v>
      </c>
      <c r="B30" s="362" t="s">
        <v>417</v>
      </c>
      <c r="C30" s="261" t="s">
        <v>1299</v>
      </c>
      <c r="D30" s="262">
        <v>39661</v>
      </c>
      <c r="E30" s="262">
        <v>39904</v>
      </c>
      <c r="F30" s="342" t="s">
        <v>168</v>
      </c>
      <c r="G30" s="254" t="s">
        <v>1449</v>
      </c>
      <c r="H30" s="261" t="s">
        <v>653</v>
      </c>
      <c r="I30" s="254" t="s">
        <v>2331</v>
      </c>
      <c r="J30" s="263">
        <v>90000</v>
      </c>
      <c r="K30" s="263">
        <v>108254</v>
      </c>
      <c r="L30" s="263">
        <v>107124</v>
      </c>
      <c r="M30" s="263">
        <v>107124</v>
      </c>
      <c r="N30" s="256">
        <f t="shared" si="0"/>
        <v>1.1902666666666666</v>
      </c>
      <c r="O30" s="263">
        <v>99</v>
      </c>
      <c r="P30" s="263">
        <f>3149*5</f>
        <v>15745</v>
      </c>
      <c r="Q30" s="263">
        <f>216*20</f>
        <v>4320</v>
      </c>
      <c r="R30" s="263">
        <f>3149*5</f>
        <v>15745</v>
      </c>
      <c r="S30" s="263" t="s">
        <v>95</v>
      </c>
      <c r="T30" s="263">
        <v>200</v>
      </c>
      <c r="U30" s="263">
        <v>27215</v>
      </c>
      <c r="V30" s="263">
        <v>8125</v>
      </c>
      <c r="W30" s="263">
        <v>8043.75</v>
      </c>
      <c r="X30" s="349">
        <f>W30/R30</f>
        <v>0.51087646872022863</v>
      </c>
      <c r="Y30" s="318" t="s">
        <v>339</v>
      </c>
      <c r="Z30" s="263" t="s">
        <v>75</v>
      </c>
      <c r="AA30" s="263">
        <v>27215</v>
      </c>
      <c r="AB30" s="263" t="s">
        <v>75</v>
      </c>
      <c r="AC30" s="263" t="s">
        <v>75</v>
      </c>
      <c r="AD30" s="263" t="s">
        <v>75</v>
      </c>
      <c r="AE30" s="263" t="s">
        <v>75</v>
      </c>
      <c r="AF30" s="263" t="s">
        <v>75</v>
      </c>
      <c r="AG30" s="263" t="s">
        <v>75</v>
      </c>
      <c r="AH30" s="263" t="s">
        <v>75</v>
      </c>
      <c r="AI30" s="263" t="s">
        <v>75</v>
      </c>
      <c r="AJ30" s="288">
        <f t="shared" si="1"/>
        <v>27215</v>
      </c>
      <c r="AK30" s="263">
        <v>28117</v>
      </c>
      <c r="AL30" s="263">
        <v>23063</v>
      </c>
      <c r="AM30" s="318">
        <f>AL30/AJ30</f>
        <v>0.84743707514238475</v>
      </c>
      <c r="AN30" s="264"/>
      <c r="AO30" s="264" t="s">
        <v>75</v>
      </c>
      <c r="AP30" s="264" t="s">
        <v>75</v>
      </c>
      <c r="AQ30" s="264" t="s">
        <v>75</v>
      </c>
      <c r="AR30" s="264" t="s">
        <v>75</v>
      </c>
      <c r="AS30" s="264" t="s">
        <v>75</v>
      </c>
      <c r="AT30" s="264" t="s">
        <v>75</v>
      </c>
      <c r="AU30" s="264" t="s">
        <v>75</v>
      </c>
      <c r="AV30" s="293" t="s">
        <v>652</v>
      </c>
    </row>
    <row r="31" spans="1:66" s="261" customFormat="1" ht="17.25" customHeight="1">
      <c r="A31" s="260">
        <v>361</v>
      </c>
      <c r="B31" s="261" t="s">
        <v>563</v>
      </c>
      <c r="C31" s="261" t="s">
        <v>1261</v>
      </c>
      <c r="D31" s="262">
        <v>39689</v>
      </c>
      <c r="E31" s="262">
        <v>40054</v>
      </c>
      <c r="F31" s="342" t="s">
        <v>5</v>
      </c>
      <c r="G31" s="259" t="s">
        <v>1451</v>
      </c>
      <c r="H31" s="261" t="s">
        <v>728</v>
      </c>
      <c r="I31" s="278" t="s">
        <v>2438</v>
      </c>
      <c r="J31" s="263">
        <v>100000</v>
      </c>
      <c r="K31" s="263">
        <v>2647699</v>
      </c>
      <c r="L31" s="263">
        <v>2084621</v>
      </c>
      <c r="M31" s="263">
        <v>2084621</v>
      </c>
      <c r="N31" s="256">
        <f t="shared" si="0"/>
        <v>20.846209999999999</v>
      </c>
      <c r="O31" s="263">
        <v>79</v>
      </c>
      <c r="P31" s="263" t="s">
        <v>339</v>
      </c>
      <c r="Q31" s="263" t="s">
        <v>339</v>
      </c>
      <c r="R31" s="263" t="s">
        <v>339</v>
      </c>
      <c r="S31" s="263" t="s">
        <v>95</v>
      </c>
      <c r="T31" s="263" t="s">
        <v>339</v>
      </c>
      <c r="U31" s="263" t="s">
        <v>339</v>
      </c>
      <c r="V31" s="263" t="s">
        <v>75</v>
      </c>
      <c r="W31" s="263" t="s">
        <v>75</v>
      </c>
      <c r="X31" s="263"/>
      <c r="Y31" s="263" t="s">
        <v>75</v>
      </c>
      <c r="Z31" s="263" t="s">
        <v>75</v>
      </c>
      <c r="AA31" s="263" t="s">
        <v>75</v>
      </c>
      <c r="AB31" s="263" t="s">
        <v>75</v>
      </c>
      <c r="AC31" s="263" t="s">
        <v>75</v>
      </c>
      <c r="AD31" s="263" t="s">
        <v>75</v>
      </c>
      <c r="AE31" s="263" t="s">
        <v>75</v>
      </c>
      <c r="AF31" s="263" t="s">
        <v>75</v>
      </c>
      <c r="AG31" s="263" t="s">
        <v>75</v>
      </c>
      <c r="AH31" s="263" t="s">
        <v>75</v>
      </c>
      <c r="AI31" s="263" t="s">
        <v>75</v>
      </c>
      <c r="AJ31" s="301">
        <f t="shared" si="1"/>
        <v>0</v>
      </c>
      <c r="AK31" s="263" t="s">
        <v>75</v>
      </c>
      <c r="AL31" s="263" t="s">
        <v>75</v>
      </c>
      <c r="AM31" s="263"/>
      <c r="AN31" s="264"/>
      <c r="AO31" s="264" t="s">
        <v>75</v>
      </c>
      <c r="AP31" s="264" t="s">
        <v>75</v>
      </c>
      <c r="AQ31" s="264" t="s">
        <v>75</v>
      </c>
      <c r="AR31" s="264" t="s">
        <v>75</v>
      </c>
      <c r="AS31" s="264" t="s">
        <v>75</v>
      </c>
      <c r="AT31" s="264" t="s">
        <v>75</v>
      </c>
      <c r="AU31" s="264" t="s">
        <v>75</v>
      </c>
      <c r="AV31" s="344" t="s">
        <v>727</v>
      </c>
    </row>
    <row r="32" spans="1:66" s="261" customFormat="1" ht="21.75" customHeight="1">
      <c r="A32" s="260">
        <v>362</v>
      </c>
      <c r="B32" s="261" t="s">
        <v>129</v>
      </c>
      <c r="C32" s="261" t="s">
        <v>1278</v>
      </c>
      <c r="D32" s="262">
        <v>39490</v>
      </c>
      <c r="E32" s="262">
        <v>39856</v>
      </c>
      <c r="F32" s="342" t="s">
        <v>641</v>
      </c>
      <c r="G32" s="259" t="s">
        <v>1452</v>
      </c>
      <c r="H32" s="261" t="s">
        <v>640</v>
      </c>
      <c r="I32" s="278" t="s">
        <v>2438</v>
      </c>
      <c r="J32" s="263">
        <v>150000</v>
      </c>
      <c r="K32" s="263">
        <v>5377198</v>
      </c>
      <c r="L32" s="263">
        <v>2517319</v>
      </c>
      <c r="M32" s="263">
        <v>2517319</v>
      </c>
      <c r="N32" s="256">
        <f t="shared" si="0"/>
        <v>16.782126666666667</v>
      </c>
      <c r="O32" s="263">
        <v>47</v>
      </c>
      <c r="P32" s="263" t="s">
        <v>75</v>
      </c>
      <c r="Q32" s="263" t="s">
        <v>75</v>
      </c>
      <c r="R32" s="263" t="s">
        <v>75</v>
      </c>
      <c r="S32" s="263" t="s">
        <v>95</v>
      </c>
      <c r="T32" s="263" t="s">
        <v>75</v>
      </c>
      <c r="U32" s="263" t="s">
        <v>75</v>
      </c>
      <c r="V32" s="263" t="s">
        <v>75</v>
      </c>
      <c r="W32" s="263" t="s">
        <v>75</v>
      </c>
      <c r="X32" s="263"/>
      <c r="Y32" s="263" t="s">
        <v>75</v>
      </c>
      <c r="Z32" s="263" t="s">
        <v>75</v>
      </c>
      <c r="AA32" s="263" t="s">
        <v>75</v>
      </c>
      <c r="AB32" s="263">
        <v>250</v>
      </c>
      <c r="AC32" s="263">
        <v>45200</v>
      </c>
      <c r="AD32" s="263" t="s">
        <v>75</v>
      </c>
      <c r="AE32" s="263" t="s">
        <v>75</v>
      </c>
      <c r="AF32" s="263" t="s">
        <v>75</v>
      </c>
      <c r="AG32" s="263" t="s">
        <v>75</v>
      </c>
      <c r="AH32" s="263">
        <v>1265</v>
      </c>
      <c r="AI32" s="263" t="s">
        <v>75</v>
      </c>
      <c r="AJ32" s="301">
        <f t="shared" si="1"/>
        <v>1265</v>
      </c>
      <c r="AK32" s="263">
        <v>675000</v>
      </c>
      <c r="AL32" s="263">
        <v>580873</v>
      </c>
      <c r="AM32" s="318">
        <f>AL32/AJ32</f>
        <v>459.18814229249011</v>
      </c>
      <c r="AN32" s="264"/>
      <c r="AO32" s="264" t="s">
        <v>75</v>
      </c>
      <c r="AP32" s="264" t="s">
        <v>75</v>
      </c>
      <c r="AQ32" s="264" t="s">
        <v>75</v>
      </c>
      <c r="AR32" s="264" t="s">
        <v>75</v>
      </c>
      <c r="AS32" s="264" t="s">
        <v>75</v>
      </c>
      <c r="AT32" s="264" t="s">
        <v>75</v>
      </c>
      <c r="AU32" s="264" t="s">
        <v>75</v>
      </c>
      <c r="AV32" s="344" t="s">
        <v>639</v>
      </c>
    </row>
    <row r="33" spans="1:66" s="261" customFormat="1" ht="18" customHeight="1">
      <c r="A33" s="260">
        <v>363</v>
      </c>
      <c r="B33" s="342" t="s">
        <v>142</v>
      </c>
      <c r="C33" s="342" t="s">
        <v>1299</v>
      </c>
      <c r="D33" s="317">
        <v>39661</v>
      </c>
      <c r="E33" s="317">
        <v>40422</v>
      </c>
      <c r="F33" s="342" t="s">
        <v>116</v>
      </c>
      <c r="G33" s="254" t="s">
        <v>1452</v>
      </c>
      <c r="H33" s="482" t="s">
        <v>2437</v>
      </c>
      <c r="I33" s="278" t="s">
        <v>2438</v>
      </c>
      <c r="J33" s="318">
        <v>260100</v>
      </c>
      <c r="K33" s="318">
        <v>38424041</v>
      </c>
      <c r="L33" s="318">
        <v>13359514</v>
      </c>
      <c r="M33" s="318">
        <v>13251250</v>
      </c>
      <c r="N33" s="256">
        <f t="shared" si="0"/>
        <v>50.946751249519416</v>
      </c>
      <c r="O33" s="318">
        <v>35</v>
      </c>
      <c r="P33" s="318">
        <v>15000</v>
      </c>
      <c r="Q33" s="318"/>
      <c r="R33" s="318">
        <v>15000</v>
      </c>
      <c r="S33" s="318" t="s">
        <v>2</v>
      </c>
      <c r="T33" s="318">
        <v>40</v>
      </c>
      <c r="U33" s="318">
        <v>100000</v>
      </c>
      <c r="V33" s="318">
        <v>1076027</v>
      </c>
      <c r="W33" s="318">
        <v>488366</v>
      </c>
      <c r="X33" s="349">
        <f>W33/R33</f>
        <v>32.557733333333331</v>
      </c>
      <c r="Y33" s="318"/>
      <c r="Z33" s="318"/>
      <c r="AA33" s="318"/>
      <c r="AB33" s="318"/>
      <c r="AC33" s="318"/>
      <c r="AD33" s="318"/>
      <c r="AE33" s="318"/>
      <c r="AF33" s="318"/>
      <c r="AG33" s="318"/>
      <c r="AH33" s="318"/>
      <c r="AI33" s="318"/>
      <c r="AJ33" s="301">
        <f t="shared" si="1"/>
        <v>0</v>
      </c>
      <c r="AK33" s="318"/>
      <c r="AL33" s="318"/>
      <c r="AM33" s="318"/>
      <c r="AN33" s="319"/>
      <c r="AO33" s="319"/>
      <c r="AP33" s="319"/>
      <c r="AQ33" s="319"/>
      <c r="AR33" s="319"/>
      <c r="AS33" s="319"/>
      <c r="AT33" s="319"/>
      <c r="AU33" s="319"/>
      <c r="AV33" s="363" t="s">
        <v>1500</v>
      </c>
      <c r="AW33" s="342"/>
      <c r="AX33" s="342"/>
      <c r="AY33" s="342"/>
      <c r="AZ33" s="342"/>
      <c r="BA33" s="342"/>
      <c r="BB33" s="342"/>
      <c r="BC33" s="342"/>
      <c r="BD33" s="342"/>
      <c r="BE33" s="342"/>
      <c r="BF33" s="342"/>
      <c r="BG33" s="342"/>
      <c r="BH33" s="342"/>
      <c r="BI33" s="342"/>
      <c r="BJ33" s="342"/>
      <c r="BK33" s="342"/>
      <c r="BL33" s="342"/>
      <c r="BM33" s="342"/>
      <c r="BN33" s="342"/>
    </row>
    <row r="34" spans="1:66" s="261" customFormat="1" ht="16.5" customHeight="1">
      <c r="A34" s="260">
        <v>364</v>
      </c>
      <c r="B34" s="261" t="s">
        <v>1484</v>
      </c>
      <c r="C34" s="261" t="s">
        <v>1261</v>
      </c>
      <c r="D34" s="262">
        <v>39764</v>
      </c>
      <c r="E34" s="262">
        <v>40068</v>
      </c>
      <c r="F34" s="342" t="s">
        <v>5</v>
      </c>
      <c r="G34" s="254" t="s">
        <v>1451</v>
      </c>
      <c r="H34" s="261" t="s">
        <v>742</v>
      </c>
      <c r="I34" s="278" t="s">
        <v>2438</v>
      </c>
      <c r="J34" s="263">
        <v>293860</v>
      </c>
      <c r="K34" s="263">
        <v>4779038</v>
      </c>
      <c r="L34" s="263">
        <v>2238026</v>
      </c>
      <c r="M34" s="263">
        <v>2238026</v>
      </c>
      <c r="N34" s="256">
        <f t="shared" si="0"/>
        <v>7.6159599809433063</v>
      </c>
      <c r="O34" s="263">
        <v>47</v>
      </c>
      <c r="P34" s="263">
        <v>17255</v>
      </c>
      <c r="R34" s="263">
        <v>17255</v>
      </c>
      <c r="S34" s="263" t="s">
        <v>95</v>
      </c>
      <c r="T34" s="263" t="s">
        <v>339</v>
      </c>
      <c r="U34" s="263">
        <v>17255</v>
      </c>
      <c r="V34" s="263">
        <v>847000</v>
      </c>
      <c r="W34" s="263">
        <v>258309</v>
      </c>
      <c r="X34" s="349">
        <f>W34/R34</f>
        <v>14.970095624456679</v>
      </c>
      <c r="Y34" s="263" t="s">
        <v>75</v>
      </c>
      <c r="Z34" s="263" t="s">
        <v>75</v>
      </c>
      <c r="AA34" s="263" t="s">
        <v>75</v>
      </c>
      <c r="AB34" s="263" t="s">
        <v>75</v>
      </c>
      <c r="AC34" s="263" t="s">
        <v>75</v>
      </c>
      <c r="AD34" s="263" t="s">
        <v>75</v>
      </c>
      <c r="AE34" s="263" t="s">
        <v>75</v>
      </c>
      <c r="AF34" s="263" t="s">
        <v>75</v>
      </c>
      <c r="AG34" s="263" t="s">
        <v>75</v>
      </c>
      <c r="AH34" s="263" t="s">
        <v>75</v>
      </c>
      <c r="AI34" s="263" t="s">
        <v>75</v>
      </c>
      <c r="AJ34" s="288">
        <f t="shared" si="1"/>
        <v>0</v>
      </c>
      <c r="AK34" s="263" t="s">
        <v>339</v>
      </c>
      <c r="AL34" s="263" t="s">
        <v>134</v>
      </c>
      <c r="AM34" s="263"/>
      <c r="AN34" s="264"/>
      <c r="AO34" s="264" t="s">
        <v>75</v>
      </c>
      <c r="AP34" s="264" t="s">
        <v>75</v>
      </c>
      <c r="AQ34" s="264" t="s">
        <v>75</v>
      </c>
      <c r="AR34" s="264" t="s">
        <v>75</v>
      </c>
      <c r="AS34" s="264" t="s">
        <v>75</v>
      </c>
      <c r="AT34" s="264" t="s">
        <v>75</v>
      </c>
      <c r="AU34" s="264" t="s">
        <v>2</v>
      </c>
      <c r="AV34" s="344" t="s">
        <v>741</v>
      </c>
    </row>
    <row r="35" spans="1:66" s="261" customFormat="1" ht="13.5" customHeight="1">
      <c r="A35" s="260">
        <v>365</v>
      </c>
      <c r="B35" s="261" t="s">
        <v>12</v>
      </c>
      <c r="C35" s="261" t="s">
        <v>1299</v>
      </c>
      <c r="D35" s="262">
        <v>39759</v>
      </c>
      <c r="E35" s="262">
        <v>39940</v>
      </c>
      <c r="F35" s="342" t="s">
        <v>5</v>
      </c>
      <c r="G35" s="254" t="s">
        <v>1451</v>
      </c>
      <c r="H35" s="261" t="s">
        <v>715</v>
      </c>
      <c r="I35" s="278" t="s">
        <v>2438</v>
      </c>
      <c r="J35" s="263">
        <v>300000</v>
      </c>
      <c r="K35" s="263">
        <v>6179533</v>
      </c>
      <c r="L35" s="263">
        <v>444203</v>
      </c>
      <c r="M35" s="263">
        <v>444203</v>
      </c>
      <c r="N35" s="256">
        <f t="shared" ref="N35:N66" si="5">M35/J35</f>
        <v>1.4806766666666666</v>
      </c>
      <c r="O35" s="263">
        <v>7</v>
      </c>
      <c r="P35" s="263">
        <v>19360</v>
      </c>
      <c r="Q35" s="263" t="s">
        <v>339</v>
      </c>
      <c r="R35" s="263">
        <v>100000</v>
      </c>
      <c r="S35" s="263" t="s">
        <v>714</v>
      </c>
      <c r="T35" s="263" t="s">
        <v>75</v>
      </c>
      <c r="U35" s="263" t="s">
        <v>75</v>
      </c>
      <c r="V35" s="263">
        <v>1059143</v>
      </c>
      <c r="W35" s="263">
        <v>74140.010000000009</v>
      </c>
      <c r="X35" s="349">
        <f>W35/R35</f>
        <v>0.74140010000000012</v>
      </c>
      <c r="Y35" s="263" t="s">
        <v>75</v>
      </c>
      <c r="Z35" s="263" t="s">
        <v>75</v>
      </c>
      <c r="AA35" s="263" t="s">
        <v>75</v>
      </c>
      <c r="AB35" s="263" t="s">
        <v>75</v>
      </c>
      <c r="AC35" s="263" t="s">
        <v>75</v>
      </c>
      <c r="AD35" s="263" t="s">
        <v>75</v>
      </c>
      <c r="AE35" s="263">
        <v>500</v>
      </c>
      <c r="AF35" s="263" t="s">
        <v>75</v>
      </c>
      <c r="AG35" s="263" t="s">
        <v>75</v>
      </c>
      <c r="AH35" s="263" t="s">
        <v>75</v>
      </c>
      <c r="AI35" s="263" t="s">
        <v>75</v>
      </c>
      <c r="AJ35" s="301">
        <f t="shared" ref="AJ35:AJ66" si="6">SUM(Z35,AA35,AH35)</f>
        <v>0</v>
      </c>
      <c r="AK35" s="263">
        <v>177917</v>
      </c>
      <c r="AL35" s="263">
        <v>12454.19</v>
      </c>
      <c r="AM35" s="318"/>
      <c r="AN35" s="264"/>
      <c r="AO35" s="264" t="s">
        <v>75</v>
      </c>
      <c r="AP35" s="264" t="s">
        <v>75</v>
      </c>
      <c r="AQ35" s="264" t="s">
        <v>75</v>
      </c>
      <c r="AR35" s="264" t="s">
        <v>75</v>
      </c>
      <c r="AS35" s="264" t="s">
        <v>75</v>
      </c>
      <c r="AT35" s="264" t="s">
        <v>75</v>
      </c>
      <c r="AU35" s="264" t="s">
        <v>75</v>
      </c>
      <c r="AV35" s="344" t="s">
        <v>713</v>
      </c>
    </row>
    <row r="36" spans="1:66" s="261" customFormat="1" ht="15" customHeight="1">
      <c r="A36" s="260">
        <v>366</v>
      </c>
      <c r="B36" s="261" t="s">
        <v>170</v>
      </c>
      <c r="C36" s="261" t="s">
        <v>1299</v>
      </c>
      <c r="D36" s="262">
        <v>39630</v>
      </c>
      <c r="E36" s="262">
        <v>39904</v>
      </c>
      <c r="F36" s="342" t="s">
        <v>620</v>
      </c>
      <c r="G36" s="254" t="s">
        <v>1449</v>
      </c>
      <c r="H36" s="261" t="s">
        <v>619</v>
      </c>
      <c r="I36" s="254" t="s">
        <v>2331</v>
      </c>
      <c r="J36" s="263">
        <v>400000</v>
      </c>
      <c r="K36" s="263">
        <v>126310</v>
      </c>
      <c r="L36" s="263">
        <v>126119</v>
      </c>
      <c r="M36" s="263">
        <v>126119</v>
      </c>
      <c r="N36" s="256">
        <f t="shared" si="5"/>
        <v>0.31529750000000001</v>
      </c>
      <c r="O36" s="263">
        <v>100</v>
      </c>
      <c r="P36" s="263" t="s">
        <v>339</v>
      </c>
      <c r="Q36" s="263">
        <v>52397</v>
      </c>
      <c r="R36" s="263">
        <v>52397</v>
      </c>
      <c r="S36" s="263" t="s">
        <v>94</v>
      </c>
      <c r="T36" s="263">
        <f>70+50</f>
        <v>120</v>
      </c>
      <c r="U36" s="263">
        <v>52397</v>
      </c>
      <c r="V36" s="263">
        <v>17500</v>
      </c>
      <c r="W36" s="263">
        <v>6512</v>
      </c>
      <c r="X36" s="349">
        <f>W36/R36</f>
        <v>0.12428192453766437</v>
      </c>
      <c r="Y36" s="263">
        <v>52397</v>
      </c>
      <c r="Z36" s="263">
        <v>52397</v>
      </c>
      <c r="AA36" s="263" t="s">
        <v>339</v>
      </c>
      <c r="AB36" s="263">
        <v>70</v>
      </c>
      <c r="AC36" s="263" t="s">
        <v>75</v>
      </c>
      <c r="AD36" s="263" t="s">
        <v>75</v>
      </c>
      <c r="AE36" s="263" t="s">
        <v>75</v>
      </c>
      <c r="AF36" s="263" t="s">
        <v>75</v>
      </c>
      <c r="AG36" s="263" t="s">
        <v>75</v>
      </c>
      <c r="AH36" s="263" t="s">
        <v>75</v>
      </c>
      <c r="AI36" s="263" t="s">
        <v>75</v>
      </c>
      <c r="AJ36" s="288">
        <f t="shared" si="6"/>
        <v>52397</v>
      </c>
      <c r="AK36" s="263" t="s">
        <v>339</v>
      </c>
      <c r="AL36" s="263">
        <v>1205</v>
      </c>
      <c r="AM36" s="318">
        <f t="shared" ref="AM36" si="7">AL36/AJ36</f>
        <v>2.2997499856862034E-2</v>
      </c>
      <c r="AN36" s="264"/>
      <c r="AO36" s="264" t="s">
        <v>75</v>
      </c>
      <c r="AP36" s="264" t="s">
        <v>75</v>
      </c>
      <c r="AQ36" s="264" t="s">
        <v>75</v>
      </c>
      <c r="AR36" s="264" t="s">
        <v>75</v>
      </c>
      <c r="AS36" s="264" t="s">
        <v>75</v>
      </c>
      <c r="AT36" s="264" t="s">
        <v>371</v>
      </c>
      <c r="AU36" s="264" t="s">
        <v>75</v>
      </c>
      <c r="AV36" s="293" t="s">
        <v>618</v>
      </c>
    </row>
    <row r="37" spans="1:66" s="261" customFormat="1" ht="15.75" customHeight="1">
      <c r="A37" s="260">
        <v>367</v>
      </c>
      <c r="B37" s="261" t="s">
        <v>148</v>
      </c>
      <c r="C37" s="261" t="s">
        <v>1299</v>
      </c>
      <c r="D37" s="262">
        <v>39639</v>
      </c>
      <c r="E37" s="262">
        <v>39783</v>
      </c>
      <c r="F37" s="342" t="s">
        <v>546</v>
      </c>
      <c r="G37" s="254" t="s">
        <v>1449</v>
      </c>
      <c r="H37" s="261" t="s">
        <v>700</v>
      </c>
      <c r="I37" s="278" t="s">
        <v>2438</v>
      </c>
      <c r="J37" s="263">
        <v>425095</v>
      </c>
      <c r="K37" s="263">
        <v>947079</v>
      </c>
      <c r="L37" s="263">
        <v>148186</v>
      </c>
      <c r="M37" s="263">
        <v>148186</v>
      </c>
      <c r="N37" s="256">
        <f t="shared" si="5"/>
        <v>0.34859501993672004</v>
      </c>
      <c r="O37" s="263">
        <v>16</v>
      </c>
      <c r="P37" s="263">
        <v>12000</v>
      </c>
      <c r="Q37" s="263" t="s">
        <v>339</v>
      </c>
      <c r="R37" s="263">
        <v>85019</v>
      </c>
      <c r="S37" s="263" t="s">
        <v>95</v>
      </c>
      <c r="T37" s="263">
        <v>150</v>
      </c>
      <c r="U37" s="263">
        <v>35111</v>
      </c>
      <c r="V37" s="263">
        <v>283157</v>
      </c>
      <c r="W37" s="263">
        <v>45305.120000000003</v>
      </c>
      <c r="X37" s="349">
        <f>W37/R37</f>
        <v>0.53288229689834044</v>
      </c>
      <c r="Y37" s="263" t="s">
        <v>75</v>
      </c>
      <c r="Z37" s="263" t="s">
        <v>75</v>
      </c>
      <c r="AA37" s="263" t="s">
        <v>75</v>
      </c>
      <c r="AB37" s="263" t="s">
        <v>75</v>
      </c>
      <c r="AC37" s="263" t="s">
        <v>75</v>
      </c>
      <c r="AD37" s="263" t="s">
        <v>75</v>
      </c>
      <c r="AE37" s="263" t="s">
        <v>75</v>
      </c>
      <c r="AF37" s="263" t="s">
        <v>75</v>
      </c>
      <c r="AG37" s="263" t="s">
        <v>75</v>
      </c>
      <c r="AH37" s="263" t="s">
        <v>75</v>
      </c>
      <c r="AI37" s="263" t="s">
        <v>75</v>
      </c>
      <c r="AJ37" s="301">
        <f t="shared" si="6"/>
        <v>0</v>
      </c>
      <c r="AK37" s="263">
        <v>53436</v>
      </c>
      <c r="AL37" s="263">
        <v>31890</v>
      </c>
      <c r="AM37" s="318"/>
      <c r="AN37" s="264"/>
      <c r="AO37" s="264" t="s">
        <v>75</v>
      </c>
      <c r="AP37" s="264" t="s">
        <v>75</v>
      </c>
      <c r="AQ37" s="264" t="s">
        <v>75</v>
      </c>
      <c r="AR37" s="264" t="s">
        <v>75</v>
      </c>
      <c r="AS37" s="264" t="s">
        <v>75</v>
      </c>
      <c r="AT37" s="264" t="s">
        <v>75</v>
      </c>
      <c r="AU37" s="264" t="s">
        <v>75</v>
      </c>
      <c r="AV37" s="344" t="s">
        <v>699</v>
      </c>
    </row>
    <row r="38" spans="1:66" s="261" customFormat="1" ht="18" customHeight="1">
      <c r="A38" s="260">
        <v>368</v>
      </c>
      <c r="B38" s="261" t="s">
        <v>270</v>
      </c>
      <c r="C38" s="261" t="s">
        <v>1299</v>
      </c>
      <c r="D38" s="262">
        <v>39798</v>
      </c>
      <c r="E38" s="262"/>
      <c r="F38" s="342" t="s">
        <v>672</v>
      </c>
      <c r="G38" s="254" t="s">
        <v>1449</v>
      </c>
      <c r="H38" s="261" t="s">
        <v>671</v>
      </c>
      <c r="I38" s="254" t="s">
        <v>2331</v>
      </c>
      <c r="J38" s="263">
        <v>600000</v>
      </c>
      <c r="K38" s="263">
        <v>173430</v>
      </c>
      <c r="L38" s="263">
        <v>171902</v>
      </c>
      <c r="M38" s="263">
        <v>171902</v>
      </c>
      <c r="N38" s="256">
        <f t="shared" si="5"/>
        <v>0.28650333333333333</v>
      </c>
      <c r="O38" s="263">
        <v>99</v>
      </c>
      <c r="P38" s="263" t="s">
        <v>75</v>
      </c>
      <c r="Q38" s="263">
        <v>80</v>
      </c>
      <c r="R38" s="263" t="s">
        <v>339</v>
      </c>
      <c r="S38" s="263" t="s">
        <v>95</v>
      </c>
      <c r="T38" s="263">
        <v>250</v>
      </c>
      <c r="U38" s="263">
        <v>135900</v>
      </c>
      <c r="V38" s="263">
        <v>31923</v>
      </c>
      <c r="W38" s="263">
        <v>41733</v>
      </c>
      <c r="X38" s="263"/>
      <c r="Y38" s="318" t="s">
        <v>339</v>
      </c>
      <c r="Z38" s="263" t="s">
        <v>75</v>
      </c>
      <c r="AA38" s="263">
        <v>135900</v>
      </c>
      <c r="AB38" s="263" t="s">
        <v>75</v>
      </c>
      <c r="AC38" s="263" t="s">
        <v>75</v>
      </c>
      <c r="AD38" s="263" t="s">
        <v>75</v>
      </c>
      <c r="AE38" s="263" t="s">
        <v>75</v>
      </c>
      <c r="AF38" s="263" t="s">
        <v>75</v>
      </c>
      <c r="AG38" s="263" t="s">
        <v>75</v>
      </c>
      <c r="AH38" s="263" t="s">
        <v>75</v>
      </c>
      <c r="AI38" s="263" t="s">
        <v>75</v>
      </c>
      <c r="AJ38" s="301">
        <f t="shared" si="6"/>
        <v>135900</v>
      </c>
      <c r="AK38" s="263" t="s">
        <v>75</v>
      </c>
      <c r="AL38" s="263" t="s">
        <v>75</v>
      </c>
      <c r="AM38" s="263"/>
      <c r="AN38" s="264"/>
      <c r="AO38" s="264" t="s">
        <v>75</v>
      </c>
      <c r="AP38" s="264" t="s">
        <v>75</v>
      </c>
      <c r="AQ38" s="264" t="s">
        <v>75</v>
      </c>
      <c r="AR38" s="264" t="s">
        <v>75</v>
      </c>
      <c r="AS38" s="264" t="s">
        <v>75</v>
      </c>
      <c r="AT38" s="264" t="s">
        <v>75</v>
      </c>
      <c r="AU38" s="264" t="s">
        <v>75</v>
      </c>
      <c r="AV38" s="276" t="s">
        <v>670</v>
      </c>
    </row>
    <row r="39" spans="1:66" s="261" customFormat="1" ht="18.75" customHeight="1">
      <c r="A39" s="260">
        <v>369</v>
      </c>
      <c r="B39" s="261" t="s">
        <v>87</v>
      </c>
      <c r="C39" s="261" t="s">
        <v>1261</v>
      </c>
      <c r="D39" s="262">
        <v>39569</v>
      </c>
      <c r="E39" s="262">
        <v>40787</v>
      </c>
      <c r="F39" s="261" t="s">
        <v>88</v>
      </c>
      <c r="G39" s="254" t="s">
        <v>1450</v>
      </c>
      <c r="H39" s="261" t="s">
        <v>436</v>
      </c>
      <c r="I39" s="278" t="s">
        <v>2438</v>
      </c>
      <c r="J39" s="263">
        <v>870000</v>
      </c>
      <c r="K39" s="263">
        <v>68599213</v>
      </c>
      <c r="L39" s="263">
        <v>55447165</v>
      </c>
      <c r="M39" s="263">
        <v>64841259</v>
      </c>
      <c r="N39" s="256">
        <f t="shared" si="5"/>
        <v>74.530182758620683</v>
      </c>
      <c r="O39" s="263">
        <v>102</v>
      </c>
      <c r="P39" s="263">
        <f>(75000*5)+62500</f>
        <v>437500</v>
      </c>
      <c r="Q39" s="263">
        <f>12000+(43000*5)</f>
        <v>227000</v>
      </c>
      <c r="R39" s="263">
        <f>(75000*5)+62500</f>
        <v>437500</v>
      </c>
      <c r="S39" s="263"/>
      <c r="T39" s="263"/>
      <c r="U39" s="263">
        <v>127410</v>
      </c>
      <c r="V39" s="263">
        <v>2501399</v>
      </c>
      <c r="W39" s="263">
        <v>4550347</v>
      </c>
      <c r="X39" s="349">
        <f>W39/R39</f>
        <v>10.400793142857143</v>
      </c>
      <c r="Y39" s="263">
        <v>160014</v>
      </c>
      <c r="Z39" s="263">
        <v>70363</v>
      </c>
      <c r="AA39" s="263">
        <v>77255</v>
      </c>
      <c r="AB39" s="263">
        <v>77255</v>
      </c>
      <c r="AC39" s="263">
        <v>4358</v>
      </c>
      <c r="AD39" s="263"/>
      <c r="AE39" s="263"/>
      <c r="AF39" s="263"/>
      <c r="AG39" s="263"/>
      <c r="AH39" s="263"/>
      <c r="AI39" s="263"/>
      <c r="AJ39" s="288">
        <f t="shared" si="6"/>
        <v>147618</v>
      </c>
      <c r="AK39" s="263">
        <v>825845</v>
      </c>
      <c r="AL39" s="263">
        <v>840604</v>
      </c>
      <c r="AM39" s="318">
        <f t="shared" ref="AM39:AM41" si="8">AL39/AJ39</f>
        <v>5.6944546058068797</v>
      </c>
      <c r="AN39" s="264"/>
      <c r="AO39" s="264">
        <v>1</v>
      </c>
      <c r="AP39" s="264"/>
      <c r="AQ39" s="264">
        <v>1</v>
      </c>
      <c r="AR39" s="264"/>
      <c r="AS39" s="264"/>
      <c r="AT39" s="264"/>
      <c r="AU39" s="264"/>
      <c r="AV39" s="265" t="s">
        <v>89</v>
      </c>
    </row>
    <row r="40" spans="1:66" s="261" customFormat="1" ht="14.25" customHeight="1">
      <c r="A40" s="260">
        <v>370</v>
      </c>
      <c r="B40" s="364" t="s">
        <v>121</v>
      </c>
      <c r="C40" s="342" t="s">
        <v>1261</v>
      </c>
      <c r="D40" s="317">
        <v>39569</v>
      </c>
      <c r="E40" s="317">
        <v>40787</v>
      </c>
      <c r="F40" s="342" t="s">
        <v>1438</v>
      </c>
      <c r="G40" s="254" t="s">
        <v>1454</v>
      </c>
      <c r="H40" s="319" t="s">
        <v>1439</v>
      </c>
      <c r="I40" s="278" t="s">
        <v>2438</v>
      </c>
      <c r="J40" s="318">
        <v>1000000</v>
      </c>
      <c r="K40" s="318">
        <v>152857778</v>
      </c>
      <c r="L40" s="318">
        <v>150452383</v>
      </c>
      <c r="M40" s="318">
        <v>128785707</v>
      </c>
      <c r="N40" s="256">
        <f t="shared" si="5"/>
        <v>128.785707</v>
      </c>
      <c r="O40" s="318">
        <v>98</v>
      </c>
      <c r="P40" s="318">
        <v>13875</v>
      </c>
      <c r="Q40" s="318"/>
      <c r="R40" s="318">
        <v>13875</v>
      </c>
      <c r="S40" s="318"/>
      <c r="T40" s="318"/>
      <c r="U40" s="318">
        <f>4202*5</f>
        <v>21010</v>
      </c>
      <c r="V40" s="318">
        <v>3416337</v>
      </c>
      <c r="W40" s="318">
        <v>2025486</v>
      </c>
      <c r="X40" s="349">
        <f>W40/R40</f>
        <v>145.98097297297298</v>
      </c>
      <c r="Y40" s="318"/>
      <c r="Z40" s="318">
        <v>230000</v>
      </c>
      <c r="AA40" s="318"/>
      <c r="AB40" s="318">
        <v>80</v>
      </c>
      <c r="AC40" s="318">
        <v>1130</v>
      </c>
      <c r="AD40" s="318"/>
      <c r="AE40" s="318"/>
      <c r="AF40" s="318"/>
      <c r="AG40" s="318"/>
      <c r="AH40" s="318">
        <v>23000</v>
      </c>
      <c r="AI40" s="318"/>
      <c r="AJ40" s="301">
        <f t="shared" si="6"/>
        <v>253000</v>
      </c>
      <c r="AK40" s="318">
        <v>598581</v>
      </c>
      <c r="AL40" s="318">
        <v>7355</v>
      </c>
      <c r="AM40" s="318">
        <f t="shared" si="8"/>
        <v>2.9071146245059288E-2</v>
      </c>
      <c r="AN40" s="319"/>
      <c r="AO40" s="319">
        <v>2</v>
      </c>
      <c r="AP40" s="319">
        <v>1</v>
      </c>
      <c r="AQ40" s="319"/>
      <c r="AR40" s="319"/>
      <c r="AS40" s="319"/>
      <c r="AT40" s="319"/>
      <c r="AU40" s="319"/>
      <c r="AV40" s="363" t="s">
        <v>1440</v>
      </c>
      <c r="AW40" s="342"/>
      <c r="AX40" s="342"/>
      <c r="AY40" s="342"/>
      <c r="AZ40" s="342"/>
      <c r="BA40" s="342"/>
      <c r="BB40" s="342"/>
      <c r="BC40" s="342"/>
      <c r="BD40" s="342"/>
      <c r="BE40" s="342"/>
      <c r="BF40" s="342"/>
      <c r="BG40" s="342"/>
      <c r="BH40" s="342"/>
      <c r="BI40" s="342"/>
      <c r="BJ40" s="342"/>
      <c r="BK40" s="342"/>
      <c r="BL40" s="342"/>
      <c r="BM40" s="342"/>
    </row>
    <row r="41" spans="1:66" s="261" customFormat="1" ht="18.75" customHeight="1">
      <c r="A41" s="260">
        <v>371</v>
      </c>
      <c r="B41" s="266" t="s">
        <v>964</v>
      </c>
      <c r="C41" s="266" t="s">
        <v>1299</v>
      </c>
      <c r="D41" s="317">
        <v>39783</v>
      </c>
      <c r="E41" s="317">
        <v>40238</v>
      </c>
      <c r="F41" s="266" t="s">
        <v>168</v>
      </c>
      <c r="G41" s="254" t="s">
        <v>1449</v>
      </c>
      <c r="H41" s="266" t="s">
        <v>965</v>
      </c>
      <c r="I41" s="278" t="s">
        <v>2438</v>
      </c>
      <c r="J41" s="318">
        <v>1500000</v>
      </c>
      <c r="K41" s="318">
        <v>6345380</v>
      </c>
      <c r="L41" s="318">
        <v>2384396</v>
      </c>
      <c r="M41" s="318">
        <v>3021989</v>
      </c>
      <c r="N41" s="256">
        <f t="shared" si="5"/>
        <v>2.0146593333333334</v>
      </c>
      <c r="O41" s="318">
        <v>48</v>
      </c>
      <c r="P41" s="318">
        <v>55000</v>
      </c>
      <c r="Q41" s="318"/>
      <c r="R41" s="318">
        <v>55000</v>
      </c>
      <c r="S41" s="318"/>
      <c r="T41" s="318"/>
      <c r="U41" s="318">
        <v>250000</v>
      </c>
      <c r="V41" s="318">
        <v>1352650</v>
      </c>
      <c r="W41" s="318">
        <v>338936</v>
      </c>
      <c r="X41" s="349">
        <f>W41/R41</f>
        <v>6.1624727272727275</v>
      </c>
      <c r="Y41" s="318"/>
      <c r="Z41" s="318"/>
      <c r="AA41" s="318">
        <v>250000</v>
      </c>
      <c r="AB41" s="318">
        <v>1170</v>
      </c>
      <c r="AC41" s="318"/>
      <c r="AD41" s="318"/>
      <c r="AE41" s="318"/>
      <c r="AF41" s="318"/>
      <c r="AG41" s="318"/>
      <c r="AH41" s="318"/>
      <c r="AI41" s="318"/>
      <c r="AJ41" s="301">
        <f t="shared" si="6"/>
        <v>250000</v>
      </c>
      <c r="AK41" s="318">
        <v>74761</v>
      </c>
      <c r="AL41" s="318">
        <v>119266</v>
      </c>
      <c r="AM41" s="318">
        <f t="shared" si="8"/>
        <v>0.47706399999999999</v>
      </c>
      <c r="AN41" s="319"/>
      <c r="AO41" s="319">
        <v>1</v>
      </c>
      <c r="AP41" s="319">
        <v>2</v>
      </c>
      <c r="AQ41" s="319">
        <v>1</v>
      </c>
      <c r="AR41" s="319"/>
      <c r="AS41" s="319">
        <v>3</v>
      </c>
      <c r="AT41" s="319"/>
      <c r="AU41" s="319"/>
      <c r="AV41" s="320" t="s">
        <v>966</v>
      </c>
      <c r="AW41" s="266"/>
      <c r="AX41" s="266"/>
      <c r="AY41" s="266"/>
      <c r="AZ41" s="266"/>
      <c r="BA41" s="266"/>
      <c r="BB41" s="266"/>
      <c r="BC41" s="266"/>
      <c r="BD41" s="266"/>
      <c r="BE41" s="266"/>
      <c r="BF41" s="266"/>
      <c r="BG41" s="266"/>
      <c r="BH41" s="266"/>
      <c r="BI41" s="266"/>
      <c r="BJ41" s="266"/>
      <c r="BK41" s="266"/>
      <c r="BL41" s="266"/>
      <c r="BM41" s="266"/>
      <c r="BN41" s="266"/>
    </row>
    <row r="42" spans="1:66" s="261" customFormat="1" ht="14.25" customHeight="1">
      <c r="A42" s="260">
        <v>372</v>
      </c>
      <c r="B42" s="342" t="s">
        <v>477</v>
      </c>
      <c r="C42" s="342" t="s">
        <v>1299</v>
      </c>
      <c r="D42" s="317">
        <v>39479</v>
      </c>
      <c r="E42" s="317">
        <v>39753</v>
      </c>
      <c r="F42" s="342" t="s">
        <v>569</v>
      </c>
      <c r="G42" s="254" t="s">
        <v>1449</v>
      </c>
      <c r="H42" s="342" t="s">
        <v>841</v>
      </c>
      <c r="I42" s="254" t="s">
        <v>2331</v>
      </c>
      <c r="J42" s="318">
        <v>1800000</v>
      </c>
      <c r="K42" s="318">
        <v>50000</v>
      </c>
      <c r="L42" s="318">
        <v>42874</v>
      </c>
      <c r="M42" s="318">
        <v>42874</v>
      </c>
      <c r="N42" s="256">
        <f t="shared" si="5"/>
        <v>2.3818888888888889E-2</v>
      </c>
      <c r="O42" s="318">
        <v>86</v>
      </c>
      <c r="P42" s="318" t="s">
        <v>75</v>
      </c>
      <c r="Q42" s="318" t="s">
        <v>75</v>
      </c>
      <c r="R42" s="318" t="s">
        <v>75</v>
      </c>
      <c r="S42" s="318" t="s">
        <v>849</v>
      </c>
      <c r="T42" s="318" t="s">
        <v>75</v>
      </c>
      <c r="U42" s="263" t="s">
        <v>339</v>
      </c>
      <c r="V42" s="318" t="s">
        <v>75</v>
      </c>
      <c r="W42" s="318" t="s">
        <v>75</v>
      </c>
      <c r="X42" s="318"/>
      <c r="Y42" s="318" t="s">
        <v>339</v>
      </c>
      <c r="Z42" s="318" t="s">
        <v>75</v>
      </c>
      <c r="AA42" s="318" t="s">
        <v>94</v>
      </c>
      <c r="AB42" s="318">
        <v>300</v>
      </c>
      <c r="AC42" s="318" t="s">
        <v>75</v>
      </c>
      <c r="AD42" s="318" t="s">
        <v>75</v>
      </c>
      <c r="AE42" s="318" t="s">
        <v>75</v>
      </c>
      <c r="AF42" s="318" t="s">
        <v>75</v>
      </c>
      <c r="AG42" s="318" t="s">
        <v>75</v>
      </c>
      <c r="AH42" s="318" t="s">
        <v>75</v>
      </c>
      <c r="AI42" s="318" t="s">
        <v>75</v>
      </c>
      <c r="AJ42" s="301">
        <f t="shared" si="6"/>
        <v>0</v>
      </c>
      <c r="AK42" s="318" t="s">
        <v>75</v>
      </c>
      <c r="AL42" s="318" t="s">
        <v>75</v>
      </c>
      <c r="AM42" s="318"/>
      <c r="AN42" s="319"/>
      <c r="AO42" s="319" t="s">
        <v>75</v>
      </c>
      <c r="AP42" s="319" t="s">
        <v>75</v>
      </c>
      <c r="AQ42" s="319" t="s">
        <v>75</v>
      </c>
      <c r="AR42" s="319" t="s">
        <v>75</v>
      </c>
      <c r="AS42" s="319" t="s">
        <v>75</v>
      </c>
      <c r="AT42" s="319" t="s">
        <v>75</v>
      </c>
      <c r="AU42" s="319" t="s">
        <v>94</v>
      </c>
      <c r="AV42" s="359" t="s">
        <v>840</v>
      </c>
      <c r="AW42" s="342"/>
      <c r="AX42" s="342"/>
      <c r="AY42" s="342"/>
      <c r="AZ42" s="342"/>
      <c r="BA42" s="342"/>
      <c r="BB42" s="342"/>
      <c r="BC42" s="342"/>
      <c r="BD42" s="342"/>
      <c r="BE42" s="342"/>
      <c r="BF42" s="342"/>
      <c r="BG42" s="342"/>
      <c r="BH42" s="342"/>
      <c r="BI42" s="342"/>
      <c r="BJ42" s="342"/>
      <c r="BK42" s="342"/>
      <c r="BL42" s="342"/>
      <c r="BM42" s="342"/>
      <c r="BN42" s="342"/>
    </row>
    <row r="43" spans="1:66" s="261" customFormat="1" ht="15" customHeight="1">
      <c r="A43" s="260">
        <v>373</v>
      </c>
      <c r="B43" s="365" t="s">
        <v>2371</v>
      </c>
      <c r="C43" s="342" t="s">
        <v>1299</v>
      </c>
      <c r="D43" s="317">
        <v>39722</v>
      </c>
      <c r="E43" s="317">
        <v>41609</v>
      </c>
      <c r="F43" s="342" t="s">
        <v>1497</v>
      </c>
      <c r="G43" s="254" t="s">
        <v>1452</v>
      </c>
      <c r="H43" s="319" t="s">
        <v>1498</v>
      </c>
      <c r="I43" s="278" t="s">
        <v>2438</v>
      </c>
      <c r="J43" s="318">
        <v>2200000</v>
      </c>
      <c r="K43" s="318">
        <v>75760326</v>
      </c>
      <c r="L43" s="318">
        <v>12643303</v>
      </c>
      <c r="M43" s="318">
        <v>11786531</v>
      </c>
      <c r="N43" s="256">
        <f t="shared" si="5"/>
        <v>5.357514090909091</v>
      </c>
      <c r="O43" s="318">
        <v>17</v>
      </c>
      <c r="P43" s="318">
        <v>3300</v>
      </c>
      <c r="Q43" s="318">
        <v>1900</v>
      </c>
      <c r="R43" s="318">
        <v>3300</v>
      </c>
      <c r="S43" s="318"/>
      <c r="T43" s="318"/>
      <c r="U43" s="318"/>
      <c r="V43" s="318">
        <v>2889221</v>
      </c>
      <c r="W43" s="318">
        <v>66019</v>
      </c>
      <c r="X43" s="349">
        <f>W43/R43</f>
        <v>20.005757575757574</v>
      </c>
      <c r="Y43" s="318"/>
      <c r="Z43" s="318"/>
      <c r="AA43" s="318">
        <v>21736</v>
      </c>
      <c r="AB43" s="318">
        <v>250</v>
      </c>
      <c r="AC43" s="318"/>
      <c r="AD43" s="318"/>
      <c r="AE43" s="318"/>
      <c r="AF43" s="318"/>
      <c r="AG43" s="318"/>
      <c r="AH43" s="318">
        <v>26922</v>
      </c>
      <c r="AI43" s="318"/>
      <c r="AJ43" s="301">
        <f t="shared" si="6"/>
        <v>48658</v>
      </c>
      <c r="AK43" s="318">
        <v>1506490</v>
      </c>
      <c r="AL43" s="318">
        <v>18884</v>
      </c>
      <c r="AM43" s="318">
        <f>AL43/AJ43</f>
        <v>0.38809651033745735</v>
      </c>
      <c r="AN43" s="319"/>
      <c r="AO43" s="319"/>
      <c r="AP43" s="319"/>
      <c r="AQ43" s="319"/>
      <c r="AR43" s="319"/>
      <c r="AS43" s="319"/>
      <c r="AT43" s="319"/>
      <c r="AU43" s="319"/>
      <c r="AV43" s="363" t="s">
        <v>1499</v>
      </c>
      <c r="AW43" s="342"/>
      <c r="AX43" s="342"/>
      <c r="AY43" s="342"/>
      <c r="AZ43" s="342"/>
      <c r="BA43" s="342"/>
      <c r="BB43" s="342"/>
      <c r="BC43" s="342"/>
      <c r="BD43" s="342"/>
      <c r="BE43" s="342"/>
      <c r="BF43" s="342"/>
      <c r="BG43" s="342"/>
      <c r="BH43" s="342"/>
      <c r="BI43" s="342"/>
      <c r="BJ43" s="342"/>
      <c r="BK43" s="342"/>
      <c r="BL43" s="342"/>
      <c r="BM43" s="342"/>
    </row>
    <row r="44" spans="1:66" s="261" customFormat="1" ht="16.5" customHeight="1">
      <c r="A44" s="260">
        <v>374</v>
      </c>
      <c r="B44" s="342" t="s">
        <v>119</v>
      </c>
      <c r="C44" s="342" t="s">
        <v>1299</v>
      </c>
      <c r="D44" s="317">
        <v>39448</v>
      </c>
      <c r="E44" s="317">
        <v>39692</v>
      </c>
      <c r="F44" s="342" t="s">
        <v>569</v>
      </c>
      <c r="G44" s="254" t="s">
        <v>1449</v>
      </c>
      <c r="H44" s="342" t="s">
        <v>814</v>
      </c>
      <c r="I44" s="254" t="s">
        <v>2331</v>
      </c>
      <c r="J44" s="318">
        <v>2260800</v>
      </c>
      <c r="K44" s="318">
        <v>95000</v>
      </c>
      <c r="L44" s="318">
        <v>89847</v>
      </c>
      <c r="M44" s="318">
        <v>89847</v>
      </c>
      <c r="N44" s="256">
        <f t="shared" si="5"/>
        <v>3.9741242038216558E-2</v>
      </c>
      <c r="O44" s="318">
        <v>95</v>
      </c>
      <c r="P44" s="318" t="s">
        <v>75</v>
      </c>
      <c r="Q44" s="318" t="s">
        <v>75</v>
      </c>
      <c r="R44" s="318" t="s">
        <v>75</v>
      </c>
      <c r="S44" s="318" t="s">
        <v>849</v>
      </c>
      <c r="T44" s="318" t="s">
        <v>75</v>
      </c>
      <c r="U44" s="318">
        <v>1200000</v>
      </c>
      <c r="V44" s="318" t="s">
        <v>75</v>
      </c>
      <c r="W44" s="318" t="s">
        <v>75</v>
      </c>
      <c r="X44" s="318"/>
      <c r="Y44" s="318">
        <v>2260800</v>
      </c>
      <c r="Z44" s="318" t="s">
        <v>75</v>
      </c>
      <c r="AA44" s="318" t="s">
        <v>339</v>
      </c>
      <c r="AB44" s="318">
        <v>1625</v>
      </c>
      <c r="AC44" s="318" t="s">
        <v>75</v>
      </c>
      <c r="AD44" s="318" t="s">
        <v>75</v>
      </c>
      <c r="AE44" s="318" t="s">
        <v>75</v>
      </c>
      <c r="AF44" s="318" t="s">
        <v>75</v>
      </c>
      <c r="AG44" s="318" t="s">
        <v>75</v>
      </c>
      <c r="AH44" s="318" t="s">
        <v>75</v>
      </c>
      <c r="AI44" s="318" t="s">
        <v>75</v>
      </c>
      <c r="AJ44" s="301">
        <f t="shared" si="6"/>
        <v>0</v>
      </c>
      <c r="AK44" s="318" t="s">
        <v>75</v>
      </c>
      <c r="AL44" s="318" t="s">
        <v>75</v>
      </c>
      <c r="AM44" s="318"/>
      <c r="AN44" s="319"/>
      <c r="AO44" s="319" t="s">
        <v>75</v>
      </c>
      <c r="AP44" s="319" t="s">
        <v>75</v>
      </c>
      <c r="AQ44" s="319" t="s">
        <v>75</v>
      </c>
      <c r="AR44" s="319" t="s">
        <v>75</v>
      </c>
      <c r="AS44" s="319" t="s">
        <v>75</v>
      </c>
      <c r="AT44" s="319" t="s">
        <v>75</v>
      </c>
      <c r="AU44" s="319" t="s">
        <v>75</v>
      </c>
      <c r="AV44" s="359" t="s">
        <v>813</v>
      </c>
      <c r="AW44" s="342"/>
      <c r="AX44" s="342"/>
      <c r="AY44" s="342"/>
      <c r="AZ44" s="342"/>
      <c r="BA44" s="342"/>
      <c r="BB44" s="342"/>
      <c r="BC44" s="342"/>
      <c r="BD44" s="342"/>
      <c r="BE44" s="342"/>
      <c r="BF44" s="342"/>
      <c r="BG44" s="342"/>
      <c r="BH44" s="342"/>
      <c r="BI44" s="342"/>
      <c r="BJ44" s="342"/>
      <c r="BK44" s="342"/>
      <c r="BL44" s="342"/>
      <c r="BM44" s="342"/>
      <c r="BN44" s="342"/>
    </row>
    <row r="45" spans="1:66" s="261" customFormat="1" ht="15.75" customHeight="1">
      <c r="A45" s="260">
        <v>375</v>
      </c>
      <c r="B45" s="261" t="s">
        <v>119</v>
      </c>
      <c r="C45" s="261" t="s">
        <v>1299</v>
      </c>
      <c r="D45" s="262">
        <v>39753</v>
      </c>
      <c r="E45" s="262">
        <v>39904</v>
      </c>
      <c r="F45" s="342" t="s">
        <v>626</v>
      </c>
      <c r="G45" s="254" t="s">
        <v>1449</v>
      </c>
      <c r="H45" s="261" t="s">
        <v>625</v>
      </c>
      <c r="I45" s="254" t="s">
        <v>2331</v>
      </c>
      <c r="J45" s="263">
        <v>8000000</v>
      </c>
      <c r="K45" s="263">
        <v>65618</v>
      </c>
      <c r="L45" s="263">
        <v>64153</v>
      </c>
      <c r="M45" s="263">
        <v>64153</v>
      </c>
      <c r="N45" s="256">
        <f t="shared" si="5"/>
        <v>8.0191250000000002E-3</v>
      </c>
      <c r="O45" s="263">
        <v>98</v>
      </c>
      <c r="P45" s="263" t="s">
        <v>75</v>
      </c>
      <c r="Q45" s="263" t="s">
        <v>75</v>
      </c>
      <c r="R45" s="263" t="s">
        <v>75</v>
      </c>
      <c r="S45" s="263" t="s">
        <v>95</v>
      </c>
      <c r="T45" s="263" t="s">
        <v>75</v>
      </c>
      <c r="U45" s="263" t="s">
        <v>75</v>
      </c>
      <c r="V45" s="263" t="s">
        <v>75</v>
      </c>
      <c r="W45" s="263" t="s">
        <v>75</v>
      </c>
      <c r="X45" s="263"/>
      <c r="Y45" s="263">
        <v>4234290</v>
      </c>
      <c r="Z45" s="263" t="s">
        <v>75</v>
      </c>
      <c r="AA45" s="263">
        <v>1200000</v>
      </c>
      <c r="AB45" s="263">
        <v>800</v>
      </c>
      <c r="AC45" s="263" t="s">
        <v>75</v>
      </c>
      <c r="AD45" s="263" t="s">
        <v>75</v>
      </c>
      <c r="AE45" s="263" t="s">
        <v>75</v>
      </c>
      <c r="AF45" s="263" t="s">
        <v>75</v>
      </c>
      <c r="AG45" s="263" t="s">
        <v>75</v>
      </c>
      <c r="AH45" s="263" t="s">
        <v>75</v>
      </c>
      <c r="AI45" s="263" t="s">
        <v>75</v>
      </c>
      <c r="AJ45" s="301">
        <f t="shared" si="6"/>
        <v>1200000</v>
      </c>
      <c r="AK45" s="263" t="s">
        <v>75</v>
      </c>
      <c r="AL45" s="263" t="s">
        <v>75</v>
      </c>
      <c r="AM45" s="263"/>
      <c r="AN45" s="264"/>
      <c r="AO45" s="264" t="s">
        <v>75</v>
      </c>
      <c r="AP45" s="264" t="s">
        <v>75</v>
      </c>
      <c r="AQ45" s="264" t="s">
        <v>75</v>
      </c>
      <c r="AR45" s="264" t="s">
        <v>75</v>
      </c>
      <c r="AS45" s="264" t="s">
        <v>75</v>
      </c>
      <c r="AT45" s="264" t="s">
        <v>75</v>
      </c>
      <c r="AU45" s="264" t="s">
        <v>75</v>
      </c>
      <c r="AV45" s="276" t="s">
        <v>624</v>
      </c>
    </row>
    <row r="46" spans="1:66" s="366" customFormat="1" ht="15.75" customHeight="1">
      <c r="A46" s="260">
        <v>376</v>
      </c>
      <c r="B46" s="342" t="s">
        <v>374</v>
      </c>
      <c r="C46" s="304" t="s">
        <v>1278</v>
      </c>
      <c r="D46" s="317">
        <v>39569</v>
      </c>
      <c r="E46" s="317">
        <v>39630</v>
      </c>
      <c r="F46" s="342" t="s">
        <v>829</v>
      </c>
      <c r="G46" s="273" t="s">
        <v>1452</v>
      </c>
      <c r="H46" s="342" t="s">
        <v>828</v>
      </c>
      <c r="I46" s="254" t="s">
        <v>2331</v>
      </c>
      <c r="J46" s="318"/>
      <c r="K46" s="318">
        <v>70000</v>
      </c>
      <c r="L46" s="318">
        <v>70000</v>
      </c>
      <c r="M46" s="318">
        <v>70000</v>
      </c>
      <c r="N46" s="256"/>
      <c r="O46" s="318">
        <v>100</v>
      </c>
      <c r="P46" s="318" t="s">
        <v>75</v>
      </c>
      <c r="Q46" s="318" t="s">
        <v>75</v>
      </c>
      <c r="R46" s="318" t="s">
        <v>75</v>
      </c>
      <c r="S46" s="318" t="s">
        <v>849</v>
      </c>
      <c r="T46" s="318" t="s">
        <v>75</v>
      </c>
      <c r="U46" s="318" t="s">
        <v>75</v>
      </c>
      <c r="V46" s="318" t="s">
        <v>75</v>
      </c>
      <c r="W46" s="318" t="s">
        <v>75</v>
      </c>
      <c r="X46" s="318"/>
      <c r="Y46" s="318" t="s">
        <v>339</v>
      </c>
      <c r="Z46" s="318" t="s">
        <v>75</v>
      </c>
      <c r="AA46" s="318" t="s">
        <v>75</v>
      </c>
      <c r="AB46" s="318">
        <v>450</v>
      </c>
      <c r="AC46" s="318" t="s">
        <v>75</v>
      </c>
      <c r="AD46" s="318" t="s">
        <v>75</v>
      </c>
      <c r="AE46" s="318" t="s">
        <v>75</v>
      </c>
      <c r="AF46" s="318" t="s">
        <v>75</v>
      </c>
      <c r="AG46" s="318" t="s">
        <v>75</v>
      </c>
      <c r="AH46" s="318" t="s">
        <v>75</v>
      </c>
      <c r="AI46" s="318" t="s">
        <v>75</v>
      </c>
      <c r="AJ46" s="301">
        <f t="shared" si="6"/>
        <v>0</v>
      </c>
      <c r="AK46" s="318" t="s">
        <v>75</v>
      </c>
      <c r="AL46" s="318" t="s">
        <v>75</v>
      </c>
      <c r="AM46" s="318"/>
      <c r="AN46" s="319"/>
      <c r="AO46" s="319" t="s">
        <v>75</v>
      </c>
      <c r="AP46" s="319" t="s">
        <v>75</v>
      </c>
      <c r="AQ46" s="319" t="s">
        <v>75</v>
      </c>
      <c r="AR46" s="319" t="s">
        <v>75</v>
      </c>
      <c r="AS46" s="319" t="s">
        <v>75</v>
      </c>
      <c r="AT46" s="319" t="s">
        <v>75</v>
      </c>
      <c r="AU46" s="319" t="s">
        <v>75</v>
      </c>
      <c r="AV46" s="363" t="s">
        <v>827</v>
      </c>
      <c r="AW46" s="357"/>
      <c r="AX46" s="357"/>
      <c r="AY46" s="357"/>
      <c r="AZ46" s="357"/>
      <c r="BA46" s="357"/>
      <c r="BB46" s="357"/>
      <c r="BC46" s="357"/>
      <c r="BD46" s="357"/>
      <c r="BE46" s="357"/>
      <c r="BF46" s="357"/>
      <c r="BG46" s="357"/>
      <c r="BH46" s="357"/>
      <c r="BI46" s="357"/>
      <c r="BJ46" s="357"/>
      <c r="BK46" s="357"/>
      <c r="BL46" s="357"/>
      <c r="BM46" s="357"/>
      <c r="BN46" s="357"/>
    </row>
    <row r="47" spans="1:66" s="371" customFormat="1" ht="12.75" customHeight="1">
      <c r="A47" s="260">
        <v>377</v>
      </c>
      <c r="B47" s="278" t="s">
        <v>4</v>
      </c>
      <c r="C47" s="367" t="s">
        <v>1260</v>
      </c>
      <c r="D47" s="368">
        <v>39661</v>
      </c>
      <c r="E47" s="368">
        <v>39873</v>
      </c>
      <c r="F47" s="369" t="s">
        <v>1443</v>
      </c>
      <c r="G47" s="254" t="s">
        <v>1452</v>
      </c>
      <c r="H47" s="370" t="s">
        <v>1444</v>
      </c>
      <c r="I47" s="254" t="s">
        <v>2331</v>
      </c>
      <c r="J47" s="318"/>
      <c r="K47" s="318">
        <v>233690</v>
      </c>
      <c r="L47" s="318">
        <v>233690</v>
      </c>
      <c r="M47" s="318">
        <v>229312</v>
      </c>
      <c r="N47" s="256"/>
      <c r="O47" s="318">
        <v>100</v>
      </c>
      <c r="P47" s="318"/>
      <c r="Q47" s="318"/>
      <c r="R47" s="318"/>
      <c r="S47" s="318"/>
      <c r="T47" s="318"/>
      <c r="U47" s="318"/>
      <c r="V47" s="318" t="s">
        <v>66</v>
      </c>
      <c r="W47" s="318" t="s">
        <v>66</v>
      </c>
      <c r="X47" s="318"/>
      <c r="Y47" s="318"/>
      <c r="Z47" s="318"/>
      <c r="AA47" s="318"/>
      <c r="AB47" s="318">
        <v>26</v>
      </c>
      <c r="AC47" s="318"/>
      <c r="AD47" s="318"/>
      <c r="AE47" s="318"/>
      <c r="AF47" s="318"/>
      <c r="AG47" s="318"/>
      <c r="AH47" s="318"/>
      <c r="AI47" s="318"/>
      <c r="AJ47" s="301">
        <f t="shared" si="6"/>
        <v>0</v>
      </c>
      <c r="AK47" s="318">
        <v>20000</v>
      </c>
      <c r="AL47" s="318">
        <v>21178</v>
      </c>
      <c r="AM47" s="318"/>
      <c r="AN47" s="370"/>
      <c r="AO47" s="370"/>
      <c r="AP47" s="370"/>
      <c r="AQ47" s="370"/>
      <c r="AR47" s="370">
        <v>1</v>
      </c>
      <c r="AS47" s="370"/>
      <c r="AT47" s="370"/>
      <c r="AU47" s="370" t="s">
        <v>94</v>
      </c>
      <c r="AV47" s="356" t="s">
        <v>1442</v>
      </c>
      <c r="AW47" s="369"/>
      <c r="AX47" s="369"/>
      <c r="AY47" s="369"/>
      <c r="AZ47" s="369"/>
      <c r="BA47" s="369"/>
      <c r="BB47" s="369"/>
      <c r="BC47" s="369"/>
      <c r="BD47" s="369"/>
      <c r="BE47" s="369"/>
      <c r="BF47" s="369"/>
      <c r="BG47" s="369"/>
      <c r="BH47" s="369"/>
      <c r="BI47" s="369"/>
      <c r="BJ47" s="369"/>
      <c r="BK47" s="369"/>
      <c r="BL47" s="369"/>
      <c r="BM47" s="369"/>
    </row>
    <row r="48" spans="1:66" s="372" customFormat="1" ht="15">
      <c r="A48" s="260">
        <v>378</v>
      </c>
      <c r="B48" s="372" t="s">
        <v>1739</v>
      </c>
      <c r="C48" s="372" t="s">
        <v>1286</v>
      </c>
      <c r="D48" s="373">
        <v>39448</v>
      </c>
      <c r="E48" s="373">
        <v>39783</v>
      </c>
      <c r="F48" s="372" t="s">
        <v>1740</v>
      </c>
      <c r="G48" s="372" t="s">
        <v>1450</v>
      </c>
      <c r="H48" s="372" t="s">
        <v>1741</v>
      </c>
      <c r="I48" s="254" t="s">
        <v>2331</v>
      </c>
      <c r="J48" s="256">
        <v>7500</v>
      </c>
      <c r="K48" s="256">
        <v>200001</v>
      </c>
      <c r="L48" s="256">
        <v>171818</v>
      </c>
      <c r="M48" s="256">
        <v>171818</v>
      </c>
      <c r="N48" s="256">
        <f t="shared" si="5"/>
        <v>22.909066666666668</v>
      </c>
      <c r="O48" s="256">
        <v>86</v>
      </c>
      <c r="P48" s="256">
        <v>833</v>
      </c>
      <c r="Q48" s="256"/>
      <c r="R48" s="256">
        <v>833</v>
      </c>
      <c r="S48" s="256"/>
      <c r="T48" s="256"/>
      <c r="U48" s="256"/>
      <c r="V48" s="256"/>
      <c r="W48" s="256"/>
      <c r="X48" s="349">
        <f>W48/R48</f>
        <v>0</v>
      </c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88">
        <f t="shared" si="6"/>
        <v>0</v>
      </c>
      <c r="AK48" s="256"/>
      <c r="AL48" s="256"/>
      <c r="AM48" s="256"/>
      <c r="AV48" s="258" t="s">
        <v>1801</v>
      </c>
    </row>
    <row r="49" spans="1:48" s="374" customFormat="1" ht="15">
      <c r="A49" s="260">
        <v>379</v>
      </c>
      <c r="B49" s="374" t="s">
        <v>1802</v>
      </c>
      <c r="C49" s="374" t="s">
        <v>1286</v>
      </c>
      <c r="D49" s="375">
        <v>39692</v>
      </c>
      <c r="E49" s="375">
        <v>40513</v>
      </c>
      <c r="F49" s="374" t="s">
        <v>5</v>
      </c>
      <c r="G49" s="374" t="s">
        <v>1451</v>
      </c>
      <c r="H49" s="374" t="s">
        <v>1803</v>
      </c>
      <c r="I49" s="278" t="s">
        <v>2438</v>
      </c>
      <c r="J49" s="298">
        <v>12500</v>
      </c>
      <c r="K49" s="298">
        <v>651961</v>
      </c>
      <c r="L49" s="298">
        <v>651555</v>
      </c>
      <c r="M49" s="298">
        <v>651555</v>
      </c>
      <c r="N49" s="256">
        <f t="shared" si="5"/>
        <v>52.124400000000001</v>
      </c>
      <c r="O49" s="298">
        <v>100</v>
      </c>
      <c r="P49" s="298">
        <v>11500</v>
      </c>
      <c r="Q49" s="298">
        <v>7500</v>
      </c>
      <c r="R49" s="298">
        <v>11500</v>
      </c>
      <c r="S49" s="298"/>
      <c r="T49" s="298">
        <v>50</v>
      </c>
      <c r="U49" s="298">
        <v>11500</v>
      </c>
      <c r="V49" s="256">
        <v>60707</v>
      </c>
      <c r="W49" s="256">
        <v>40624</v>
      </c>
      <c r="X49" s="349">
        <f>W49/R49</f>
        <v>3.5325217391304347</v>
      </c>
      <c r="Y49" s="298"/>
      <c r="Z49" s="298"/>
      <c r="AA49" s="298"/>
      <c r="AB49" s="298"/>
      <c r="AC49" s="298"/>
      <c r="AD49" s="298"/>
      <c r="AE49" s="298">
        <v>3000</v>
      </c>
      <c r="AF49" s="298"/>
      <c r="AG49" s="298"/>
      <c r="AH49" s="298"/>
      <c r="AI49" s="298"/>
      <c r="AJ49" s="301">
        <f t="shared" si="6"/>
        <v>0</v>
      </c>
      <c r="AK49" s="256"/>
      <c r="AL49" s="256">
        <v>4427</v>
      </c>
      <c r="AM49" s="318"/>
      <c r="AU49" s="372" t="s">
        <v>94</v>
      </c>
      <c r="AV49" s="376" t="s">
        <v>1804</v>
      </c>
    </row>
    <row r="50" spans="1:48" s="254" customFormat="1" ht="15">
      <c r="A50" s="260">
        <v>380</v>
      </c>
      <c r="B50" s="254" t="s">
        <v>1834</v>
      </c>
      <c r="C50" s="254" t="s">
        <v>1299</v>
      </c>
      <c r="D50" s="255">
        <v>39539</v>
      </c>
      <c r="E50" s="255">
        <v>39783</v>
      </c>
      <c r="F50" s="254" t="s">
        <v>79</v>
      </c>
      <c r="G50" s="254" t="s">
        <v>1451</v>
      </c>
      <c r="H50" s="254" t="s">
        <v>1835</v>
      </c>
      <c r="I50" s="254" t="s">
        <v>2331</v>
      </c>
      <c r="J50" s="256">
        <v>137092</v>
      </c>
      <c r="K50" s="256">
        <v>35760</v>
      </c>
      <c r="L50" s="256">
        <v>16737</v>
      </c>
      <c r="M50" s="256">
        <v>16737</v>
      </c>
      <c r="N50" s="256">
        <f t="shared" si="5"/>
        <v>0.12208589852070142</v>
      </c>
      <c r="O50" s="256">
        <v>47</v>
      </c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88">
        <f t="shared" si="6"/>
        <v>0</v>
      </c>
      <c r="AK50" s="256"/>
      <c r="AL50" s="256"/>
      <c r="AM50" s="256"/>
      <c r="AN50" s="288"/>
      <c r="AO50" s="288"/>
      <c r="AP50" s="288"/>
      <c r="AQ50" s="288"/>
      <c r="AR50" s="288"/>
      <c r="AS50" s="288"/>
      <c r="AT50" s="288"/>
      <c r="AU50" s="288"/>
      <c r="AV50" s="346" t="s">
        <v>1836</v>
      </c>
    </row>
    <row r="51" spans="1:48" s="372" customFormat="1" ht="15">
      <c r="A51" s="260">
        <v>381</v>
      </c>
      <c r="B51" s="372" t="s">
        <v>1837</v>
      </c>
      <c r="C51" s="372" t="s">
        <v>1286</v>
      </c>
      <c r="D51" s="373">
        <v>39722</v>
      </c>
      <c r="E51" s="373">
        <v>39934</v>
      </c>
      <c r="F51" s="372" t="s">
        <v>1838</v>
      </c>
      <c r="G51" s="372" t="s">
        <v>1451</v>
      </c>
      <c r="H51" s="372" t="s">
        <v>1839</v>
      </c>
      <c r="I51" s="254" t="s">
        <v>2331</v>
      </c>
      <c r="J51" s="256">
        <v>2500</v>
      </c>
      <c r="K51" s="256">
        <v>55000</v>
      </c>
      <c r="L51" s="256">
        <v>55314</v>
      </c>
      <c r="M51" s="256">
        <v>55314</v>
      </c>
      <c r="N51" s="256">
        <f t="shared" si="5"/>
        <v>22.125599999999999</v>
      </c>
      <c r="O51" s="256">
        <v>100</v>
      </c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88">
        <f t="shared" si="6"/>
        <v>0</v>
      </c>
      <c r="AK51" s="256"/>
      <c r="AL51" s="256"/>
      <c r="AM51" s="256"/>
      <c r="AV51" s="258" t="s">
        <v>1840</v>
      </c>
    </row>
    <row r="52" spans="1:48" s="372" customFormat="1" ht="15">
      <c r="A52" s="260">
        <v>382</v>
      </c>
      <c r="B52" s="372" t="s">
        <v>1207</v>
      </c>
      <c r="C52" s="372" t="s">
        <v>1260</v>
      </c>
      <c r="D52" s="373">
        <v>39508</v>
      </c>
      <c r="E52" s="373">
        <v>39753</v>
      </c>
      <c r="F52" s="372" t="s">
        <v>989</v>
      </c>
      <c r="G52" s="254" t="s">
        <v>1452</v>
      </c>
      <c r="H52" s="372" t="s">
        <v>1841</v>
      </c>
      <c r="I52" s="254" t="s">
        <v>2331</v>
      </c>
      <c r="J52" s="256">
        <v>4084</v>
      </c>
      <c r="K52" s="256">
        <v>248294</v>
      </c>
      <c r="L52" s="256">
        <v>246123</v>
      </c>
      <c r="M52" s="256">
        <v>246123</v>
      </c>
      <c r="N52" s="256">
        <f t="shared" si="5"/>
        <v>60.265181194906951</v>
      </c>
      <c r="O52" s="256">
        <v>100</v>
      </c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88">
        <f t="shared" si="6"/>
        <v>0</v>
      </c>
      <c r="AK52" s="256"/>
      <c r="AL52" s="256"/>
      <c r="AM52" s="256"/>
      <c r="AV52" s="258" t="s">
        <v>1842</v>
      </c>
    </row>
    <row r="53" spans="1:48" s="372" customFormat="1" ht="15">
      <c r="A53" s="260">
        <v>383</v>
      </c>
      <c r="B53" s="372" t="s">
        <v>1213</v>
      </c>
      <c r="C53" s="374" t="s">
        <v>1286</v>
      </c>
      <c r="D53" s="373">
        <v>39508</v>
      </c>
      <c r="E53" s="373">
        <v>39934</v>
      </c>
      <c r="F53" s="372" t="s">
        <v>5</v>
      </c>
      <c r="G53" s="372" t="s">
        <v>1451</v>
      </c>
      <c r="H53" s="372" t="s">
        <v>1805</v>
      </c>
      <c r="I53" s="254" t="s">
        <v>2331</v>
      </c>
      <c r="J53" s="256">
        <v>2200</v>
      </c>
      <c r="K53" s="256">
        <v>127836</v>
      </c>
      <c r="L53" s="256">
        <v>127634</v>
      </c>
      <c r="M53" s="256">
        <v>127634</v>
      </c>
      <c r="N53" s="256">
        <f t="shared" si="5"/>
        <v>58.015454545454546</v>
      </c>
      <c r="O53" s="256">
        <v>100</v>
      </c>
      <c r="P53" s="256"/>
      <c r="Q53" s="256"/>
      <c r="R53" s="256"/>
      <c r="S53" s="256"/>
      <c r="T53" s="256"/>
      <c r="U53" s="256"/>
      <c r="V53" s="256"/>
      <c r="W53" s="256"/>
      <c r="X53" s="256"/>
      <c r="Y53" s="256">
        <v>635</v>
      </c>
      <c r="Z53" s="256">
        <v>635</v>
      </c>
      <c r="AA53" s="256">
        <v>450</v>
      </c>
      <c r="AB53" s="256"/>
      <c r="AC53" s="256"/>
      <c r="AD53" s="256"/>
      <c r="AE53" s="256"/>
      <c r="AF53" s="256"/>
      <c r="AG53" s="256"/>
      <c r="AH53" s="256"/>
      <c r="AI53" s="256"/>
      <c r="AJ53" s="301">
        <f t="shared" si="6"/>
        <v>1085</v>
      </c>
      <c r="AK53" s="256"/>
      <c r="AL53" s="256">
        <v>2279</v>
      </c>
      <c r="AM53" s="318">
        <f>AL53/AJ53</f>
        <v>2.1004608294930875</v>
      </c>
      <c r="AV53" s="258" t="s">
        <v>1806</v>
      </c>
    </row>
    <row r="54" spans="1:48" s="372" customFormat="1" ht="15">
      <c r="A54" s="260">
        <v>384</v>
      </c>
      <c r="B54" s="372" t="s">
        <v>515</v>
      </c>
      <c r="C54" s="372" t="s">
        <v>1299</v>
      </c>
      <c r="D54" s="373">
        <v>39722</v>
      </c>
      <c r="E54" s="373">
        <v>39995</v>
      </c>
      <c r="F54" s="372" t="s">
        <v>5</v>
      </c>
      <c r="G54" s="372" t="s">
        <v>1451</v>
      </c>
      <c r="H54" s="372" t="s">
        <v>1843</v>
      </c>
      <c r="I54" s="254" t="s">
        <v>2331</v>
      </c>
      <c r="J54" s="256">
        <v>2770</v>
      </c>
      <c r="K54" s="256">
        <v>146222</v>
      </c>
      <c r="L54" s="256">
        <v>146238</v>
      </c>
      <c r="M54" s="256">
        <v>146238</v>
      </c>
      <c r="N54" s="256">
        <f t="shared" si="5"/>
        <v>52.793501805054149</v>
      </c>
      <c r="O54" s="256">
        <v>100</v>
      </c>
      <c r="P54" s="256"/>
      <c r="Q54" s="256"/>
      <c r="R54" s="256"/>
      <c r="S54" s="256"/>
      <c r="T54" s="256"/>
      <c r="U54" s="256"/>
      <c r="V54" s="256">
        <v>9770</v>
      </c>
      <c r="W54" s="256">
        <v>9770</v>
      </c>
      <c r="X54" s="256"/>
      <c r="Y54" s="256">
        <v>3465</v>
      </c>
      <c r="Z54" s="256"/>
      <c r="AA54" s="256">
        <v>3465</v>
      </c>
      <c r="AB54" s="256"/>
      <c r="AC54" s="256"/>
      <c r="AD54" s="256"/>
      <c r="AE54" s="256">
        <v>693</v>
      </c>
      <c r="AF54" s="256"/>
      <c r="AG54" s="256"/>
      <c r="AH54" s="256"/>
      <c r="AI54" s="256"/>
      <c r="AJ54" s="301">
        <f t="shared" si="6"/>
        <v>3465</v>
      </c>
      <c r="AK54" s="256"/>
      <c r="AL54" s="256"/>
      <c r="AM54" s="256"/>
      <c r="AV54" s="258" t="s">
        <v>1844</v>
      </c>
    </row>
    <row r="55" spans="1:48" s="372" customFormat="1" ht="15">
      <c r="A55" s="260">
        <v>385</v>
      </c>
      <c r="B55" s="372" t="s">
        <v>547</v>
      </c>
      <c r="C55" s="372" t="s">
        <v>1286</v>
      </c>
      <c r="D55" s="373">
        <v>39448</v>
      </c>
      <c r="E55" s="373">
        <v>39783</v>
      </c>
      <c r="F55" s="372" t="s">
        <v>5</v>
      </c>
      <c r="G55" s="372" t="s">
        <v>1451</v>
      </c>
      <c r="H55" s="372" t="s">
        <v>1845</v>
      </c>
      <c r="I55" s="254" t="s">
        <v>2331</v>
      </c>
      <c r="J55" s="256">
        <v>6500</v>
      </c>
      <c r="K55" s="256">
        <v>125000</v>
      </c>
      <c r="L55" s="256">
        <v>117011</v>
      </c>
      <c r="M55" s="256">
        <v>117011</v>
      </c>
      <c r="N55" s="256">
        <f t="shared" si="5"/>
        <v>18.001692307692309</v>
      </c>
      <c r="O55" s="256">
        <v>94</v>
      </c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88">
        <f t="shared" si="6"/>
        <v>0</v>
      </c>
      <c r="AK55" s="256"/>
      <c r="AL55" s="256"/>
      <c r="AM55" s="256"/>
      <c r="AV55" s="258" t="s">
        <v>1846</v>
      </c>
    </row>
    <row r="56" spans="1:48" s="372" customFormat="1" ht="15">
      <c r="A56" s="260">
        <v>386</v>
      </c>
      <c r="B56" s="372" t="s">
        <v>1598</v>
      </c>
      <c r="C56" s="372" t="s">
        <v>1286</v>
      </c>
      <c r="D56" s="373">
        <v>39448</v>
      </c>
      <c r="E56" s="373">
        <v>39873</v>
      </c>
      <c r="F56" s="372" t="s">
        <v>5</v>
      </c>
      <c r="G56" s="372" t="s">
        <v>1451</v>
      </c>
      <c r="H56" s="372" t="s">
        <v>1847</v>
      </c>
      <c r="I56" s="254" t="s">
        <v>2331</v>
      </c>
      <c r="J56" s="256">
        <v>7500</v>
      </c>
      <c r="K56" s="256">
        <v>115000</v>
      </c>
      <c r="L56" s="256">
        <v>97106</v>
      </c>
      <c r="M56" s="256">
        <v>97106</v>
      </c>
      <c r="N56" s="256">
        <f t="shared" si="5"/>
        <v>12.947466666666667</v>
      </c>
      <c r="O56" s="256">
        <v>84</v>
      </c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88">
        <f t="shared" si="6"/>
        <v>0</v>
      </c>
      <c r="AK56" s="256"/>
      <c r="AL56" s="256"/>
      <c r="AM56" s="256"/>
      <c r="AV56" s="258" t="s">
        <v>1848</v>
      </c>
    </row>
    <row r="57" spans="1:48" s="372" customFormat="1" ht="15">
      <c r="A57" s="260">
        <v>387</v>
      </c>
      <c r="B57" s="372" t="s">
        <v>1598</v>
      </c>
      <c r="C57" s="372" t="s">
        <v>1286</v>
      </c>
      <c r="D57" s="373">
        <v>39448</v>
      </c>
      <c r="E57" s="373">
        <v>39873</v>
      </c>
      <c r="F57" s="372" t="s">
        <v>914</v>
      </c>
      <c r="G57" s="254" t="s">
        <v>1449</v>
      </c>
      <c r="H57" s="372" t="s">
        <v>1849</v>
      </c>
      <c r="I57" s="254" t="s">
        <v>2331</v>
      </c>
      <c r="J57" s="256">
        <v>10000</v>
      </c>
      <c r="K57" s="256">
        <v>55000</v>
      </c>
      <c r="L57" s="256">
        <v>35344</v>
      </c>
      <c r="M57" s="256">
        <v>35344</v>
      </c>
      <c r="N57" s="256">
        <f t="shared" si="5"/>
        <v>3.5344000000000002</v>
      </c>
      <c r="O57" s="256">
        <v>64</v>
      </c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>
        <v>10000</v>
      </c>
      <c r="AB57" s="256">
        <v>40</v>
      </c>
      <c r="AC57" s="256"/>
      <c r="AD57" s="256"/>
      <c r="AE57" s="256"/>
      <c r="AF57" s="256"/>
      <c r="AG57" s="256"/>
      <c r="AH57" s="256"/>
      <c r="AI57" s="256"/>
      <c r="AJ57" s="301">
        <f t="shared" si="6"/>
        <v>10000</v>
      </c>
      <c r="AK57" s="256"/>
      <c r="AL57" s="256"/>
      <c r="AM57" s="256"/>
      <c r="AV57" s="258" t="s">
        <v>1850</v>
      </c>
    </row>
    <row r="58" spans="1:48" s="372" customFormat="1" ht="15">
      <c r="A58" s="260">
        <v>388</v>
      </c>
      <c r="B58" s="372" t="s">
        <v>1598</v>
      </c>
      <c r="C58" s="372" t="s">
        <v>1286</v>
      </c>
      <c r="D58" s="373">
        <v>39783</v>
      </c>
      <c r="E58" s="373">
        <v>40087</v>
      </c>
      <c r="F58" s="372" t="s">
        <v>5</v>
      </c>
      <c r="G58" s="372" t="s">
        <v>1451</v>
      </c>
      <c r="H58" s="372" t="s">
        <v>1851</v>
      </c>
      <c r="I58" s="254" t="s">
        <v>2331</v>
      </c>
      <c r="J58" s="256">
        <v>10000</v>
      </c>
      <c r="K58" s="256">
        <v>170000</v>
      </c>
      <c r="L58" s="256">
        <v>158294</v>
      </c>
      <c r="M58" s="256">
        <v>158294</v>
      </c>
      <c r="N58" s="256">
        <f t="shared" si="5"/>
        <v>15.8294</v>
      </c>
      <c r="O58" s="256">
        <v>93</v>
      </c>
      <c r="P58" s="256">
        <v>4000</v>
      </c>
      <c r="Q58" s="256"/>
      <c r="R58" s="256">
        <v>4000</v>
      </c>
      <c r="S58" s="256"/>
      <c r="T58" s="256">
        <v>25</v>
      </c>
      <c r="U58" s="256"/>
      <c r="V58" s="256"/>
      <c r="W58" s="256">
        <v>18774</v>
      </c>
      <c r="X58" s="349">
        <f>W58/R58</f>
        <v>4.6935000000000002</v>
      </c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256"/>
      <c r="AJ58" s="301">
        <f t="shared" si="6"/>
        <v>0</v>
      </c>
      <c r="AK58" s="256"/>
      <c r="AL58" s="256"/>
      <c r="AM58" s="256"/>
      <c r="AV58" s="258" t="s">
        <v>1852</v>
      </c>
    </row>
    <row r="59" spans="1:48" s="372" customFormat="1" ht="15">
      <c r="A59" s="260">
        <v>389</v>
      </c>
      <c r="B59" s="372" t="s">
        <v>539</v>
      </c>
      <c r="C59" s="372" t="s">
        <v>1286</v>
      </c>
      <c r="D59" s="373">
        <v>39448</v>
      </c>
      <c r="E59" s="373">
        <v>39783</v>
      </c>
      <c r="F59" s="372" t="s">
        <v>1853</v>
      </c>
      <c r="G59" s="372" t="s">
        <v>1451</v>
      </c>
      <c r="H59" s="372" t="s">
        <v>1854</v>
      </c>
      <c r="I59" s="254" t="s">
        <v>2331</v>
      </c>
      <c r="J59" s="256">
        <v>2500</v>
      </c>
      <c r="K59" s="256">
        <v>159000</v>
      </c>
      <c r="L59" s="256">
        <v>131422</v>
      </c>
      <c r="M59" s="256">
        <v>131422</v>
      </c>
      <c r="N59" s="256">
        <f t="shared" si="5"/>
        <v>52.568800000000003</v>
      </c>
      <c r="O59" s="256">
        <v>100</v>
      </c>
      <c r="P59" s="256">
        <v>2500</v>
      </c>
      <c r="Q59" s="256">
        <v>1000</v>
      </c>
      <c r="R59" s="256">
        <v>2500</v>
      </c>
      <c r="S59" s="256"/>
      <c r="T59" s="256"/>
      <c r="U59" s="256">
        <v>2500</v>
      </c>
      <c r="V59" s="256"/>
      <c r="W59" s="256"/>
      <c r="X59" s="349">
        <f>W59/R59</f>
        <v>0</v>
      </c>
      <c r="Y59" s="256"/>
      <c r="Z59" s="256">
        <v>214</v>
      </c>
      <c r="AA59" s="256">
        <v>2500</v>
      </c>
      <c r="AB59" s="256"/>
      <c r="AC59" s="256"/>
      <c r="AD59" s="256"/>
      <c r="AE59" s="256">
        <v>1000</v>
      </c>
      <c r="AF59" s="256"/>
      <c r="AG59" s="256"/>
      <c r="AH59" s="256"/>
      <c r="AI59" s="256"/>
      <c r="AJ59" s="301">
        <f t="shared" si="6"/>
        <v>2714</v>
      </c>
      <c r="AK59" s="256"/>
      <c r="AL59" s="256"/>
      <c r="AM59" s="256"/>
      <c r="AV59" s="258" t="s">
        <v>1855</v>
      </c>
    </row>
    <row r="60" spans="1:48" s="372" customFormat="1" ht="15">
      <c r="A60" s="260">
        <v>390</v>
      </c>
      <c r="B60" s="372" t="s">
        <v>1295</v>
      </c>
      <c r="C60" s="372" t="s">
        <v>1286</v>
      </c>
      <c r="D60" s="373">
        <v>39569</v>
      </c>
      <c r="E60" s="373">
        <v>39934</v>
      </c>
      <c r="F60" s="372" t="s">
        <v>238</v>
      </c>
      <c r="G60" s="372" t="s">
        <v>1451</v>
      </c>
      <c r="H60" s="372" t="s">
        <v>1869</v>
      </c>
      <c r="I60" s="254" t="s">
        <v>2331</v>
      </c>
      <c r="J60" s="256">
        <v>8000</v>
      </c>
      <c r="K60" s="256">
        <v>75000</v>
      </c>
      <c r="L60" s="256">
        <v>71611</v>
      </c>
      <c r="M60" s="256">
        <v>71611</v>
      </c>
      <c r="N60" s="256">
        <f t="shared" si="5"/>
        <v>8.9513750000000005</v>
      </c>
      <c r="O60" s="256">
        <v>95</v>
      </c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>
        <v>5000</v>
      </c>
      <c r="AA60" s="256"/>
      <c r="AB60" s="256">
        <v>7</v>
      </c>
      <c r="AC60" s="256"/>
      <c r="AD60" s="256"/>
      <c r="AE60" s="256"/>
      <c r="AF60" s="256"/>
      <c r="AG60" s="256"/>
      <c r="AH60" s="256"/>
      <c r="AI60" s="256"/>
      <c r="AJ60" s="301">
        <f t="shared" si="6"/>
        <v>5000</v>
      </c>
      <c r="AK60" s="256"/>
      <c r="AL60" s="256"/>
      <c r="AM60" s="256"/>
      <c r="AV60" s="258" t="s">
        <v>1870</v>
      </c>
    </row>
    <row r="61" spans="1:48" s="372" customFormat="1" ht="15">
      <c r="A61" s="260">
        <v>391</v>
      </c>
      <c r="B61" s="372" t="s">
        <v>1295</v>
      </c>
      <c r="C61" s="372" t="s">
        <v>1286</v>
      </c>
      <c r="D61" s="373">
        <v>39692</v>
      </c>
      <c r="E61" s="373">
        <v>40057</v>
      </c>
      <c r="F61" s="372" t="s">
        <v>5</v>
      </c>
      <c r="G61" s="372" t="s">
        <v>1451</v>
      </c>
      <c r="H61" s="372" t="s">
        <v>1871</v>
      </c>
      <c r="I61" s="254" t="s">
        <v>2331</v>
      </c>
      <c r="J61" s="256">
        <v>4000</v>
      </c>
      <c r="K61" s="256">
        <v>220000</v>
      </c>
      <c r="L61" s="256">
        <v>126533</v>
      </c>
      <c r="M61" s="256">
        <v>126533</v>
      </c>
      <c r="N61" s="256">
        <f t="shared" si="5"/>
        <v>31.63325</v>
      </c>
      <c r="O61" s="256">
        <v>58</v>
      </c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88">
        <f t="shared" si="6"/>
        <v>0</v>
      </c>
      <c r="AK61" s="256"/>
      <c r="AL61" s="256"/>
      <c r="AM61" s="256"/>
      <c r="AV61" s="258" t="s">
        <v>1872</v>
      </c>
    </row>
    <row r="62" spans="1:48" s="372" customFormat="1" ht="15">
      <c r="A62" s="260">
        <v>392</v>
      </c>
      <c r="B62" s="372" t="s">
        <v>1295</v>
      </c>
      <c r="C62" s="372" t="s">
        <v>1286</v>
      </c>
      <c r="D62" s="373">
        <v>39692</v>
      </c>
      <c r="E62" s="373">
        <v>39934</v>
      </c>
      <c r="F62" s="372" t="s">
        <v>5</v>
      </c>
      <c r="G62" s="372" t="s">
        <v>1451</v>
      </c>
      <c r="H62" s="372" t="s">
        <v>1873</v>
      </c>
      <c r="I62" s="254" t="s">
        <v>2331</v>
      </c>
      <c r="J62" s="256">
        <v>4485</v>
      </c>
      <c r="K62" s="256">
        <v>121384</v>
      </c>
      <c r="L62" s="256">
        <v>103417</v>
      </c>
      <c r="M62" s="256">
        <v>103417</v>
      </c>
      <c r="N62" s="256">
        <f t="shared" si="5"/>
        <v>23.058416945373466</v>
      </c>
      <c r="O62" s="256">
        <v>85</v>
      </c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88">
        <f t="shared" si="6"/>
        <v>0</v>
      </c>
      <c r="AK62" s="256"/>
      <c r="AL62" s="256"/>
      <c r="AM62" s="256"/>
      <c r="AV62" s="258" t="s">
        <v>1874</v>
      </c>
    </row>
    <row r="63" spans="1:48" s="372" customFormat="1" ht="15">
      <c r="A63" s="260">
        <v>393</v>
      </c>
      <c r="B63" s="372" t="s">
        <v>992</v>
      </c>
      <c r="C63" s="372" t="s">
        <v>1286</v>
      </c>
      <c r="D63" s="373">
        <v>39539</v>
      </c>
      <c r="E63" s="373">
        <v>39630</v>
      </c>
      <c r="F63" s="372" t="s">
        <v>1875</v>
      </c>
      <c r="G63" s="372" t="s">
        <v>1451</v>
      </c>
      <c r="H63" s="372" t="s">
        <v>1876</v>
      </c>
      <c r="I63" s="254" t="s">
        <v>2331</v>
      </c>
      <c r="J63" s="256">
        <v>11250</v>
      </c>
      <c r="K63" s="256">
        <v>103000</v>
      </c>
      <c r="L63" s="256">
        <v>99409</v>
      </c>
      <c r="M63" s="256">
        <v>99409</v>
      </c>
      <c r="N63" s="256">
        <f t="shared" si="5"/>
        <v>8.8363555555555564</v>
      </c>
      <c r="O63" s="256">
        <v>97</v>
      </c>
      <c r="P63" s="256">
        <v>3200</v>
      </c>
      <c r="Q63" s="256"/>
      <c r="R63" s="256">
        <v>3200</v>
      </c>
      <c r="S63" s="256"/>
      <c r="T63" s="256">
        <v>17</v>
      </c>
      <c r="U63" s="256"/>
      <c r="V63" s="256">
        <v>30000</v>
      </c>
      <c r="W63" s="256">
        <v>29020</v>
      </c>
      <c r="X63" s="349">
        <f>W63/R63</f>
        <v>9.0687499999999996</v>
      </c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256"/>
      <c r="AJ63" s="288">
        <f t="shared" si="6"/>
        <v>0</v>
      </c>
      <c r="AK63" s="256"/>
      <c r="AL63" s="256"/>
      <c r="AM63" s="256"/>
      <c r="AV63" s="258" t="s">
        <v>1877</v>
      </c>
    </row>
    <row r="64" spans="1:48" s="372" customFormat="1" ht="15">
      <c r="A64" s="260">
        <v>394</v>
      </c>
      <c r="B64" s="372" t="s">
        <v>992</v>
      </c>
      <c r="C64" s="372" t="s">
        <v>1286</v>
      </c>
      <c r="D64" s="373">
        <v>39722</v>
      </c>
      <c r="E64" s="373">
        <v>40026</v>
      </c>
      <c r="F64" s="372" t="s">
        <v>5</v>
      </c>
      <c r="G64" s="372" t="s">
        <v>1451</v>
      </c>
      <c r="H64" s="372" t="s">
        <v>1878</v>
      </c>
      <c r="I64" s="254" t="s">
        <v>2331</v>
      </c>
      <c r="J64" s="256">
        <v>500</v>
      </c>
      <c r="K64" s="256">
        <v>95701</v>
      </c>
      <c r="L64" s="256">
        <v>93766</v>
      </c>
      <c r="M64" s="256">
        <v>93766</v>
      </c>
      <c r="N64" s="256">
        <f t="shared" si="5"/>
        <v>187.53200000000001</v>
      </c>
      <c r="O64" s="256">
        <v>98</v>
      </c>
      <c r="P64" s="256"/>
      <c r="Q64" s="256"/>
      <c r="R64" s="256"/>
      <c r="S64" s="256"/>
      <c r="T64" s="256"/>
      <c r="U64" s="256"/>
      <c r="V64" s="256">
        <v>4500</v>
      </c>
      <c r="W64" s="256">
        <v>6096</v>
      </c>
      <c r="X64" s="256"/>
      <c r="Y64" s="256">
        <v>996</v>
      </c>
      <c r="Z64" s="256">
        <v>166</v>
      </c>
      <c r="AA64" s="256">
        <v>324</v>
      </c>
      <c r="AB64" s="256">
        <v>54</v>
      </c>
      <c r="AC64" s="256"/>
      <c r="AD64" s="256"/>
      <c r="AE64" s="256"/>
      <c r="AF64" s="256"/>
      <c r="AG64" s="256"/>
      <c r="AH64" s="256">
        <v>452</v>
      </c>
      <c r="AI64" s="256"/>
      <c r="AJ64" s="301">
        <f t="shared" si="6"/>
        <v>942</v>
      </c>
      <c r="AK64" s="256"/>
      <c r="AL64" s="256"/>
      <c r="AM64" s="256"/>
      <c r="AV64" s="258" t="s">
        <v>1879</v>
      </c>
    </row>
    <row r="65" spans="1:48" s="372" customFormat="1" ht="15">
      <c r="A65" s="260">
        <v>395</v>
      </c>
      <c r="B65" s="372" t="s">
        <v>992</v>
      </c>
      <c r="C65" s="372" t="s">
        <v>1286</v>
      </c>
      <c r="D65" s="373">
        <v>39783</v>
      </c>
      <c r="E65" s="373">
        <v>40148</v>
      </c>
      <c r="F65" s="372" t="s">
        <v>1875</v>
      </c>
      <c r="G65" s="372" t="s">
        <v>1451</v>
      </c>
      <c r="H65" s="372" t="s">
        <v>1880</v>
      </c>
      <c r="I65" s="254" t="s">
        <v>2331</v>
      </c>
      <c r="J65" s="256">
        <v>300</v>
      </c>
      <c r="K65" s="256">
        <v>150000</v>
      </c>
      <c r="L65" s="256">
        <v>149994</v>
      </c>
      <c r="M65" s="256">
        <v>149994</v>
      </c>
      <c r="N65" s="256">
        <f t="shared" si="5"/>
        <v>499.98</v>
      </c>
      <c r="O65" s="256">
        <v>100</v>
      </c>
      <c r="P65" s="256">
        <v>500</v>
      </c>
      <c r="Q65" s="256"/>
      <c r="R65" s="256">
        <v>500</v>
      </c>
      <c r="S65" s="256"/>
      <c r="T65" s="256"/>
      <c r="U65" s="256"/>
      <c r="V65" s="256">
        <v>10883</v>
      </c>
      <c r="W65" s="256">
        <v>6607</v>
      </c>
      <c r="X65" s="349">
        <f>W65/R65</f>
        <v>13.214</v>
      </c>
      <c r="Y65" s="256"/>
      <c r="Z65" s="256">
        <v>389</v>
      </c>
      <c r="AA65" s="256">
        <v>718</v>
      </c>
      <c r="AB65" s="256">
        <v>370</v>
      </c>
      <c r="AC65" s="256"/>
      <c r="AD65" s="256"/>
      <c r="AE65" s="256"/>
      <c r="AF65" s="256"/>
      <c r="AG65" s="256"/>
      <c r="AH65" s="256"/>
      <c r="AI65" s="256"/>
      <c r="AJ65" s="301">
        <f t="shared" si="6"/>
        <v>1107</v>
      </c>
      <c r="AK65" s="256"/>
      <c r="AL65" s="256"/>
      <c r="AM65" s="256"/>
      <c r="AV65" s="258" t="s">
        <v>1881</v>
      </c>
    </row>
    <row r="66" spans="1:48" s="372" customFormat="1" ht="15">
      <c r="A66" s="260">
        <v>396</v>
      </c>
      <c r="B66" s="372" t="s">
        <v>536</v>
      </c>
      <c r="C66" s="372" t="s">
        <v>1286</v>
      </c>
      <c r="D66" s="373">
        <v>39692</v>
      </c>
      <c r="E66" s="373">
        <v>39934</v>
      </c>
      <c r="F66" s="372" t="s">
        <v>5</v>
      </c>
      <c r="G66" s="372" t="s">
        <v>1451</v>
      </c>
      <c r="H66" s="372" t="s">
        <v>1882</v>
      </c>
      <c r="I66" s="254" t="s">
        <v>2331</v>
      </c>
      <c r="J66" s="256">
        <v>5000</v>
      </c>
      <c r="K66" s="256">
        <v>81000</v>
      </c>
      <c r="L66" s="256">
        <v>70314</v>
      </c>
      <c r="M66" s="256">
        <v>70314</v>
      </c>
      <c r="N66" s="256">
        <f t="shared" si="5"/>
        <v>14.062799999999999</v>
      </c>
      <c r="O66" s="256">
        <v>87</v>
      </c>
      <c r="P66" s="256">
        <v>6045</v>
      </c>
      <c r="Q66" s="256">
        <v>5000</v>
      </c>
      <c r="R66" s="256">
        <v>6045</v>
      </c>
      <c r="S66" s="256"/>
      <c r="T66" s="256">
        <v>21</v>
      </c>
      <c r="U66" s="256">
        <v>6045</v>
      </c>
      <c r="V66" s="256">
        <v>45000</v>
      </c>
      <c r="W66" s="256">
        <v>26935</v>
      </c>
      <c r="X66" s="349">
        <f>W66/R66</f>
        <v>4.4557485525227465</v>
      </c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256"/>
      <c r="AJ66" s="301">
        <f t="shared" si="6"/>
        <v>0</v>
      </c>
      <c r="AK66" s="256"/>
      <c r="AL66" s="256"/>
      <c r="AM66" s="256"/>
      <c r="AV66" s="258" t="s">
        <v>1883</v>
      </c>
    </row>
    <row r="67" spans="1:48" s="372" customFormat="1" ht="15">
      <c r="A67" s="260">
        <v>397</v>
      </c>
      <c r="B67" s="372" t="s">
        <v>209</v>
      </c>
      <c r="C67" s="372" t="s">
        <v>1286</v>
      </c>
      <c r="D67" s="373">
        <v>39448</v>
      </c>
      <c r="E67" s="373">
        <v>39783</v>
      </c>
      <c r="F67" s="372" t="s">
        <v>5</v>
      </c>
      <c r="G67" s="372" t="s">
        <v>1451</v>
      </c>
      <c r="H67" s="372" t="s">
        <v>1884</v>
      </c>
      <c r="I67" s="254" t="s">
        <v>2331</v>
      </c>
      <c r="J67" s="256">
        <v>15220</v>
      </c>
      <c r="K67" s="256">
        <v>115000</v>
      </c>
      <c r="L67" s="256">
        <v>99357</v>
      </c>
      <c r="M67" s="256">
        <v>99357</v>
      </c>
      <c r="N67" s="256">
        <f t="shared" ref="N67:N98" si="9">M67/J67</f>
        <v>6.5280551905387645</v>
      </c>
      <c r="O67" s="256">
        <v>86</v>
      </c>
      <c r="P67" s="256"/>
      <c r="Q67" s="256">
        <v>8912</v>
      </c>
      <c r="R67" s="256">
        <v>8912</v>
      </c>
      <c r="S67" s="256"/>
      <c r="T67" s="256"/>
      <c r="U67" s="256"/>
      <c r="V67" s="256">
        <v>28080</v>
      </c>
      <c r="W67" s="256">
        <v>16777</v>
      </c>
      <c r="X67" s="349">
        <f>W67/R67</f>
        <v>1.8825179533213645</v>
      </c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  <c r="AI67" s="256"/>
      <c r="AJ67" s="301">
        <f t="shared" ref="AJ67:AJ103" si="10">SUM(Z67,AA67,AH67)</f>
        <v>0</v>
      </c>
      <c r="AK67" s="256">
        <v>540</v>
      </c>
      <c r="AL67" s="256">
        <f>AK67*0.86</f>
        <v>464.4</v>
      </c>
      <c r="AM67" s="318"/>
      <c r="AT67" s="372" t="s">
        <v>94</v>
      </c>
      <c r="AV67" s="258" t="s">
        <v>1885</v>
      </c>
    </row>
    <row r="68" spans="1:48" s="372" customFormat="1" ht="15">
      <c r="A68" s="260">
        <v>398</v>
      </c>
      <c r="B68" s="372" t="s">
        <v>27</v>
      </c>
      <c r="C68" s="372" t="s">
        <v>1299</v>
      </c>
      <c r="D68" s="373">
        <v>39600</v>
      </c>
      <c r="E68" s="373">
        <v>39722</v>
      </c>
      <c r="F68" s="372" t="s">
        <v>1886</v>
      </c>
      <c r="G68" s="372" t="s">
        <v>1451</v>
      </c>
      <c r="H68" s="372" t="s">
        <v>1887</v>
      </c>
      <c r="I68" s="254" t="s">
        <v>2331</v>
      </c>
      <c r="J68" s="256">
        <v>113</v>
      </c>
      <c r="K68" s="256">
        <v>34000</v>
      </c>
      <c r="L68" s="256">
        <v>27413</v>
      </c>
      <c r="M68" s="256">
        <v>27413</v>
      </c>
      <c r="N68" s="256">
        <f t="shared" si="9"/>
        <v>242.59292035398229</v>
      </c>
      <c r="O68" s="256">
        <v>81</v>
      </c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88">
        <f t="shared" si="10"/>
        <v>0</v>
      </c>
      <c r="AK68" s="256"/>
      <c r="AL68" s="256"/>
      <c r="AM68" s="256"/>
      <c r="AV68" s="258" t="s">
        <v>1888</v>
      </c>
    </row>
    <row r="69" spans="1:48" s="372" customFormat="1" ht="15">
      <c r="A69" s="260">
        <v>399</v>
      </c>
      <c r="B69" s="372" t="s">
        <v>1889</v>
      </c>
      <c r="C69" s="372" t="s">
        <v>1286</v>
      </c>
      <c r="D69" s="373">
        <v>39783</v>
      </c>
      <c r="E69" s="373">
        <v>40057</v>
      </c>
      <c r="F69" s="372" t="s">
        <v>5</v>
      </c>
      <c r="G69" s="372" t="s">
        <v>1451</v>
      </c>
      <c r="H69" s="372" t="s">
        <v>1890</v>
      </c>
      <c r="I69" s="254" t="s">
        <v>2331</v>
      </c>
      <c r="J69" s="256">
        <v>5000</v>
      </c>
      <c r="K69" s="256">
        <v>80000</v>
      </c>
      <c r="L69" s="256">
        <v>78246</v>
      </c>
      <c r="M69" s="256">
        <v>78246</v>
      </c>
      <c r="N69" s="256">
        <f t="shared" si="9"/>
        <v>15.6492</v>
      </c>
      <c r="O69" s="256">
        <v>98</v>
      </c>
      <c r="P69" s="256"/>
      <c r="Q69" s="256"/>
      <c r="R69" s="256"/>
      <c r="S69" s="256"/>
      <c r="T69" s="256"/>
      <c r="U69" s="256">
        <v>5000</v>
      </c>
      <c r="V69" s="256">
        <v>5000</v>
      </c>
      <c r="W69" s="256">
        <v>2046</v>
      </c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256"/>
      <c r="AJ69" s="288">
        <f t="shared" si="10"/>
        <v>0</v>
      </c>
      <c r="AK69" s="256"/>
      <c r="AL69" s="256"/>
      <c r="AM69" s="256"/>
      <c r="AV69" s="258" t="s">
        <v>1891</v>
      </c>
    </row>
    <row r="70" spans="1:48" s="372" customFormat="1" ht="15">
      <c r="A70" s="260">
        <v>400</v>
      </c>
      <c r="B70" s="372" t="s">
        <v>373</v>
      </c>
      <c r="C70" s="372" t="s">
        <v>1261</v>
      </c>
      <c r="D70" s="373">
        <v>39661</v>
      </c>
      <c r="E70" s="373">
        <v>39904</v>
      </c>
      <c r="F70" s="372" t="s">
        <v>5</v>
      </c>
      <c r="G70" s="372" t="s">
        <v>1451</v>
      </c>
      <c r="H70" s="372" t="s">
        <v>1892</v>
      </c>
      <c r="I70" s="254" t="s">
        <v>2331</v>
      </c>
      <c r="J70" s="256">
        <v>50000</v>
      </c>
      <c r="K70" s="256">
        <v>1000000</v>
      </c>
      <c r="L70" s="256">
        <v>999998</v>
      </c>
      <c r="M70" s="256">
        <v>999998</v>
      </c>
      <c r="N70" s="256">
        <f t="shared" si="9"/>
        <v>19.999960000000002</v>
      </c>
      <c r="O70" s="256">
        <v>100</v>
      </c>
      <c r="P70" s="256"/>
      <c r="Q70" s="256"/>
      <c r="R70" s="256"/>
      <c r="S70" s="256"/>
      <c r="T70" s="256"/>
      <c r="U70" s="256"/>
      <c r="V70" s="256">
        <v>26360</v>
      </c>
      <c r="W70" s="256">
        <v>26360</v>
      </c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  <c r="AH70" s="256"/>
      <c r="AI70" s="256"/>
      <c r="AJ70" s="288">
        <f t="shared" si="10"/>
        <v>0</v>
      </c>
      <c r="AK70" s="256"/>
      <c r="AL70" s="256"/>
      <c r="AM70" s="256"/>
      <c r="AT70" s="372" t="s">
        <v>94</v>
      </c>
      <c r="AV70" s="258" t="s">
        <v>1893</v>
      </c>
    </row>
    <row r="71" spans="1:48" s="254" customFormat="1" ht="15">
      <c r="A71" s="260">
        <v>401</v>
      </c>
      <c r="B71" s="254" t="s">
        <v>12</v>
      </c>
      <c r="C71" s="254" t="s">
        <v>1299</v>
      </c>
      <c r="D71" s="255">
        <v>39539</v>
      </c>
      <c r="E71" s="255">
        <v>39965</v>
      </c>
      <c r="F71" s="254" t="s">
        <v>243</v>
      </c>
      <c r="G71" s="254" t="s">
        <v>1449</v>
      </c>
      <c r="H71" s="254" t="s">
        <v>1905</v>
      </c>
      <c r="I71" s="254" t="s">
        <v>2331</v>
      </c>
      <c r="J71" s="256">
        <v>60000</v>
      </c>
      <c r="K71" s="256">
        <v>104492</v>
      </c>
      <c r="L71" s="256">
        <v>94547</v>
      </c>
      <c r="M71" s="256">
        <v>94547</v>
      </c>
      <c r="N71" s="256">
        <f t="shared" si="9"/>
        <v>1.5757833333333333</v>
      </c>
      <c r="O71" s="256">
        <v>90</v>
      </c>
      <c r="P71" s="256"/>
      <c r="Q71" s="256"/>
      <c r="R71" s="256"/>
      <c r="S71" s="256" t="s">
        <v>94</v>
      </c>
      <c r="T71" s="256">
        <v>20</v>
      </c>
      <c r="U71" s="256">
        <v>10000</v>
      </c>
      <c r="V71" s="256">
        <v>22471</v>
      </c>
      <c r="W71" s="256">
        <v>12660</v>
      </c>
      <c r="X71" s="256"/>
      <c r="Y71" s="256"/>
      <c r="Z71" s="256"/>
      <c r="AA71" s="256">
        <v>10000</v>
      </c>
      <c r="AB71" s="256">
        <v>35</v>
      </c>
      <c r="AC71" s="256"/>
      <c r="AD71" s="256"/>
      <c r="AE71" s="256"/>
      <c r="AF71" s="256"/>
      <c r="AG71" s="256"/>
      <c r="AH71" s="256"/>
      <c r="AI71" s="256"/>
      <c r="AJ71" s="288">
        <f t="shared" si="10"/>
        <v>10000</v>
      </c>
      <c r="AK71" s="256">
        <v>22400</v>
      </c>
      <c r="AL71" s="256">
        <f>AK71*0.9</f>
        <v>20160</v>
      </c>
      <c r="AM71" s="318">
        <f>AL71/AJ71</f>
        <v>2.016</v>
      </c>
      <c r="AN71" s="288"/>
      <c r="AO71" s="288"/>
      <c r="AP71" s="288"/>
      <c r="AQ71" s="288"/>
      <c r="AR71" s="288"/>
      <c r="AS71" s="288"/>
      <c r="AT71" s="288"/>
      <c r="AU71" s="288"/>
      <c r="AV71" s="346" t="s">
        <v>1906</v>
      </c>
    </row>
    <row r="72" spans="1:48" s="254" customFormat="1" ht="15">
      <c r="A72" s="260">
        <v>402</v>
      </c>
      <c r="B72" s="254" t="s">
        <v>12</v>
      </c>
      <c r="C72" s="254" t="s">
        <v>1299</v>
      </c>
      <c r="D72" s="255">
        <v>39600</v>
      </c>
      <c r="E72" s="255">
        <v>39753</v>
      </c>
      <c r="F72" s="254" t="s">
        <v>79</v>
      </c>
      <c r="G72" s="254" t="s">
        <v>1451</v>
      </c>
      <c r="H72" s="254" t="s">
        <v>1907</v>
      </c>
      <c r="I72" s="254" t="s">
        <v>2331</v>
      </c>
      <c r="J72" s="256">
        <v>87092</v>
      </c>
      <c r="K72" s="256">
        <v>200961</v>
      </c>
      <c r="L72" s="256">
        <v>200961</v>
      </c>
      <c r="M72" s="256">
        <v>200962</v>
      </c>
      <c r="N72" s="256">
        <f t="shared" si="9"/>
        <v>2.3074679649106691</v>
      </c>
      <c r="O72" s="256">
        <v>100</v>
      </c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>
        <v>534</v>
      </c>
      <c r="AB72" s="256"/>
      <c r="AC72" s="256"/>
      <c r="AD72" s="256"/>
      <c r="AE72" s="256">
        <v>71</v>
      </c>
      <c r="AF72" s="256"/>
      <c r="AG72" s="256"/>
      <c r="AH72" s="256">
        <v>906</v>
      </c>
      <c r="AI72" s="256"/>
      <c r="AJ72" s="288">
        <f t="shared" si="10"/>
        <v>1440</v>
      </c>
      <c r="AK72" s="256"/>
      <c r="AL72" s="256"/>
      <c r="AM72" s="256"/>
      <c r="AN72" s="288"/>
      <c r="AO72" s="288"/>
      <c r="AP72" s="288"/>
      <c r="AQ72" s="288"/>
      <c r="AR72" s="288"/>
      <c r="AS72" s="288"/>
      <c r="AT72" s="288"/>
      <c r="AU72" s="288"/>
      <c r="AV72" s="346" t="s">
        <v>1908</v>
      </c>
    </row>
    <row r="73" spans="1:48" s="372" customFormat="1" ht="15">
      <c r="A73" s="260">
        <v>403</v>
      </c>
      <c r="B73" s="372" t="s">
        <v>932</v>
      </c>
      <c r="C73" s="372" t="s">
        <v>1261</v>
      </c>
      <c r="D73" s="373">
        <v>39448</v>
      </c>
      <c r="E73" s="373">
        <v>39539</v>
      </c>
      <c r="F73" s="372" t="s">
        <v>1909</v>
      </c>
      <c r="G73" s="372" t="s">
        <v>1451</v>
      </c>
      <c r="H73" s="372" t="s">
        <v>1910</v>
      </c>
      <c r="I73" s="254" t="s">
        <v>2331</v>
      </c>
      <c r="J73" s="256">
        <v>500</v>
      </c>
      <c r="K73" s="256">
        <v>100000</v>
      </c>
      <c r="L73" s="256">
        <v>99979</v>
      </c>
      <c r="M73" s="256">
        <v>99979</v>
      </c>
      <c r="N73" s="256">
        <f t="shared" si="9"/>
        <v>199.958</v>
      </c>
      <c r="O73" s="256">
        <v>100</v>
      </c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  <c r="AG73" s="256"/>
      <c r="AH73" s="256"/>
      <c r="AI73" s="256"/>
      <c r="AJ73" s="288">
        <f t="shared" si="10"/>
        <v>0</v>
      </c>
      <c r="AK73" s="256"/>
      <c r="AL73" s="256"/>
      <c r="AM73" s="256"/>
      <c r="AV73" s="258" t="s">
        <v>1911</v>
      </c>
    </row>
    <row r="74" spans="1:48" s="372" customFormat="1" ht="15">
      <c r="A74" s="260">
        <v>404</v>
      </c>
      <c r="B74" s="372" t="s">
        <v>932</v>
      </c>
      <c r="C74" s="372" t="s">
        <v>1261</v>
      </c>
      <c r="D74" s="373">
        <v>39722</v>
      </c>
      <c r="E74" s="373">
        <v>39814</v>
      </c>
      <c r="F74" s="372" t="s">
        <v>1909</v>
      </c>
      <c r="G74" s="372" t="s">
        <v>1451</v>
      </c>
      <c r="H74" s="372" t="s">
        <v>1912</v>
      </c>
      <c r="I74" s="254" t="s">
        <v>2331</v>
      </c>
      <c r="J74" s="256">
        <v>753</v>
      </c>
      <c r="K74" s="256">
        <v>219741</v>
      </c>
      <c r="L74" s="256">
        <v>219741</v>
      </c>
      <c r="M74" s="256">
        <v>219740</v>
      </c>
      <c r="N74" s="256">
        <f t="shared" si="9"/>
        <v>291.81938911022576</v>
      </c>
      <c r="O74" s="256">
        <v>100</v>
      </c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88">
        <f t="shared" si="10"/>
        <v>0</v>
      </c>
      <c r="AK74" s="256"/>
      <c r="AL74" s="256"/>
      <c r="AM74" s="256"/>
      <c r="AV74" s="258" t="s">
        <v>1913</v>
      </c>
    </row>
    <row r="75" spans="1:48" s="372" customFormat="1" ht="15">
      <c r="A75" s="260">
        <v>405</v>
      </c>
      <c r="B75" s="372" t="s">
        <v>99</v>
      </c>
      <c r="C75" s="372" t="s">
        <v>1261</v>
      </c>
      <c r="D75" s="373">
        <v>39448</v>
      </c>
      <c r="E75" s="373">
        <v>39692</v>
      </c>
      <c r="F75" s="372" t="s">
        <v>1825</v>
      </c>
      <c r="G75" s="254" t="s">
        <v>1452</v>
      </c>
      <c r="H75" s="372" t="s">
        <v>1914</v>
      </c>
      <c r="I75" s="254" t="s">
        <v>2331</v>
      </c>
      <c r="J75" s="256">
        <v>800</v>
      </c>
      <c r="K75" s="256">
        <v>43626</v>
      </c>
      <c r="L75" s="256">
        <v>43626</v>
      </c>
      <c r="M75" s="256">
        <v>43626</v>
      </c>
      <c r="N75" s="256">
        <f t="shared" si="9"/>
        <v>54.532499999999999</v>
      </c>
      <c r="O75" s="256">
        <v>100</v>
      </c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>
        <v>194</v>
      </c>
      <c r="AA75" s="256"/>
      <c r="AB75" s="256">
        <v>13</v>
      </c>
      <c r="AC75" s="256"/>
      <c r="AD75" s="256"/>
      <c r="AE75" s="256"/>
      <c r="AF75" s="256"/>
      <c r="AG75" s="256"/>
      <c r="AH75" s="256"/>
      <c r="AI75" s="256"/>
      <c r="AJ75" s="288">
        <f t="shared" si="10"/>
        <v>194</v>
      </c>
      <c r="AK75" s="256">
        <v>425</v>
      </c>
      <c r="AL75" s="256">
        <v>103</v>
      </c>
      <c r="AM75" s="318">
        <f>AL75/AJ75</f>
        <v>0.53092783505154639</v>
      </c>
      <c r="AV75" s="372" t="s">
        <v>1915</v>
      </c>
    </row>
    <row r="76" spans="1:48" s="372" customFormat="1" ht="15">
      <c r="A76" s="260">
        <v>406</v>
      </c>
      <c r="B76" s="372" t="s">
        <v>1136</v>
      </c>
      <c r="C76" s="372" t="s">
        <v>1261</v>
      </c>
      <c r="D76" s="373">
        <v>39508</v>
      </c>
      <c r="E76" s="373">
        <v>39661</v>
      </c>
      <c r="F76" s="372" t="s">
        <v>1916</v>
      </c>
      <c r="G76" s="372" t="s">
        <v>1451</v>
      </c>
      <c r="H76" s="372" t="s">
        <v>1917</v>
      </c>
      <c r="I76" s="254" t="s">
        <v>2331</v>
      </c>
      <c r="J76" s="256">
        <v>5850</v>
      </c>
      <c r="K76" s="256">
        <v>259858</v>
      </c>
      <c r="L76" s="256">
        <v>259858</v>
      </c>
      <c r="M76" s="256">
        <v>254756</v>
      </c>
      <c r="N76" s="256">
        <f t="shared" si="9"/>
        <v>43.548034188034187</v>
      </c>
      <c r="O76" s="256">
        <v>100</v>
      </c>
      <c r="P76" s="256"/>
      <c r="Q76" s="256">
        <v>2200</v>
      </c>
      <c r="R76" s="256">
        <v>2200</v>
      </c>
      <c r="S76" s="256"/>
      <c r="T76" s="256"/>
      <c r="U76" s="256">
        <v>4500</v>
      </c>
      <c r="V76" s="256"/>
      <c r="W76" s="256"/>
      <c r="X76" s="349">
        <f>W76/R76</f>
        <v>0</v>
      </c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  <c r="AI76" s="256"/>
      <c r="AJ76" s="288">
        <f t="shared" si="10"/>
        <v>0</v>
      </c>
      <c r="AK76" s="256"/>
      <c r="AL76" s="256"/>
      <c r="AM76" s="256"/>
      <c r="AV76" s="258" t="s">
        <v>1918</v>
      </c>
    </row>
    <row r="77" spans="1:48" s="372" customFormat="1" ht="15">
      <c r="A77" s="260">
        <v>407</v>
      </c>
      <c r="B77" s="372" t="s">
        <v>934</v>
      </c>
      <c r="C77" s="372" t="s">
        <v>1260</v>
      </c>
      <c r="D77" s="373">
        <v>39479</v>
      </c>
      <c r="E77" s="373">
        <v>39661</v>
      </c>
      <c r="F77" s="372" t="s">
        <v>116</v>
      </c>
      <c r="G77" s="372" t="s">
        <v>1451</v>
      </c>
      <c r="H77" s="372" t="s">
        <v>1919</v>
      </c>
      <c r="I77" s="254" t="s">
        <v>2331</v>
      </c>
      <c r="J77" s="256">
        <v>7750</v>
      </c>
      <c r="K77" s="256">
        <v>248198</v>
      </c>
      <c r="L77" s="256">
        <v>248193</v>
      </c>
      <c r="M77" s="256">
        <v>248193</v>
      </c>
      <c r="N77" s="256">
        <f t="shared" si="9"/>
        <v>32.024903225806455</v>
      </c>
      <c r="O77" s="256">
        <v>100</v>
      </c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88">
        <f t="shared" si="10"/>
        <v>0</v>
      </c>
      <c r="AK77" s="256"/>
      <c r="AL77" s="256"/>
      <c r="AM77" s="256"/>
      <c r="AV77" s="258" t="s">
        <v>1920</v>
      </c>
    </row>
    <row r="78" spans="1:48" s="372" customFormat="1" ht="15">
      <c r="A78" s="260">
        <v>408</v>
      </c>
      <c r="B78" s="372" t="s">
        <v>1921</v>
      </c>
      <c r="C78" s="372" t="s">
        <v>1261</v>
      </c>
      <c r="D78" s="373">
        <v>39600</v>
      </c>
      <c r="E78" s="373">
        <v>39722</v>
      </c>
      <c r="F78" s="372" t="s">
        <v>1922</v>
      </c>
      <c r="G78" s="372" t="s">
        <v>1449</v>
      </c>
      <c r="H78" s="372" t="s">
        <v>1923</v>
      </c>
      <c r="I78" s="254" t="s">
        <v>2331</v>
      </c>
      <c r="J78" s="256">
        <v>40000</v>
      </c>
      <c r="K78" s="256">
        <v>69000</v>
      </c>
      <c r="L78" s="256">
        <v>69000</v>
      </c>
      <c r="M78" s="256">
        <v>69000</v>
      </c>
      <c r="N78" s="256">
        <f t="shared" si="9"/>
        <v>1.7250000000000001</v>
      </c>
      <c r="O78" s="256">
        <v>100</v>
      </c>
      <c r="P78" s="256"/>
      <c r="Q78" s="256"/>
      <c r="R78" s="256"/>
      <c r="S78" s="256"/>
      <c r="T78" s="256"/>
      <c r="U78" s="256"/>
      <c r="V78" s="256"/>
      <c r="W78" s="256"/>
      <c r="X78" s="256"/>
      <c r="Y78" s="256">
        <v>60000</v>
      </c>
      <c r="Z78" s="256"/>
      <c r="AA78" s="256">
        <v>60000</v>
      </c>
      <c r="AB78" s="256">
        <v>500</v>
      </c>
      <c r="AC78" s="256"/>
      <c r="AD78" s="256"/>
      <c r="AE78" s="256"/>
      <c r="AF78" s="256"/>
      <c r="AG78" s="256"/>
      <c r="AH78" s="256"/>
      <c r="AI78" s="256"/>
      <c r="AJ78" s="301">
        <f t="shared" si="10"/>
        <v>60000</v>
      </c>
      <c r="AK78" s="256">
        <v>15000</v>
      </c>
      <c r="AL78" s="256">
        <v>7147</v>
      </c>
      <c r="AM78" s="318">
        <f>AL78/AJ78</f>
        <v>0.11911666666666666</v>
      </c>
      <c r="AV78" s="258" t="s">
        <v>1924</v>
      </c>
    </row>
    <row r="79" spans="1:48" s="372" customFormat="1" ht="15">
      <c r="A79" s="260">
        <v>409</v>
      </c>
      <c r="B79" s="372" t="s">
        <v>140</v>
      </c>
      <c r="C79" s="372" t="s">
        <v>1299</v>
      </c>
      <c r="D79" s="373">
        <v>39448</v>
      </c>
      <c r="E79" s="373">
        <v>39783</v>
      </c>
      <c r="F79" s="372" t="s">
        <v>615</v>
      </c>
      <c r="G79" s="254" t="s">
        <v>1452</v>
      </c>
      <c r="H79" s="372" t="s">
        <v>1925</v>
      </c>
      <c r="I79" s="254" t="s">
        <v>2331</v>
      </c>
      <c r="J79" s="256">
        <v>15000</v>
      </c>
      <c r="K79" s="256">
        <v>86007</v>
      </c>
      <c r="L79" s="256">
        <v>86007</v>
      </c>
      <c r="M79" s="256">
        <v>85864</v>
      </c>
      <c r="N79" s="256">
        <f t="shared" si="9"/>
        <v>5.7242666666666668</v>
      </c>
      <c r="O79" s="256">
        <v>100</v>
      </c>
      <c r="P79" s="256"/>
      <c r="Q79" s="256"/>
      <c r="R79" s="256"/>
      <c r="S79" s="256"/>
      <c r="T79" s="256"/>
      <c r="U79" s="256">
        <v>15000</v>
      </c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  <c r="AI79" s="256"/>
      <c r="AJ79" s="301">
        <f t="shared" si="10"/>
        <v>0</v>
      </c>
      <c r="AK79" s="256"/>
      <c r="AL79" s="256"/>
      <c r="AM79" s="256"/>
      <c r="AV79" s="258" t="s">
        <v>1926</v>
      </c>
    </row>
    <row r="80" spans="1:48" s="372" customFormat="1" ht="15">
      <c r="A80" s="260">
        <v>410</v>
      </c>
      <c r="B80" s="372" t="s">
        <v>481</v>
      </c>
      <c r="C80" s="372" t="s">
        <v>1299</v>
      </c>
      <c r="D80" s="373">
        <v>39448</v>
      </c>
      <c r="E80" s="373">
        <v>39692</v>
      </c>
      <c r="F80" s="372" t="s">
        <v>1927</v>
      </c>
      <c r="G80" s="372" t="s">
        <v>1451</v>
      </c>
      <c r="H80" s="372" t="s">
        <v>1928</v>
      </c>
      <c r="I80" s="254" t="s">
        <v>2331</v>
      </c>
      <c r="J80" s="256">
        <v>2000</v>
      </c>
      <c r="K80" s="256">
        <v>232845</v>
      </c>
      <c r="L80" s="256">
        <v>232844</v>
      </c>
      <c r="M80" s="256">
        <v>232844</v>
      </c>
      <c r="N80" s="256">
        <f t="shared" si="9"/>
        <v>116.422</v>
      </c>
      <c r="O80" s="256">
        <v>100</v>
      </c>
      <c r="P80" s="256"/>
      <c r="Q80" s="256"/>
      <c r="R80" s="256"/>
      <c r="S80" s="256"/>
      <c r="T80" s="256"/>
      <c r="U80" s="256"/>
      <c r="V80" s="256">
        <v>2500</v>
      </c>
      <c r="W80" s="256">
        <v>2500</v>
      </c>
      <c r="X80" s="256"/>
      <c r="Y80" s="256"/>
      <c r="Z80" s="256"/>
      <c r="AA80" s="256"/>
      <c r="AB80" s="256"/>
      <c r="AC80" s="256"/>
      <c r="AD80" s="256"/>
      <c r="AE80" s="256">
        <v>102</v>
      </c>
      <c r="AF80" s="256"/>
      <c r="AG80" s="256"/>
      <c r="AH80" s="256"/>
      <c r="AI80" s="256"/>
      <c r="AJ80" s="301">
        <f t="shared" si="10"/>
        <v>0</v>
      </c>
      <c r="AK80" s="256">
        <v>38120</v>
      </c>
      <c r="AL80" s="256">
        <v>38120</v>
      </c>
      <c r="AM80" s="318"/>
      <c r="AV80" s="258" t="s">
        <v>1929</v>
      </c>
    </row>
    <row r="81" spans="1:66" s="372" customFormat="1" ht="15">
      <c r="A81" s="260">
        <v>411</v>
      </c>
      <c r="B81" s="372" t="s">
        <v>481</v>
      </c>
      <c r="C81" s="372" t="s">
        <v>1299</v>
      </c>
      <c r="D81" s="373">
        <v>39569</v>
      </c>
      <c r="E81" s="373">
        <v>39661</v>
      </c>
      <c r="F81" s="372" t="s">
        <v>615</v>
      </c>
      <c r="G81" s="254" t="s">
        <v>1452</v>
      </c>
      <c r="H81" s="372" t="s">
        <v>1930</v>
      </c>
      <c r="I81" s="254" t="s">
        <v>2331</v>
      </c>
      <c r="J81" s="256">
        <v>3300</v>
      </c>
      <c r="K81" s="256">
        <v>109701</v>
      </c>
      <c r="L81" s="256">
        <v>109699</v>
      </c>
      <c r="M81" s="256">
        <v>109699</v>
      </c>
      <c r="N81" s="256">
        <f t="shared" si="9"/>
        <v>33.242121212121212</v>
      </c>
      <c r="O81" s="256">
        <v>100</v>
      </c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>
        <v>2066</v>
      </c>
      <c r="AA81" s="256">
        <v>2066</v>
      </c>
      <c r="AB81" s="256"/>
      <c r="AC81" s="256" t="s">
        <v>94</v>
      </c>
      <c r="AD81" s="256"/>
      <c r="AE81" s="256"/>
      <c r="AF81" s="256"/>
      <c r="AG81" s="256"/>
      <c r="AH81" s="256"/>
      <c r="AI81" s="256"/>
      <c r="AJ81" s="301">
        <f t="shared" si="10"/>
        <v>4132</v>
      </c>
      <c r="AK81" s="256">
        <v>11605</v>
      </c>
      <c r="AL81" s="256">
        <v>11605</v>
      </c>
      <c r="AM81" s="318">
        <f t="shared" ref="AM81" si="11">AL81/AJ81</f>
        <v>2.8085672797676668</v>
      </c>
      <c r="AV81" s="258" t="s">
        <v>1931</v>
      </c>
    </row>
    <row r="82" spans="1:66" s="266" customFormat="1" ht="13.5" customHeight="1">
      <c r="A82" s="260">
        <v>412</v>
      </c>
      <c r="B82" s="254" t="s">
        <v>481</v>
      </c>
      <c r="C82" s="254" t="s">
        <v>1299</v>
      </c>
      <c r="D82" s="255">
        <v>39753</v>
      </c>
      <c r="E82" s="255">
        <v>39934</v>
      </c>
      <c r="F82" s="254" t="s">
        <v>168</v>
      </c>
      <c r="G82" s="254" t="s">
        <v>1449</v>
      </c>
      <c r="H82" s="288" t="s">
        <v>1932</v>
      </c>
      <c r="I82" s="254" t="s">
        <v>2331</v>
      </c>
      <c r="J82" s="256">
        <v>500000</v>
      </c>
      <c r="K82" s="256">
        <v>82218</v>
      </c>
      <c r="L82" s="256">
        <v>82218</v>
      </c>
      <c r="M82" s="256">
        <v>82218</v>
      </c>
      <c r="N82" s="256">
        <f t="shared" si="9"/>
        <v>0.164436</v>
      </c>
      <c r="O82" s="256">
        <v>100</v>
      </c>
      <c r="P82" s="256">
        <v>287383</v>
      </c>
      <c r="Q82" s="256">
        <f>2377*5</f>
        <v>11885</v>
      </c>
      <c r="R82" s="256">
        <v>287383</v>
      </c>
      <c r="S82" s="256"/>
      <c r="T82" s="256">
        <v>1207</v>
      </c>
      <c r="U82" s="256">
        <v>287383</v>
      </c>
      <c r="V82" s="256"/>
      <c r="W82" s="256"/>
      <c r="X82" s="349">
        <f>W82/R82</f>
        <v>0</v>
      </c>
      <c r="Y82" s="256">
        <v>182035</v>
      </c>
      <c r="Z82" s="256"/>
      <c r="AA82" s="256">
        <v>182035</v>
      </c>
      <c r="AB82" s="256">
        <v>1207</v>
      </c>
      <c r="AC82" s="256"/>
      <c r="AD82" s="256"/>
      <c r="AE82" s="256"/>
      <c r="AF82" s="256"/>
      <c r="AG82" s="256"/>
      <c r="AH82" s="256"/>
      <c r="AI82" s="256"/>
      <c r="AJ82" s="288">
        <f t="shared" si="10"/>
        <v>182035</v>
      </c>
      <c r="AK82" s="256"/>
      <c r="AL82" s="256"/>
      <c r="AM82" s="256"/>
      <c r="AN82" s="288"/>
      <c r="AO82" s="288"/>
      <c r="AP82" s="288"/>
      <c r="AQ82" s="288"/>
      <c r="AR82" s="288"/>
      <c r="AS82" s="288"/>
      <c r="AT82" s="288"/>
      <c r="AU82" s="288"/>
      <c r="AV82" s="258" t="s">
        <v>1933</v>
      </c>
      <c r="AW82" s="254"/>
      <c r="AX82" s="254"/>
      <c r="AY82" s="254"/>
      <c r="AZ82" s="254"/>
      <c r="BA82" s="254"/>
      <c r="BB82" s="254"/>
      <c r="BC82" s="254"/>
      <c r="BD82" s="254"/>
      <c r="BE82" s="254"/>
      <c r="BF82" s="254"/>
      <c r="BG82" s="254"/>
      <c r="BH82" s="254"/>
      <c r="BI82" s="254"/>
      <c r="BJ82" s="254"/>
      <c r="BK82" s="254"/>
      <c r="BL82" s="254"/>
      <c r="BM82" s="254"/>
      <c r="BN82" s="254"/>
    </row>
    <row r="83" spans="1:66" s="378" customFormat="1" ht="18" customHeight="1">
      <c r="A83" s="260">
        <v>413</v>
      </c>
      <c r="B83" s="377" t="s">
        <v>213</v>
      </c>
      <c r="C83" s="316" t="s">
        <v>1278</v>
      </c>
      <c r="D83" s="317">
        <v>39753</v>
      </c>
      <c r="E83" s="317">
        <v>40483</v>
      </c>
      <c r="F83" s="316" t="s">
        <v>623</v>
      </c>
      <c r="G83" s="273" t="s">
        <v>1451</v>
      </c>
      <c r="H83" s="316" t="s">
        <v>1023</v>
      </c>
      <c r="I83" s="278" t="s">
        <v>2438</v>
      </c>
      <c r="J83" s="318">
        <v>10500</v>
      </c>
      <c r="K83" s="318">
        <v>1997283</v>
      </c>
      <c r="L83" s="318">
        <v>1389703</v>
      </c>
      <c r="M83" s="318">
        <v>1380109</v>
      </c>
      <c r="N83" s="256">
        <f t="shared" si="9"/>
        <v>131.43895238095237</v>
      </c>
      <c r="O83" s="318">
        <v>70</v>
      </c>
      <c r="P83" s="318">
        <f>499*5</f>
        <v>2495</v>
      </c>
      <c r="Q83" s="318">
        <f>150+450+200</f>
        <v>800</v>
      </c>
      <c r="R83" s="318">
        <v>2495</v>
      </c>
      <c r="S83" s="318" t="s">
        <v>233</v>
      </c>
      <c r="T83" s="318">
        <v>120</v>
      </c>
      <c r="U83" s="318">
        <v>56000</v>
      </c>
      <c r="V83" s="318">
        <v>110360</v>
      </c>
      <c r="W83" s="318">
        <v>21185</v>
      </c>
      <c r="X83" s="349">
        <f>W83/R83</f>
        <v>8.4909819639278563</v>
      </c>
      <c r="Y83" s="318"/>
      <c r="Z83" s="318"/>
      <c r="AA83" s="318" t="s">
        <v>134</v>
      </c>
      <c r="AB83" s="318">
        <v>160</v>
      </c>
      <c r="AC83" s="318" t="s">
        <v>75</v>
      </c>
      <c r="AD83" s="318" t="s">
        <v>75</v>
      </c>
      <c r="AE83" s="318">
        <v>4568</v>
      </c>
      <c r="AF83" s="318" t="s">
        <v>75</v>
      </c>
      <c r="AG83" s="318" t="s">
        <v>75</v>
      </c>
      <c r="AH83" s="318" t="s">
        <v>75</v>
      </c>
      <c r="AI83" s="318" t="s">
        <v>75</v>
      </c>
      <c r="AJ83" s="288">
        <f t="shared" si="10"/>
        <v>0</v>
      </c>
      <c r="AK83" s="318">
        <v>0</v>
      </c>
      <c r="AL83" s="318">
        <v>5442</v>
      </c>
      <c r="AM83" s="318"/>
      <c r="AN83" s="319"/>
      <c r="AO83" s="319"/>
      <c r="AP83" s="319"/>
      <c r="AQ83" s="319"/>
      <c r="AR83" s="319"/>
      <c r="AS83" s="319"/>
      <c r="AT83" s="319" t="s">
        <v>75</v>
      </c>
      <c r="AU83" s="319" t="s">
        <v>75</v>
      </c>
      <c r="AV83" s="322" t="s">
        <v>1024</v>
      </c>
      <c r="AW83" s="266"/>
      <c r="AX83" s="266"/>
      <c r="AY83" s="266"/>
      <c r="AZ83" s="266"/>
      <c r="BA83" s="266"/>
      <c r="BB83" s="266"/>
      <c r="BC83" s="266"/>
      <c r="BD83" s="266"/>
      <c r="BE83" s="266"/>
      <c r="BF83" s="266"/>
      <c r="BG83" s="266"/>
      <c r="BH83" s="266"/>
      <c r="BI83" s="266"/>
      <c r="BJ83" s="266"/>
      <c r="BK83" s="266"/>
      <c r="BL83" s="266"/>
      <c r="BM83" s="266"/>
      <c r="BN83" s="266"/>
    </row>
    <row r="84" spans="1:66" s="288" customFormat="1" ht="15">
      <c r="A84" s="260">
        <v>414</v>
      </c>
      <c r="B84" s="288" t="s">
        <v>97</v>
      </c>
      <c r="C84" s="288" t="s">
        <v>1299</v>
      </c>
      <c r="D84" s="379">
        <v>39569</v>
      </c>
      <c r="E84" s="379">
        <v>39722</v>
      </c>
      <c r="F84" s="288" t="s">
        <v>569</v>
      </c>
      <c r="G84" s="288" t="s">
        <v>1449</v>
      </c>
      <c r="H84" s="288" t="s">
        <v>1951</v>
      </c>
      <c r="I84" s="254" t="s">
        <v>2331</v>
      </c>
      <c r="J84" s="256">
        <v>500000</v>
      </c>
      <c r="K84" s="256">
        <v>33336</v>
      </c>
      <c r="L84" s="256">
        <v>33336</v>
      </c>
      <c r="M84" s="256">
        <v>33336</v>
      </c>
      <c r="N84" s="256">
        <f t="shared" si="9"/>
        <v>6.6671999999999995E-2</v>
      </c>
      <c r="O84" s="256">
        <v>100</v>
      </c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>
        <v>500000</v>
      </c>
      <c r="AB84" s="256">
        <v>300</v>
      </c>
      <c r="AC84" s="256"/>
      <c r="AD84" s="256"/>
      <c r="AE84" s="256"/>
      <c r="AF84" s="256"/>
      <c r="AG84" s="256"/>
      <c r="AH84" s="256"/>
      <c r="AI84" s="256"/>
      <c r="AJ84" s="301">
        <f t="shared" si="10"/>
        <v>500000</v>
      </c>
      <c r="AK84" s="256"/>
      <c r="AL84" s="256"/>
      <c r="AM84" s="256"/>
      <c r="AV84" s="380" t="s">
        <v>1952</v>
      </c>
    </row>
    <row r="85" spans="1:66" s="378" customFormat="1" ht="15">
      <c r="A85" s="260">
        <v>415</v>
      </c>
      <c r="B85" s="378" t="s">
        <v>649</v>
      </c>
      <c r="C85" s="378" t="s">
        <v>1261</v>
      </c>
      <c r="D85" s="381">
        <v>39783</v>
      </c>
      <c r="E85" s="381">
        <v>39995</v>
      </c>
      <c r="F85" s="378" t="s">
        <v>5</v>
      </c>
      <c r="G85" s="378" t="s">
        <v>1451</v>
      </c>
      <c r="H85" s="378" t="s">
        <v>1953</v>
      </c>
      <c r="I85" s="254" t="s">
        <v>2331</v>
      </c>
      <c r="J85" s="256">
        <v>15450</v>
      </c>
      <c r="K85" s="256">
        <v>190000</v>
      </c>
      <c r="L85" s="256">
        <v>190000</v>
      </c>
      <c r="M85" s="256">
        <v>179103</v>
      </c>
      <c r="N85" s="256">
        <f t="shared" si="9"/>
        <v>11.59242718446602</v>
      </c>
      <c r="O85" s="256">
        <v>100</v>
      </c>
      <c r="P85" s="256"/>
      <c r="Q85" s="256"/>
      <c r="R85" s="256"/>
      <c r="S85" s="256"/>
      <c r="T85" s="256">
        <v>68</v>
      </c>
      <c r="U85" s="256">
        <v>15000</v>
      </c>
      <c r="V85" s="256">
        <v>9768</v>
      </c>
      <c r="W85" s="256">
        <v>9768</v>
      </c>
      <c r="X85" s="256"/>
      <c r="Y85" s="256"/>
      <c r="Z85" s="256"/>
      <c r="AA85" s="256"/>
      <c r="AB85" s="256"/>
      <c r="AC85" s="256"/>
      <c r="AD85" s="256"/>
      <c r="AE85" s="256">
        <v>2000</v>
      </c>
      <c r="AF85" s="256"/>
      <c r="AG85" s="256"/>
      <c r="AH85" s="256"/>
      <c r="AI85" s="256"/>
      <c r="AJ85" s="301">
        <f t="shared" si="10"/>
        <v>0</v>
      </c>
      <c r="AK85" s="256"/>
      <c r="AL85" s="256"/>
      <c r="AM85" s="256"/>
      <c r="AV85" s="291" t="s">
        <v>1954</v>
      </c>
    </row>
    <row r="86" spans="1:66" s="288" customFormat="1" ht="15">
      <c r="A86" s="260">
        <v>416</v>
      </c>
      <c r="B86" s="288" t="s">
        <v>1475</v>
      </c>
      <c r="C86" s="288" t="s">
        <v>1286</v>
      </c>
      <c r="D86" s="379">
        <v>39479</v>
      </c>
      <c r="E86" s="379">
        <v>39934</v>
      </c>
      <c r="F86" s="288" t="s">
        <v>1955</v>
      </c>
      <c r="G86" s="288" t="s">
        <v>1449</v>
      </c>
      <c r="H86" s="288" t="s">
        <v>1956</v>
      </c>
      <c r="I86" s="254" t="s">
        <v>2331</v>
      </c>
      <c r="J86" s="256">
        <v>190500</v>
      </c>
      <c r="K86" s="256">
        <v>78000</v>
      </c>
      <c r="L86" s="256">
        <v>70731</v>
      </c>
      <c r="M86" s="256">
        <v>70731</v>
      </c>
      <c r="N86" s="256">
        <f t="shared" si="9"/>
        <v>0.37129133858267716</v>
      </c>
      <c r="O86" s="256">
        <v>91</v>
      </c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>
        <v>576545</v>
      </c>
      <c r="AB86" s="256">
        <v>539</v>
      </c>
      <c r="AC86" s="256"/>
      <c r="AD86" s="256"/>
      <c r="AE86" s="256"/>
      <c r="AF86" s="256"/>
      <c r="AG86" s="256"/>
      <c r="AH86" s="256"/>
      <c r="AI86" s="256"/>
      <c r="AJ86" s="301">
        <f t="shared" si="10"/>
        <v>576545</v>
      </c>
      <c r="AK86" s="256"/>
      <c r="AL86" s="256"/>
      <c r="AM86" s="256"/>
      <c r="AV86" s="380" t="s">
        <v>1957</v>
      </c>
    </row>
    <row r="87" spans="1:66" s="378" customFormat="1" ht="15">
      <c r="A87" s="260">
        <v>417</v>
      </c>
      <c r="B87" s="378" t="s">
        <v>1475</v>
      </c>
      <c r="C87" s="378" t="s">
        <v>1286</v>
      </c>
      <c r="D87" s="381">
        <v>39661</v>
      </c>
      <c r="E87" s="381">
        <v>39934</v>
      </c>
      <c r="F87" s="378" t="s">
        <v>1958</v>
      </c>
      <c r="G87" s="378" t="s">
        <v>1451</v>
      </c>
      <c r="H87" s="378" t="s">
        <v>1959</v>
      </c>
      <c r="I87" s="254" t="s">
        <v>2331</v>
      </c>
      <c r="J87" s="256">
        <v>1690</v>
      </c>
      <c r="K87" s="256">
        <v>56605</v>
      </c>
      <c r="L87" s="256">
        <v>53913</v>
      </c>
      <c r="M87" s="256">
        <v>53913</v>
      </c>
      <c r="N87" s="256">
        <f t="shared" si="9"/>
        <v>31.901183431952663</v>
      </c>
      <c r="O87" s="256">
        <v>95</v>
      </c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256"/>
      <c r="AJ87" s="288">
        <f t="shared" si="10"/>
        <v>0</v>
      </c>
      <c r="AK87" s="256"/>
      <c r="AL87" s="256"/>
      <c r="AM87" s="256"/>
      <c r="AV87" s="291" t="s">
        <v>1960</v>
      </c>
    </row>
    <row r="88" spans="1:66" s="378" customFormat="1" ht="15">
      <c r="A88" s="260">
        <v>418</v>
      </c>
      <c r="B88" s="378" t="s">
        <v>1475</v>
      </c>
      <c r="C88" s="378" t="s">
        <v>1286</v>
      </c>
      <c r="D88" s="381">
        <v>39692</v>
      </c>
      <c r="E88" s="381">
        <v>39873</v>
      </c>
      <c r="F88" s="378" t="s">
        <v>79</v>
      </c>
      <c r="G88" s="378" t="s">
        <v>1451</v>
      </c>
      <c r="H88" s="378" t="s">
        <v>1961</v>
      </c>
      <c r="I88" s="254" t="s">
        <v>2331</v>
      </c>
      <c r="J88" s="256">
        <v>6305</v>
      </c>
      <c r="K88" s="256"/>
      <c r="L88" s="256"/>
      <c r="M88" s="256"/>
      <c r="N88" s="256">
        <f t="shared" si="9"/>
        <v>0</v>
      </c>
      <c r="O88" s="256"/>
      <c r="P88" s="256">
        <v>3600</v>
      </c>
      <c r="R88" s="256">
        <v>3600</v>
      </c>
      <c r="S88" s="256"/>
      <c r="T88" s="256"/>
      <c r="U88" s="256"/>
      <c r="V88" s="256"/>
      <c r="W88" s="256"/>
      <c r="X88" s="349">
        <f>W88/R88</f>
        <v>0</v>
      </c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88">
        <f t="shared" si="10"/>
        <v>0</v>
      </c>
      <c r="AK88" s="256"/>
      <c r="AL88" s="256"/>
      <c r="AM88" s="256"/>
      <c r="AV88" s="291" t="s">
        <v>1962</v>
      </c>
    </row>
    <row r="89" spans="1:66" s="378" customFormat="1" ht="15">
      <c r="A89" s="260">
        <v>419</v>
      </c>
      <c r="B89" s="378" t="s">
        <v>153</v>
      </c>
      <c r="C89" s="378" t="s">
        <v>1299</v>
      </c>
      <c r="D89" s="381">
        <v>39722</v>
      </c>
      <c r="E89" s="381">
        <v>39904</v>
      </c>
      <c r="F89" s="378" t="s">
        <v>1004</v>
      </c>
      <c r="G89" s="378" t="s">
        <v>1451</v>
      </c>
      <c r="H89" s="378" t="s">
        <v>1963</v>
      </c>
      <c r="I89" s="254" t="s">
        <v>2331</v>
      </c>
      <c r="J89" s="256">
        <v>5000</v>
      </c>
      <c r="K89" s="256">
        <v>159334</v>
      </c>
      <c r="L89" s="256">
        <v>159334</v>
      </c>
      <c r="M89" s="256">
        <v>159334</v>
      </c>
      <c r="N89" s="256">
        <f t="shared" si="9"/>
        <v>31.866800000000001</v>
      </c>
      <c r="O89" s="256">
        <v>100</v>
      </c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88">
        <f t="shared" si="10"/>
        <v>0</v>
      </c>
      <c r="AK89" s="256"/>
      <c r="AL89" s="256"/>
      <c r="AM89" s="256"/>
      <c r="AV89" s="291" t="s">
        <v>1964</v>
      </c>
    </row>
    <row r="90" spans="1:66" s="288" customFormat="1" ht="15">
      <c r="A90" s="260">
        <v>420</v>
      </c>
      <c r="B90" s="288" t="s">
        <v>26</v>
      </c>
      <c r="C90" s="288" t="s">
        <v>1299</v>
      </c>
      <c r="D90" s="379">
        <v>39448</v>
      </c>
      <c r="E90" s="379">
        <v>39845</v>
      </c>
      <c r="F90" s="288" t="s">
        <v>1965</v>
      </c>
      <c r="G90" s="288" t="s">
        <v>1449</v>
      </c>
      <c r="H90" s="288" t="s">
        <v>1966</v>
      </c>
      <c r="I90" s="254" t="s">
        <v>2331</v>
      </c>
      <c r="J90" s="256">
        <v>160000</v>
      </c>
      <c r="K90" s="256">
        <v>249345</v>
      </c>
      <c r="L90" s="256">
        <v>249344</v>
      </c>
      <c r="M90" s="256">
        <v>249344</v>
      </c>
      <c r="N90" s="256">
        <f t="shared" si="9"/>
        <v>1.5584</v>
      </c>
      <c r="O90" s="256">
        <v>100</v>
      </c>
      <c r="P90" s="256"/>
      <c r="Q90" s="256"/>
      <c r="R90" s="256"/>
      <c r="S90" s="256"/>
      <c r="T90" s="256">
        <v>100</v>
      </c>
      <c r="U90" s="256">
        <v>160000</v>
      </c>
      <c r="V90" s="256">
        <v>205587</v>
      </c>
      <c r="W90" s="256">
        <v>123232</v>
      </c>
      <c r="X90" s="256"/>
      <c r="Y90" s="256"/>
      <c r="Z90" s="256"/>
      <c r="AA90" s="256">
        <v>160000</v>
      </c>
      <c r="AB90" s="256"/>
      <c r="AC90" s="256"/>
      <c r="AD90" s="256"/>
      <c r="AE90" s="256"/>
      <c r="AF90" s="256"/>
      <c r="AG90" s="256"/>
      <c r="AH90" s="256"/>
      <c r="AI90" s="256"/>
      <c r="AJ90" s="288">
        <f t="shared" si="10"/>
        <v>160000</v>
      </c>
      <c r="AK90" s="256"/>
      <c r="AL90" s="256"/>
      <c r="AM90" s="256"/>
      <c r="AV90" s="380" t="s">
        <v>1967</v>
      </c>
    </row>
    <row r="91" spans="1:66" s="378" customFormat="1" ht="15">
      <c r="A91" s="260">
        <v>421</v>
      </c>
      <c r="B91" s="378" t="s">
        <v>171</v>
      </c>
      <c r="C91" s="378" t="s">
        <v>1299</v>
      </c>
      <c r="D91" s="381">
        <v>39448</v>
      </c>
      <c r="E91" s="381">
        <v>39692</v>
      </c>
      <c r="F91" s="378" t="s">
        <v>5</v>
      </c>
      <c r="G91" s="378" t="s">
        <v>1451</v>
      </c>
      <c r="H91" s="378" t="s">
        <v>1968</v>
      </c>
      <c r="I91" s="254" t="s">
        <v>2331</v>
      </c>
      <c r="J91" s="256">
        <v>7500</v>
      </c>
      <c r="K91" s="256">
        <v>88353</v>
      </c>
      <c r="L91" s="256">
        <v>79452</v>
      </c>
      <c r="M91" s="256">
        <v>79452</v>
      </c>
      <c r="N91" s="256">
        <f t="shared" si="9"/>
        <v>10.5936</v>
      </c>
      <c r="O91" s="256">
        <v>90</v>
      </c>
      <c r="P91" s="256"/>
      <c r="Q91" s="256"/>
      <c r="R91" s="256"/>
      <c r="S91" s="256"/>
      <c r="T91" s="256">
        <v>100</v>
      </c>
      <c r="U91" s="256">
        <v>24000</v>
      </c>
      <c r="V91" s="256"/>
      <c r="W91" s="256"/>
      <c r="X91" s="256"/>
      <c r="Y91" s="256">
        <v>24000</v>
      </c>
      <c r="Z91" s="256"/>
      <c r="AA91" s="256">
        <v>24000</v>
      </c>
      <c r="AB91" s="256"/>
      <c r="AC91" s="256">
        <v>100</v>
      </c>
      <c r="AD91" s="256"/>
      <c r="AE91" s="256">
        <v>830</v>
      </c>
      <c r="AF91" s="256"/>
      <c r="AG91" s="256"/>
      <c r="AH91" s="256"/>
      <c r="AI91" s="256"/>
      <c r="AJ91" s="288">
        <f t="shared" si="10"/>
        <v>24000</v>
      </c>
      <c r="AK91" s="256">
        <v>3700</v>
      </c>
      <c r="AL91" s="256">
        <v>3749</v>
      </c>
      <c r="AM91" s="318">
        <f>AL91/AJ91</f>
        <v>0.15620833333333334</v>
      </c>
      <c r="AV91" s="291" t="s">
        <v>1969</v>
      </c>
    </row>
    <row r="92" spans="1:66" s="378" customFormat="1" ht="15">
      <c r="A92" s="260">
        <v>422</v>
      </c>
      <c r="B92" s="378" t="s">
        <v>171</v>
      </c>
      <c r="C92" s="378" t="s">
        <v>1299</v>
      </c>
      <c r="D92" s="381">
        <v>39539</v>
      </c>
      <c r="E92" s="381">
        <v>39692</v>
      </c>
      <c r="F92" s="378" t="s">
        <v>1970</v>
      </c>
      <c r="G92" s="288" t="s">
        <v>1452</v>
      </c>
      <c r="H92" s="378" t="s">
        <v>1971</v>
      </c>
      <c r="I92" s="254" t="s">
        <v>2331</v>
      </c>
      <c r="J92" s="256">
        <v>38000</v>
      </c>
      <c r="K92" s="256">
        <v>11594</v>
      </c>
      <c r="L92" s="256">
        <v>10607</v>
      </c>
      <c r="M92" s="256">
        <v>10607</v>
      </c>
      <c r="N92" s="256">
        <f t="shared" si="9"/>
        <v>0.2791315789473684</v>
      </c>
      <c r="O92" s="256">
        <v>91</v>
      </c>
      <c r="P92" s="256"/>
      <c r="Q92" s="256"/>
      <c r="R92" s="256"/>
      <c r="S92" s="256"/>
      <c r="T92" s="256"/>
      <c r="U92" s="256"/>
      <c r="V92" s="256">
        <v>200</v>
      </c>
      <c r="W92" s="256">
        <v>200</v>
      </c>
      <c r="X92" s="256"/>
      <c r="Y92" s="256"/>
      <c r="Z92" s="256"/>
      <c r="AA92" s="256"/>
      <c r="AB92" s="256">
        <v>15</v>
      </c>
      <c r="AC92" s="256"/>
      <c r="AD92" s="256"/>
      <c r="AE92" s="256">
        <v>400</v>
      </c>
      <c r="AF92" s="256"/>
      <c r="AG92" s="256"/>
      <c r="AH92" s="256"/>
      <c r="AI92" s="256"/>
      <c r="AJ92" s="288">
        <f t="shared" si="10"/>
        <v>0</v>
      </c>
      <c r="AK92" s="256"/>
      <c r="AL92" s="256"/>
      <c r="AM92" s="256"/>
      <c r="AV92" s="291" t="s">
        <v>1972</v>
      </c>
    </row>
    <row r="93" spans="1:66" s="378" customFormat="1" ht="15">
      <c r="A93" s="260">
        <v>423</v>
      </c>
      <c r="B93" s="378" t="s">
        <v>148</v>
      </c>
      <c r="C93" s="378" t="s">
        <v>1299</v>
      </c>
      <c r="D93" s="381">
        <v>39448</v>
      </c>
      <c r="E93" s="381">
        <v>39692</v>
      </c>
      <c r="F93" s="378" t="s">
        <v>1973</v>
      </c>
      <c r="G93" s="288" t="s">
        <v>1452</v>
      </c>
      <c r="H93" s="378" t="s">
        <v>1974</v>
      </c>
      <c r="I93" s="254" t="s">
        <v>2331</v>
      </c>
      <c r="J93" s="256">
        <v>3000</v>
      </c>
      <c r="K93" s="256">
        <v>203495</v>
      </c>
      <c r="L93" s="256">
        <v>200000</v>
      </c>
      <c r="M93" s="256">
        <v>200000</v>
      </c>
      <c r="N93" s="256">
        <f t="shared" si="9"/>
        <v>66.666666666666671</v>
      </c>
      <c r="O93" s="256">
        <v>98</v>
      </c>
      <c r="P93" s="256">
        <v>3000</v>
      </c>
      <c r="Q93" s="256">
        <v>3000</v>
      </c>
      <c r="R93" s="256">
        <v>3000</v>
      </c>
      <c r="S93" s="256"/>
      <c r="T93" s="256"/>
      <c r="U93" s="256"/>
      <c r="V93" s="256">
        <v>28166</v>
      </c>
      <c r="W93" s="256">
        <f>V93*0.98</f>
        <v>27602.68</v>
      </c>
      <c r="X93" s="349">
        <f>W93/R93</f>
        <v>9.2008933333333331</v>
      </c>
      <c r="Y93" s="256">
        <v>3000</v>
      </c>
      <c r="Z93" s="256"/>
      <c r="AA93" s="256">
        <v>3000</v>
      </c>
      <c r="AB93" s="256"/>
      <c r="AC93" s="256"/>
      <c r="AD93" s="256"/>
      <c r="AE93" s="256"/>
      <c r="AF93" s="256"/>
      <c r="AG93" s="256"/>
      <c r="AH93" s="256"/>
      <c r="AI93" s="256"/>
      <c r="AJ93" s="288">
        <f t="shared" si="10"/>
        <v>3000</v>
      </c>
      <c r="AK93" s="256">
        <v>1500</v>
      </c>
      <c r="AL93" s="256">
        <f>AK93*0.98</f>
        <v>1470</v>
      </c>
      <c r="AM93" s="318">
        <f>AL93/AJ93</f>
        <v>0.49</v>
      </c>
      <c r="AV93" s="291" t="s">
        <v>1975</v>
      </c>
    </row>
    <row r="94" spans="1:66" s="378" customFormat="1" ht="15">
      <c r="A94" s="260">
        <v>424</v>
      </c>
      <c r="B94" s="378" t="s">
        <v>148</v>
      </c>
      <c r="C94" s="378" t="s">
        <v>1299</v>
      </c>
      <c r="D94" s="381">
        <v>39692</v>
      </c>
      <c r="E94" s="381">
        <v>39965</v>
      </c>
      <c r="F94" s="378" t="s">
        <v>1976</v>
      </c>
      <c r="G94" s="378" t="s">
        <v>1451</v>
      </c>
      <c r="H94" s="378" t="s">
        <v>1977</v>
      </c>
      <c r="I94" s="254" t="s">
        <v>2331</v>
      </c>
      <c r="J94" s="256">
        <v>33939</v>
      </c>
      <c r="K94" s="256">
        <v>191839</v>
      </c>
      <c r="L94" s="256">
        <v>191813</v>
      </c>
      <c r="M94" s="256">
        <v>191813</v>
      </c>
      <c r="N94" s="256">
        <f t="shared" si="9"/>
        <v>5.6516986357877368</v>
      </c>
      <c r="O94" s="256">
        <v>100</v>
      </c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256"/>
      <c r="AD94" s="256"/>
      <c r="AE94" s="256"/>
      <c r="AF94" s="256"/>
      <c r="AG94" s="256"/>
      <c r="AH94" s="256"/>
      <c r="AI94" s="256"/>
      <c r="AJ94" s="288">
        <f t="shared" si="10"/>
        <v>0</v>
      </c>
      <c r="AK94" s="256"/>
      <c r="AL94" s="256"/>
      <c r="AM94" s="256"/>
      <c r="AV94" s="291" t="s">
        <v>1978</v>
      </c>
    </row>
    <row r="95" spans="1:66" s="378" customFormat="1" ht="15">
      <c r="A95" s="260">
        <v>425</v>
      </c>
      <c r="B95" s="378" t="s">
        <v>1400</v>
      </c>
      <c r="C95" s="378" t="s">
        <v>1261</v>
      </c>
      <c r="D95" s="381">
        <v>39630</v>
      </c>
      <c r="E95" s="381">
        <v>39753</v>
      </c>
      <c r="F95" s="378" t="s">
        <v>989</v>
      </c>
      <c r="G95" s="288" t="s">
        <v>1452</v>
      </c>
      <c r="H95" s="378" t="s">
        <v>1979</v>
      </c>
      <c r="I95" s="254" t="s">
        <v>2331</v>
      </c>
      <c r="J95" s="256">
        <v>2500</v>
      </c>
      <c r="K95" s="256">
        <v>58770</v>
      </c>
      <c r="L95" s="256">
        <v>58770</v>
      </c>
      <c r="M95" s="256">
        <v>58770</v>
      </c>
      <c r="N95" s="256">
        <f t="shared" si="9"/>
        <v>23.507999999999999</v>
      </c>
      <c r="O95" s="256">
        <v>100</v>
      </c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88">
        <f t="shared" si="10"/>
        <v>0</v>
      </c>
      <c r="AK95" s="256"/>
      <c r="AL95" s="256"/>
      <c r="AM95" s="256"/>
      <c r="AV95" s="291" t="s">
        <v>1980</v>
      </c>
    </row>
    <row r="96" spans="1:66" s="378" customFormat="1" ht="15">
      <c r="A96" s="260">
        <v>426</v>
      </c>
      <c r="B96" s="378" t="s">
        <v>1484</v>
      </c>
      <c r="C96" s="378" t="s">
        <v>1261</v>
      </c>
      <c r="D96" s="381">
        <v>39661</v>
      </c>
      <c r="E96" s="381">
        <v>39753</v>
      </c>
      <c r="F96" s="378" t="s">
        <v>1981</v>
      </c>
      <c r="G96" s="378" t="s">
        <v>1451</v>
      </c>
      <c r="H96" s="378" t="s">
        <v>1982</v>
      </c>
      <c r="I96" s="254" t="s">
        <v>2331</v>
      </c>
      <c r="J96" s="256">
        <v>24000</v>
      </c>
      <c r="K96" s="256">
        <v>200000</v>
      </c>
      <c r="L96" s="256">
        <v>200000</v>
      </c>
      <c r="M96" s="256">
        <v>200000</v>
      </c>
      <c r="N96" s="256">
        <f t="shared" si="9"/>
        <v>8.3333333333333339</v>
      </c>
      <c r="O96" s="256">
        <v>100</v>
      </c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256"/>
      <c r="AB96" s="256"/>
      <c r="AC96" s="256"/>
      <c r="AD96" s="256"/>
      <c r="AE96" s="256">
        <v>10000</v>
      </c>
      <c r="AF96" s="256"/>
      <c r="AG96" s="256"/>
      <c r="AH96" s="256"/>
      <c r="AI96" s="256"/>
      <c r="AJ96" s="301">
        <f t="shared" si="10"/>
        <v>0</v>
      </c>
      <c r="AK96" s="256"/>
      <c r="AL96" s="256"/>
      <c r="AM96" s="256"/>
      <c r="AV96" s="291" t="s">
        <v>1983</v>
      </c>
    </row>
    <row r="97" spans="1:66" s="288" customFormat="1" ht="15">
      <c r="A97" s="260">
        <v>427</v>
      </c>
      <c r="B97" s="288" t="s">
        <v>1484</v>
      </c>
      <c r="C97" s="288" t="s">
        <v>1261</v>
      </c>
      <c r="D97" s="379">
        <v>39722</v>
      </c>
      <c r="E97" s="379">
        <v>39845</v>
      </c>
      <c r="F97" s="288" t="s">
        <v>1120</v>
      </c>
      <c r="G97" s="288" t="s">
        <v>1451</v>
      </c>
      <c r="H97" s="288" t="s">
        <v>1984</v>
      </c>
      <c r="I97" s="254" t="s">
        <v>2331</v>
      </c>
      <c r="J97" s="256">
        <v>56444</v>
      </c>
      <c r="K97" s="256">
        <v>200000</v>
      </c>
      <c r="L97" s="256">
        <v>200000</v>
      </c>
      <c r="M97" s="256">
        <v>200000</v>
      </c>
      <c r="N97" s="256">
        <f t="shared" si="9"/>
        <v>3.5433349868896604</v>
      </c>
      <c r="O97" s="256">
        <v>100</v>
      </c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  <c r="AA97" s="256"/>
      <c r="AB97" s="256"/>
      <c r="AC97" s="256"/>
      <c r="AD97" s="256"/>
      <c r="AE97" s="256"/>
      <c r="AF97" s="256"/>
      <c r="AG97" s="256"/>
      <c r="AH97" s="256"/>
      <c r="AI97" s="256"/>
      <c r="AJ97" s="288">
        <f t="shared" si="10"/>
        <v>0</v>
      </c>
      <c r="AK97" s="256"/>
      <c r="AL97" s="256"/>
      <c r="AM97" s="256"/>
      <c r="AV97" s="380" t="s">
        <v>1985</v>
      </c>
    </row>
    <row r="98" spans="1:66" s="378" customFormat="1" ht="15">
      <c r="A98" s="260">
        <v>428</v>
      </c>
      <c r="B98" s="378" t="s">
        <v>462</v>
      </c>
      <c r="C98" s="378" t="s">
        <v>1299</v>
      </c>
      <c r="D98" s="381">
        <v>39569</v>
      </c>
      <c r="E98" s="381">
        <v>39600</v>
      </c>
      <c r="F98" s="378" t="s">
        <v>1986</v>
      </c>
      <c r="G98" s="288" t="s">
        <v>1452</v>
      </c>
      <c r="H98" s="378" t="s">
        <v>1987</v>
      </c>
      <c r="I98" s="254" t="s">
        <v>2331</v>
      </c>
      <c r="J98" s="256">
        <v>30000</v>
      </c>
      <c r="K98" s="256">
        <v>302378</v>
      </c>
      <c r="L98" s="256">
        <v>302378</v>
      </c>
      <c r="M98" s="256"/>
      <c r="N98" s="256">
        <f t="shared" si="9"/>
        <v>0</v>
      </c>
      <c r="O98" s="256">
        <f>(L98*100)/K98</f>
        <v>100</v>
      </c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88">
        <f t="shared" si="10"/>
        <v>0</v>
      </c>
      <c r="AK98" s="256"/>
      <c r="AL98" s="256"/>
      <c r="AM98" s="256"/>
      <c r="AV98" s="291" t="s">
        <v>1988</v>
      </c>
    </row>
    <row r="99" spans="1:66" s="378" customFormat="1" ht="15">
      <c r="A99" s="260">
        <v>429</v>
      </c>
      <c r="B99" s="378" t="s">
        <v>462</v>
      </c>
      <c r="C99" s="378" t="s">
        <v>1299</v>
      </c>
      <c r="D99" s="381">
        <v>39569</v>
      </c>
      <c r="E99" s="381">
        <v>39995</v>
      </c>
      <c r="F99" s="378" t="s">
        <v>1986</v>
      </c>
      <c r="G99" s="288" t="s">
        <v>1452</v>
      </c>
      <c r="H99" s="378" t="s">
        <v>1989</v>
      </c>
      <c r="I99" s="254" t="s">
        <v>2331</v>
      </c>
      <c r="J99" s="256">
        <v>30000</v>
      </c>
      <c r="K99" s="256">
        <v>373567</v>
      </c>
      <c r="L99" s="256">
        <v>373567</v>
      </c>
      <c r="M99" s="256">
        <v>371848</v>
      </c>
      <c r="N99" s="256">
        <f t="shared" ref="N99:N103" si="12">M99/J99</f>
        <v>12.394933333333332</v>
      </c>
      <c r="O99" s="256">
        <v>100</v>
      </c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88">
        <f t="shared" si="10"/>
        <v>0</v>
      </c>
      <c r="AK99" s="256"/>
      <c r="AL99" s="256">
        <v>5</v>
      </c>
      <c r="AM99" s="318"/>
      <c r="AV99" s="291" t="s">
        <v>1990</v>
      </c>
    </row>
    <row r="100" spans="1:66" s="378" customFormat="1" ht="15">
      <c r="A100" s="260">
        <v>430</v>
      </c>
      <c r="B100" s="261" t="s">
        <v>270</v>
      </c>
      <c r="C100" s="378" t="s">
        <v>1299</v>
      </c>
      <c r="D100" s="381">
        <v>39479</v>
      </c>
      <c r="E100" s="381">
        <v>39630</v>
      </c>
      <c r="F100" s="378" t="s">
        <v>1991</v>
      </c>
      <c r="G100" s="378" t="s">
        <v>1451</v>
      </c>
      <c r="H100" s="378" t="s">
        <v>791</v>
      </c>
      <c r="I100" s="254" t="s">
        <v>2331</v>
      </c>
      <c r="J100" s="256">
        <v>1000</v>
      </c>
      <c r="K100" s="256">
        <v>46000</v>
      </c>
      <c r="L100" s="256">
        <v>45996</v>
      </c>
      <c r="M100" s="256">
        <v>45996</v>
      </c>
      <c r="N100" s="256">
        <f t="shared" si="12"/>
        <v>45.996000000000002</v>
      </c>
      <c r="O100" s="256">
        <v>100</v>
      </c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56"/>
      <c r="AF100" s="256"/>
      <c r="AG100" s="256"/>
      <c r="AH100" s="256"/>
      <c r="AI100" s="256"/>
      <c r="AJ100" s="301">
        <f t="shared" si="10"/>
        <v>0</v>
      </c>
      <c r="AK100" s="256"/>
      <c r="AL100" s="256"/>
      <c r="AM100" s="256"/>
      <c r="AV100" s="291" t="s">
        <v>790</v>
      </c>
    </row>
    <row r="101" spans="1:66" s="288" customFormat="1" ht="15">
      <c r="A101" s="260">
        <v>431</v>
      </c>
      <c r="B101" s="288" t="s">
        <v>1992</v>
      </c>
      <c r="C101" s="288" t="s">
        <v>1299</v>
      </c>
      <c r="D101" s="379">
        <v>39479</v>
      </c>
      <c r="E101" s="379">
        <v>39630</v>
      </c>
      <c r="F101" s="288" t="s">
        <v>799</v>
      </c>
      <c r="G101" s="288" t="s">
        <v>1449</v>
      </c>
      <c r="H101" s="288" t="s">
        <v>798</v>
      </c>
      <c r="I101" s="254" t="s">
        <v>2331</v>
      </c>
      <c r="J101" s="256">
        <v>130000</v>
      </c>
      <c r="K101" s="256">
        <v>57595</v>
      </c>
      <c r="L101" s="256">
        <v>56333</v>
      </c>
      <c r="M101" s="256">
        <v>56333</v>
      </c>
      <c r="N101" s="256">
        <f t="shared" si="12"/>
        <v>0.43333076923076924</v>
      </c>
      <c r="O101" s="256">
        <v>98</v>
      </c>
      <c r="P101" s="256"/>
      <c r="Q101" s="256"/>
      <c r="R101" s="256"/>
      <c r="S101" s="256"/>
      <c r="T101" s="256"/>
      <c r="U101" s="256"/>
      <c r="V101" s="256">
        <v>13416</v>
      </c>
      <c r="W101" s="256">
        <v>13416</v>
      </c>
      <c r="X101" s="256"/>
      <c r="Y101" s="256">
        <v>130000</v>
      </c>
      <c r="Z101" s="256"/>
      <c r="AA101" s="256">
        <v>138148</v>
      </c>
      <c r="AB101" s="256">
        <v>150</v>
      </c>
      <c r="AC101" s="256"/>
      <c r="AD101" s="256"/>
      <c r="AE101" s="256"/>
      <c r="AF101" s="256"/>
      <c r="AG101" s="256"/>
      <c r="AH101" s="256"/>
      <c r="AI101" s="256"/>
      <c r="AJ101" s="301">
        <f t="shared" si="10"/>
        <v>138148</v>
      </c>
      <c r="AK101" s="256"/>
      <c r="AL101" s="256"/>
      <c r="AM101" s="256"/>
      <c r="AV101" s="288" t="s">
        <v>797</v>
      </c>
    </row>
    <row r="102" spans="1:66" s="378" customFormat="1" ht="15">
      <c r="A102" s="260">
        <v>432</v>
      </c>
      <c r="B102" s="378" t="s">
        <v>28</v>
      </c>
      <c r="C102" s="378" t="s">
        <v>1261</v>
      </c>
      <c r="D102" s="381">
        <v>39753</v>
      </c>
      <c r="E102" s="381">
        <v>40026</v>
      </c>
      <c r="F102" s="378" t="s">
        <v>695</v>
      </c>
      <c r="G102" s="378" t="s">
        <v>1451</v>
      </c>
      <c r="H102" s="378" t="s">
        <v>694</v>
      </c>
      <c r="I102" s="278" t="s">
        <v>2438</v>
      </c>
      <c r="J102" s="256">
        <v>18965</v>
      </c>
      <c r="K102" s="256">
        <v>2499553</v>
      </c>
      <c r="L102" s="256">
        <v>1215637</v>
      </c>
      <c r="M102" s="256">
        <v>1215637</v>
      </c>
      <c r="N102" s="256">
        <f t="shared" si="12"/>
        <v>64.098971790139728</v>
      </c>
      <c r="O102" s="256">
        <v>49</v>
      </c>
      <c r="P102" s="256"/>
      <c r="Q102" s="256"/>
      <c r="R102" s="256"/>
      <c r="S102" s="256"/>
      <c r="T102" s="256"/>
      <c r="U102" s="256"/>
      <c r="V102" s="256"/>
      <c r="W102" s="256"/>
      <c r="X102" s="256"/>
      <c r="Y102" s="318"/>
      <c r="Z102" s="256"/>
      <c r="AA102" s="318">
        <v>73008</v>
      </c>
      <c r="AB102" s="256">
        <v>58</v>
      </c>
      <c r="AC102" s="256"/>
      <c r="AD102" s="256"/>
      <c r="AE102" s="256"/>
      <c r="AF102" s="256"/>
      <c r="AG102" s="256"/>
      <c r="AH102" s="256"/>
      <c r="AI102" s="256"/>
      <c r="AJ102" s="288">
        <f t="shared" si="10"/>
        <v>73008</v>
      </c>
      <c r="AK102" s="256">
        <v>242114</v>
      </c>
      <c r="AL102" s="256">
        <v>242114</v>
      </c>
      <c r="AM102" s="318">
        <f t="shared" ref="AM102" si="13">AL102/AJ102</f>
        <v>3.3162667104974797</v>
      </c>
      <c r="AU102" s="378" t="s">
        <v>94</v>
      </c>
      <c r="AV102" s="291" t="s">
        <v>693</v>
      </c>
    </row>
    <row r="103" spans="1:66" s="358" customFormat="1" ht="18.75" customHeight="1">
      <c r="A103" s="260">
        <v>433</v>
      </c>
      <c r="B103" s="304" t="s">
        <v>270</v>
      </c>
      <c r="C103" s="304" t="s">
        <v>1299</v>
      </c>
      <c r="D103" s="317">
        <v>39479</v>
      </c>
      <c r="E103" s="317">
        <v>39630</v>
      </c>
      <c r="F103" s="304" t="s">
        <v>789</v>
      </c>
      <c r="G103" s="273" t="s">
        <v>1449</v>
      </c>
      <c r="H103" s="342" t="s">
        <v>788</v>
      </c>
      <c r="I103" s="254" t="s">
        <v>2331</v>
      </c>
      <c r="J103" s="318">
        <v>10000</v>
      </c>
      <c r="K103" s="318">
        <v>82861</v>
      </c>
      <c r="L103" s="318">
        <v>82831</v>
      </c>
      <c r="M103" s="318">
        <v>82831</v>
      </c>
      <c r="N103" s="256">
        <f t="shared" si="12"/>
        <v>8.2830999999999992</v>
      </c>
      <c r="O103" s="318">
        <v>100</v>
      </c>
      <c r="P103" s="318">
        <v>10000</v>
      </c>
      <c r="Q103" s="318">
        <v>10000</v>
      </c>
      <c r="R103" s="318">
        <v>10000</v>
      </c>
      <c r="S103" s="318" t="s">
        <v>94</v>
      </c>
      <c r="T103" s="318">
        <v>300</v>
      </c>
      <c r="U103" s="318">
        <v>1100000</v>
      </c>
      <c r="V103" s="318">
        <v>13230</v>
      </c>
      <c r="W103" s="318">
        <v>8160</v>
      </c>
      <c r="X103" s="349">
        <f>W103/R103</f>
        <v>0.81599999999999995</v>
      </c>
      <c r="Y103" s="318" t="s">
        <v>339</v>
      </c>
      <c r="Z103" s="318" t="s">
        <v>75</v>
      </c>
      <c r="AA103" s="318"/>
      <c r="AB103" s="318">
        <v>300</v>
      </c>
      <c r="AC103" s="318" t="s">
        <v>75</v>
      </c>
      <c r="AD103" s="318" t="s">
        <v>75</v>
      </c>
      <c r="AE103" s="318" t="s">
        <v>75</v>
      </c>
      <c r="AF103" s="318" t="s">
        <v>75</v>
      </c>
      <c r="AG103" s="318" t="s">
        <v>75</v>
      </c>
      <c r="AH103" s="318" t="s">
        <v>75</v>
      </c>
      <c r="AI103" s="318" t="s">
        <v>75</v>
      </c>
      <c r="AJ103" s="288">
        <f t="shared" si="10"/>
        <v>0</v>
      </c>
      <c r="AK103" s="318">
        <v>3000</v>
      </c>
      <c r="AL103" s="318">
        <v>3176</v>
      </c>
      <c r="AM103" s="318"/>
      <c r="AN103" s="319"/>
      <c r="AO103" s="319" t="s">
        <v>75</v>
      </c>
      <c r="AP103" s="319" t="s">
        <v>75</v>
      </c>
      <c r="AQ103" s="319" t="s">
        <v>75</v>
      </c>
      <c r="AR103" s="319" t="s">
        <v>75</v>
      </c>
      <c r="AS103" s="319" t="s">
        <v>75</v>
      </c>
      <c r="AT103" s="319" t="s">
        <v>75</v>
      </c>
      <c r="AU103" s="319" t="s">
        <v>75</v>
      </c>
      <c r="AV103" s="356" t="s">
        <v>787</v>
      </c>
      <c r="AW103" s="357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57"/>
      <c r="BH103" s="357"/>
      <c r="BI103" s="357"/>
      <c r="BJ103" s="357"/>
      <c r="BK103" s="357"/>
      <c r="BL103" s="357"/>
      <c r="BM103" s="357"/>
      <c r="BN103" s="357"/>
    </row>
    <row r="105" spans="1:66" s="1" customFormat="1">
      <c r="A105" s="511" t="s">
        <v>1521</v>
      </c>
      <c r="B105" s="511"/>
      <c r="C105" s="511"/>
      <c r="D105" s="511"/>
      <c r="E105" s="511"/>
      <c r="F105" s="511"/>
      <c r="G105" s="511"/>
      <c r="H105" s="511"/>
      <c r="I105" s="511"/>
      <c r="J105" s="511">
        <f>SUBTOTAL(9,J3:J103)</f>
        <v>23198767</v>
      </c>
      <c r="K105" s="511">
        <f t="shared" ref="K105:L105" si="14">SUBTOTAL(9,K3:K103)</f>
        <v>418968870</v>
      </c>
      <c r="L105" s="511">
        <f t="shared" si="14"/>
        <v>285267418</v>
      </c>
      <c r="M105" s="511">
        <f t="shared" ref="M105" si="15">SUBTOTAL(9,M3:M103)</f>
        <v>271956957</v>
      </c>
      <c r="N105" s="511">
        <f>SUBTOTAL(1,N3:N103)</f>
        <v>47.927366768174871</v>
      </c>
      <c r="O105" s="511">
        <f>SUBTOTAL(1,O3:O103)</f>
        <v>85.509472718230455</v>
      </c>
      <c r="P105" s="511">
        <f>SUBTOTAL(9,P3:P103)</f>
        <v>1017774</v>
      </c>
      <c r="Q105" s="511">
        <f t="shared" ref="Q105:W105" si="16">SUBTOTAL(9,Q3:Q103)</f>
        <v>394137</v>
      </c>
      <c r="R105" s="511">
        <f t="shared" si="16"/>
        <v>1425031</v>
      </c>
      <c r="S105" s="511">
        <f t="shared" si="16"/>
        <v>0</v>
      </c>
      <c r="T105" s="511">
        <f t="shared" si="16"/>
        <v>4674</v>
      </c>
      <c r="U105" s="511">
        <f t="shared" si="16"/>
        <v>4094687</v>
      </c>
      <c r="V105" s="511">
        <f t="shared" si="16"/>
        <v>16551198</v>
      </c>
      <c r="W105" s="511">
        <f t="shared" si="16"/>
        <v>9332084.620000001</v>
      </c>
      <c r="X105" s="511">
        <f>SUBTOTAL(1,X3:X103)</f>
        <v>10.159355455756533</v>
      </c>
      <c r="Y105" s="511">
        <f>SUBTOTAL(9,Y3:Y103)</f>
        <v>7478679</v>
      </c>
      <c r="Z105" s="511">
        <f>SUBTOTAL(9,Z3:Z103)</f>
        <v>374085</v>
      </c>
      <c r="AA105" s="511">
        <f>SUBTOTAL(9,AA3:AA103)</f>
        <v>3641422</v>
      </c>
      <c r="AB105" s="511">
        <f t="shared" ref="AB105:AI105" si="17">SUBTOTAL(9,AB3:AB103)</f>
        <v>87080</v>
      </c>
      <c r="AC105" s="511">
        <f t="shared" si="17"/>
        <v>51088</v>
      </c>
      <c r="AD105" s="511">
        <f t="shared" si="17"/>
        <v>0</v>
      </c>
      <c r="AE105" s="511">
        <f t="shared" si="17"/>
        <v>82514</v>
      </c>
      <c r="AF105" s="511">
        <f t="shared" si="17"/>
        <v>0</v>
      </c>
      <c r="AG105" s="511">
        <f t="shared" si="17"/>
        <v>0</v>
      </c>
      <c r="AH105" s="511">
        <f t="shared" si="17"/>
        <v>52635</v>
      </c>
      <c r="AI105" s="511">
        <f t="shared" si="17"/>
        <v>201</v>
      </c>
      <c r="AJ105" s="511">
        <f t="shared" ref="AJ105:AL105" si="18">SUBTOTAL(9,AJ3:AJ103)</f>
        <v>4068142</v>
      </c>
      <c r="AK105" s="511">
        <f t="shared" si="18"/>
        <v>4970046</v>
      </c>
      <c r="AL105" s="511">
        <f t="shared" si="18"/>
        <v>2105138.59</v>
      </c>
      <c r="AM105" s="511">
        <f>SUBTOTAL(1,AM3:AM103)</f>
        <v>25.343930800503966</v>
      </c>
      <c r="AN105" s="511"/>
      <c r="AO105" s="511"/>
      <c r="AP105" s="511"/>
      <c r="AQ105" s="511"/>
      <c r="AR105" s="511"/>
      <c r="AS105" s="511"/>
      <c r="AT105" s="511"/>
      <c r="AU105" s="511"/>
      <c r="AV105" s="511"/>
    </row>
  </sheetData>
  <autoFilter ref="A2:BN103"/>
  <mergeCells count="10">
    <mergeCell ref="AO1:AS1"/>
    <mergeCell ref="AT1:AU1"/>
    <mergeCell ref="AV1:AV2"/>
    <mergeCell ref="J1:O1"/>
    <mergeCell ref="P1:R1"/>
    <mergeCell ref="S1:U1"/>
    <mergeCell ref="V1:X1"/>
    <mergeCell ref="Y1:AI1"/>
    <mergeCell ref="AJ1:AJ2"/>
    <mergeCell ref="AK1:AM1"/>
  </mergeCells>
  <hyperlinks>
    <hyperlink ref="AV39" r:id="rId1"/>
    <hyperlink ref="AV24" r:id="rId2"/>
    <hyperlink ref="AV41" r:id="rId3"/>
    <hyperlink ref="AV34" r:id="rId4"/>
    <hyperlink ref="AV29" r:id="rId5"/>
    <hyperlink ref="AV18" r:id="rId6"/>
    <hyperlink ref="AV7:AV9" r:id="rId7" display="http://www.ifrc.org/docs/appeals/08/MDRVN005FR.pdf"/>
    <hyperlink ref="AV31" r:id="rId8"/>
    <hyperlink ref="AV11" r:id="rId9"/>
    <hyperlink ref="AV10:AV11" r:id="rId10" display="http://www.ifrc.org/docs/appeals/08/MDRVN005FR.pdf"/>
    <hyperlink ref="AV8" r:id="rId11"/>
    <hyperlink ref="AV12:AV13" r:id="rId12" display="http://www.ifrc.org/docs/appeals/08/MDRVN005FR.pdf"/>
    <hyperlink ref="AV12" r:id="rId13"/>
    <hyperlink ref="AV15:AV16" r:id="rId14" display="http://www.ifrc.org/docs/appeals/08/MDRVN005FR.pdf"/>
    <hyperlink ref="AV23" r:id="rId15"/>
    <hyperlink ref="AV17" r:id="rId16"/>
    <hyperlink ref="AV17:AV18" r:id="rId17" display="http://www.ifrc.org/docs/appeals/08/MDRVN005FR.pdf"/>
    <hyperlink ref="AV16" r:id="rId18" display="http://www.ifrc.org/docs/appeals/08/MDRVN005FR.pdf"/>
    <hyperlink ref="AV38" r:id="rId19"/>
    <hyperlink ref="AV20:AV22" r:id="rId20" display="http://www.ifrc.org/docs/appeals/08/MDRVN005FR.pdf"/>
    <hyperlink ref="AV24:AV25" r:id="rId21" display="http://www.ifrc.org/docs/appeals/08/MDRVN005FR.pdf"/>
    <hyperlink ref="AV32" r:id="rId22" display="http://www.ifrc.org/docs/appeals/08/MDRVN005FR.pdf"/>
    <hyperlink ref="AV26" r:id="rId23"/>
    <hyperlink ref="AV28:AV31" r:id="rId24" display="http://www.ifrc.org/docs/appeals/08/MDRVN005FR.pdf"/>
    <hyperlink ref="AV45" r:id="rId25"/>
    <hyperlink ref="AV10" r:id="rId26"/>
    <hyperlink ref="AV33" r:id="rId27"/>
    <hyperlink ref="AV15" r:id="rId28" display="http://www.ifrc.org/docs/appeals/08/MDRVN005FR.pdf"/>
    <hyperlink ref="AV35:AV36" r:id="rId29" display="http://www.ifrc.org/docs/appeals/08/MDRVN005FR.pdf"/>
    <hyperlink ref="AV20" r:id="rId30"/>
    <hyperlink ref="AV37:AV38" r:id="rId31" display="http://www.ifrc.org/docs/appeals/07/MDRCM003dfr.pdf"/>
    <hyperlink ref="AV42" r:id="rId32"/>
    <hyperlink ref="AV3" r:id="rId33"/>
    <hyperlink ref="AV9" r:id="rId34"/>
    <hyperlink ref="AV46" r:id="rId35"/>
    <hyperlink ref="AV44" r:id="rId36"/>
    <hyperlink ref="AV4" r:id="rId37"/>
    <hyperlink ref="AV6" r:id="rId38"/>
    <hyperlink ref="AV13" r:id="rId39"/>
    <hyperlink ref="AV14" r:id="rId40"/>
    <hyperlink ref="AV19" r:id="rId41"/>
    <hyperlink ref="AV25" r:id="rId42"/>
    <hyperlink ref="AV40" r:id="rId43"/>
    <hyperlink ref="AV43" r:id="rId44"/>
    <hyperlink ref="AV47" r:id="rId45"/>
    <hyperlink ref="AV48" r:id="rId46"/>
    <hyperlink ref="AV49" r:id="rId47"/>
    <hyperlink ref="AV53" r:id="rId48"/>
    <hyperlink ref="AV51" r:id="rId49"/>
    <hyperlink ref="AV50" r:id="rId50"/>
    <hyperlink ref="AV52" r:id="rId51"/>
    <hyperlink ref="AV54" r:id="rId52"/>
    <hyperlink ref="AV55" r:id="rId53"/>
    <hyperlink ref="AV56" r:id="rId54"/>
    <hyperlink ref="AV57" r:id="rId55"/>
    <hyperlink ref="AV59" r:id="rId56"/>
    <hyperlink ref="AV58" r:id="rId57"/>
    <hyperlink ref="AV60" r:id="rId58"/>
    <hyperlink ref="AV61" r:id="rId59"/>
    <hyperlink ref="AV62" r:id="rId60"/>
    <hyperlink ref="AV63" r:id="rId61"/>
    <hyperlink ref="AV64" r:id="rId62"/>
    <hyperlink ref="AV65" r:id="rId63"/>
    <hyperlink ref="AV66" r:id="rId64"/>
    <hyperlink ref="AV67" r:id="rId65"/>
    <hyperlink ref="AV68" r:id="rId66"/>
    <hyperlink ref="AV69" r:id="rId67"/>
    <hyperlink ref="AV70" r:id="rId68"/>
    <hyperlink ref="AV71" r:id="rId69"/>
    <hyperlink ref="AV72" r:id="rId70"/>
    <hyperlink ref="AV73" r:id="rId71"/>
    <hyperlink ref="AV74" r:id="rId72"/>
    <hyperlink ref="AV76" r:id="rId73"/>
    <hyperlink ref="AV76:AV77" r:id="rId74" display="http://www.ifrc.org/docs/appeals/08/MDRMD001dfr.pdf"/>
    <hyperlink ref="AV79" r:id="rId75"/>
    <hyperlink ref="AV80" r:id="rId76"/>
    <hyperlink ref="AV81" r:id="rId77"/>
    <hyperlink ref="AV82" r:id="rId78"/>
    <hyperlink ref="AV83" r:id="rId79"/>
    <hyperlink ref="AV84" r:id="rId80"/>
    <hyperlink ref="AV85" r:id="rId81"/>
    <hyperlink ref="AV86" r:id="rId82"/>
    <hyperlink ref="AV87:AV89" r:id="rId83" display="http://www.ifrc.org/en/publications-and-reports/appeals/?ac=MDRPY004&amp;at=0&amp;c=&amp;co=&amp;dt=1&amp;f=&amp;re=&amp;t=&amp;ti=&amp;zo="/>
    <hyperlink ref="AV90:AV91" r:id="rId84" display="http://www.ifrc.org/docs/appeals/08/MDRSD005fr.pdf"/>
    <hyperlink ref="AV92" r:id="rId85"/>
    <hyperlink ref="AV93" r:id="rId86"/>
    <hyperlink ref="AV94" r:id="rId87"/>
    <hyperlink ref="AV95" r:id="rId88"/>
    <hyperlink ref="AV96:AV97" r:id="rId89" display="http://www.ifrc.org/docs/appeals/08/MDRVN003%20finalrpt.pdf"/>
    <hyperlink ref="AV98" r:id="rId90"/>
    <hyperlink ref="AV99" r:id="rId91"/>
    <hyperlink ref="AV100" r:id="rId92"/>
    <hyperlink ref="AV102" r:id="rId93"/>
    <hyperlink ref="AV21" r:id="rId94"/>
    <hyperlink ref="AV103" r:id="rId95"/>
    <hyperlink ref="AV7" r:id="rId96"/>
    <hyperlink ref="AV30" r:id="rId97"/>
    <hyperlink ref="AV88" r:id="rId98"/>
    <hyperlink ref="AV36" r:id="rId99"/>
  </hyperlinks>
  <pageMargins left="0.7" right="0.7" top="0.75" bottom="0.75" header="0.3" footer="0.3"/>
  <legacyDrawing r:id="rId10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K100"/>
  <sheetViews>
    <sheetView workbookViewId="0">
      <pane ySplit="1" topLeftCell="A2" activePane="bottomLeft" state="frozen"/>
      <selection activeCell="N1" sqref="N1"/>
      <selection pane="bottomLeft" activeCell="AF100" sqref="AF100:AK100"/>
    </sheetView>
  </sheetViews>
  <sheetFormatPr defaultRowHeight="12.75"/>
  <cols>
    <col min="10" max="10" width="10.140625" bestFit="1" customWidth="1"/>
    <col min="11" max="11" width="11.7109375" customWidth="1"/>
    <col min="12" max="12" width="11.5703125" customWidth="1"/>
    <col min="13" max="13" width="11.140625" customWidth="1"/>
    <col min="27" max="27" width="10.140625" bestFit="1" customWidth="1"/>
    <col min="36" max="36" width="11.7109375" customWidth="1"/>
  </cols>
  <sheetData>
    <row r="1" spans="1:66" s="495" customFormat="1" ht="60" customHeight="1">
      <c r="A1" s="497" t="s">
        <v>3</v>
      </c>
      <c r="B1" s="497" t="s">
        <v>46</v>
      </c>
      <c r="C1" s="498" t="s">
        <v>1038</v>
      </c>
      <c r="D1" s="493" t="s">
        <v>41</v>
      </c>
      <c r="E1" s="493"/>
      <c r="F1" s="492" t="s">
        <v>42</v>
      </c>
      <c r="G1" s="497" t="s">
        <v>1448</v>
      </c>
      <c r="H1" s="497" t="s">
        <v>2436</v>
      </c>
      <c r="I1" s="499" t="s">
        <v>2439</v>
      </c>
      <c r="J1" s="1050" t="s">
        <v>1505</v>
      </c>
      <c r="K1" s="1051"/>
      <c r="L1" s="1051"/>
      <c r="M1" s="1051"/>
      <c r="N1" s="1051"/>
      <c r="O1" s="1052"/>
      <c r="P1" s="1053" t="s">
        <v>2442</v>
      </c>
      <c r="Q1" s="1054"/>
      <c r="R1" s="1055"/>
      <c r="S1" s="1053" t="s">
        <v>2445</v>
      </c>
      <c r="T1" s="1054"/>
      <c r="U1" s="1056"/>
      <c r="V1" s="1057" t="s">
        <v>2434</v>
      </c>
      <c r="W1" s="1058"/>
      <c r="X1" s="1059"/>
      <c r="Y1" s="1060" t="s">
        <v>31</v>
      </c>
      <c r="Z1" s="1061"/>
      <c r="AA1" s="1061"/>
      <c r="AB1" s="1061"/>
      <c r="AC1" s="1061"/>
      <c r="AD1" s="1061"/>
      <c r="AE1" s="1061"/>
      <c r="AF1" s="1061"/>
      <c r="AG1" s="1061"/>
      <c r="AH1" s="1061"/>
      <c r="AI1" s="1062"/>
      <c r="AJ1" s="1065" t="s">
        <v>1557</v>
      </c>
      <c r="AK1" s="1063" t="s">
        <v>2435</v>
      </c>
      <c r="AL1" s="1064"/>
      <c r="AM1" s="1067"/>
      <c r="AN1" s="494"/>
      <c r="AO1" s="1044" t="s">
        <v>35</v>
      </c>
      <c r="AP1" s="1045"/>
      <c r="AQ1" s="1045"/>
      <c r="AR1" s="1045"/>
      <c r="AS1" s="1046"/>
      <c r="AT1" s="1047" t="s">
        <v>112</v>
      </c>
      <c r="AU1" s="1046"/>
      <c r="AV1" s="1048" t="s">
        <v>51</v>
      </c>
    </row>
    <row r="2" spans="1:66" s="496" customFormat="1" ht="48" customHeight="1">
      <c r="A2" s="244"/>
      <c r="B2" s="244"/>
      <c r="C2" s="245"/>
      <c r="D2" s="247" t="s">
        <v>108</v>
      </c>
      <c r="E2" s="247" t="s">
        <v>107</v>
      </c>
      <c r="F2" s="244"/>
      <c r="G2" s="244"/>
      <c r="H2" s="244"/>
      <c r="I2" s="251"/>
      <c r="J2" s="246" t="s">
        <v>13</v>
      </c>
      <c r="K2" s="246" t="s">
        <v>45</v>
      </c>
      <c r="L2" s="250" t="s">
        <v>111</v>
      </c>
      <c r="M2" s="246" t="s">
        <v>67</v>
      </c>
      <c r="N2" s="500" t="s">
        <v>2299</v>
      </c>
      <c r="O2" s="246" t="s">
        <v>115</v>
      </c>
      <c r="P2" s="478" t="s">
        <v>2443</v>
      </c>
      <c r="Q2" s="249" t="s">
        <v>2444</v>
      </c>
      <c r="R2" s="249" t="s">
        <v>50</v>
      </c>
      <c r="S2" s="248" t="s">
        <v>93</v>
      </c>
      <c r="T2" s="248" t="s">
        <v>92</v>
      </c>
      <c r="U2" s="248" t="s">
        <v>91</v>
      </c>
      <c r="V2" s="249" t="s">
        <v>48</v>
      </c>
      <c r="W2" s="249" t="s">
        <v>49</v>
      </c>
      <c r="X2" s="501" t="s">
        <v>2360</v>
      </c>
      <c r="Y2" s="471" t="s">
        <v>38</v>
      </c>
      <c r="Z2" s="471" t="s">
        <v>76</v>
      </c>
      <c r="AA2" s="471" t="s">
        <v>77</v>
      </c>
      <c r="AB2" s="471" t="s">
        <v>82</v>
      </c>
      <c r="AC2" s="471" t="s">
        <v>109</v>
      </c>
      <c r="AD2" s="471" t="s">
        <v>110</v>
      </c>
      <c r="AE2" s="471" t="s">
        <v>81</v>
      </c>
      <c r="AF2" s="471" t="s">
        <v>33</v>
      </c>
      <c r="AG2" s="471" t="s">
        <v>34</v>
      </c>
      <c r="AH2" s="471" t="s">
        <v>32</v>
      </c>
      <c r="AI2" s="472" t="s">
        <v>86</v>
      </c>
      <c r="AJ2" s="1066"/>
      <c r="AK2" s="477" t="s">
        <v>47</v>
      </c>
      <c r="AL2" s="477" t="s">
        <v>74</v>
      </c>
      <c r="AM2" s="512" t="s">
        <v>2446</v>
      </c>
      <c r="AN2" s="479" t="s">
        <v>0</v>
      </c>
      <c r="AO2" s="480" t="s">
        <v>57</v>
      </c>
      <c r="AP2" s="480" t="s">
        <v>39</v>
      </c>
      <c r="AQ2" s="480" t="s">
        <v>40</v>
      </c>
      <c r="AR2" s="480" t="s">
        <v>37</v>
      </c>
      <c r="AS2" s="480" t="s">
        <v>36</v>
      </c>
      <c r="AT2" s="480" t="s">
        <v>113</v>
      </c>
      <c r="AU2" s="479" t="s">
        <v>114</v>
      </c>
      <c r="AV2" s="1049"/>
    </row>
    <row r="3" spans="1:66" s="266" customFormat="1" ht="20.25" customHeight="1">
      <c r="A3" s="260">
        <v>434</v>
      </c>
      <c r="B3" s="342" t="s">
        <v>332</v>
      </c>
      <c r="C3" s="342" t="s">
        <v>1299</v>
      </c>
      <c r="D3" s="317">
        <v>39112</v>
      </c>
      <c r="E3" s="317">
        <v>39232</v>
      </c>
      <c r="F3" s="342" t="s">
        <v>5</v>
      </c>
      <c r="G3" s="259" t="s">
        <v>1451</v>
      </c>
      <c r="H3" s="342" t="s">
        <v>768</v>
      </c>
      <c r="I3" s="278" t="s">
        <v>2438</v>
      </c>
      <c r="J3" s="318">
        <v>25000</v>
      </c>
      <c r="K3" s="318">
        <v>1416264</v>
      </c>
      <c r="L3" s="318">
        <v>381738</v>
      </c>
      <c r="M3" s="318">
        <v>381738</v>
      </c>
      <c r="N3" s="256">
        <v>15.26952</v>
      </c>
      <c r="O3" s="318">
        <v>27</v>
      </c>
      <c r="P3" s="318">
        <v>21100</v>
      </c>
      <c r="Q3" s="318">
        <v>560</v>
      </c>
      <c r="R3" s="318">
        <v>21100</v>
      </c>
      <c r="S3" s="318" t="s">
        <v>849</v>
      </c>
      <c r="T3" s="318" t="s">
        <v>848</v>
      </c>
      <c r="U3" s="318">
        <v>25720</v>
      </c>
      <c r="V3" s="318">
        <v>224560</v>
      </c>
      <c r="W3" s="318">
        <v>15307</v>
      </c>
      <c r="X3" s="349">
        <v>0.72545023696682465</v>
      </c>
      <c r="Y3" s="318">
        <v>25720</v>
      </c>
      <c r="Z3" s="318" t="s">
        <v>75</v>
      </c>
      <c r="AA3" s="318">
        <v>25720</v>
      </c>
      <c r="AB3" s="318">
        <v>108</v>
      </c>
      <c r="AC3" s="318" t="s">
        <v>75</v>
      </c>
      <c r="AD3" s="318" t="s">
        <v>75</v>
      </c>
      <c r="AE3" s="318" t="s">
        <v>75</v>
      </c>
      <c r="AF3" s="318" t="s">
        <v>75</v>
      </c>
      <c r="AG3" s="318" t="s">
        <v>75</v>
      </c>
      <c r="AH3" s="318" t="s">
        <v>75</v>
      </c>
      <c r="AI3" s="318" t="s">
        <v>75</v>
      </c>
      <c r="AJ3" s="301">
        <v>25720</v>
      </c>
      <c r="AK3" s="318">
        <v>3250</v>
      </c>
      <c r="AL3" s="318">
        <v>877.50000000000011</v>
      </c>
      <c r="AM3" s="318">
        <f>AL3/AJ3</f>
        <v>3.4117418351477455E-2</v>
      </c>
      <c r="AN3" s="319"/>
      <c r="AO3" s="319" t="s">
        <v>75</v>
      </c>
      <c r="AP3" s="319" t="s">
        <v>75</v>
      </c>
      <c r="AQ3" s="319" t="s">
        <v>75</v>
      </c>
      <c r="AR3" s="319" t="s">
        <v>75</v>
      </c>
      <c r="AS3" s="319" t="s">
        <v>75</v>
      </c>
      <c r="AT3" s="319" t="s">
        <v>75</v>
      </c>
      <c r="AU3" s="319" t="s">
        <v>75</v>
      </c>
      <c r="AV3" s="359" t="s">
        <v>767</v>
      </c>
      <c r="AW3" s="342"/>
      <c r="AX3" s="342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</row>
    <row r="4" spans="1:66" s="266" customFormat="1" ht="17.25" customHeight="1">
      <c r="A4" s="260">
        <v>435</v>
      </c>
      <c r="B4" s="259" t="s">
        <v>1213</v>
      </c>
      <c r="C4" s="259" t="s">
        <v>1286</v>
      </c>
      <c r="D4" s="351">
        <v>39173</v>
      </c>
      <c r="E4" s="351">
        <v>39569</v>
      </c>
      <c r="F4" s="259" t="s">
        <v>5</v>
      </c>
      <c r="G4" s="259" t="s">
        <v>1451</v>
      </c>
      <c r="H4" s="382" t="s">
        <v>1744</v>
      </c>
      <c r="I4" s="254" t="s">
        <v>2331</v>
      </c>
      <c r="J4" s="318">
        <v>3802</v>
      </c>
      <c r="K4" s="318">
        <v>0</v>
      </c>
      <c r="L4" s="318">
        <v>178330</v>
      </c>
      <c r="M4" s="318">
        <v>178330</v>
      </c>
      <c r="N4" s="256">
        <v>46.904260915307731</v>
      </c>
      <c r="O4" s="383" t="s">
        <v>66</v>
      </c>
      <c r="P4" s="298"/>
      <c r="Q4" s="298"/>
      <c r="R4" s="256"/>
      <c r="S4" s="318" t="s">
        <v>233</v>
      </c>
      <c r="T4" s="298"/>
      <c r="U4" s="298">
        <v>423</v>
      </c>
      <c r="V4" s="298" t="s">
        <v>66</v>
      </c>
      <c r="W4" s="298" t="s">
        <v>66</v>
      </c>
      <c r="X4" s="256"/>
      <c r="Y4" s="298"/>
      <c r="Z4" s="298">
        <v>781</v>
      </c>
      <c r="AA4" s="318">
        <v>1386</v>
      </c>
      <c r="AB4" s="298"/>
      <c r="AC4" s="298"/>
      <c r="AD4" s="298"/>
      <c r="AE4" s="298"/>
      <c r="AF4" s="298"/>
      <c r="AG4" s="298"/>
      <c r="AH4" s="298"/>
      <c r="AI4" s="298"/>
      <c r="AJ4" s="259">
        <v>2167</v>
      </c>
      <c r="AK4" s="318">
        <v>0</v>
      </c>
      <c r="AL4" s="318">
        <v>1323</v>
      </c>
      <c r="AM4" s="318">
        <f t="shared" ref="AM4:AM6" si="0">AL4/AJ4</f>
        <v>0.61052145823719428</v>
      </c>
      <c r="AN4" s="301"/>
      <c r="AO4" s="301"/>
      <c r="AP4" s="301"/>
      <c r="AQ4" s="301"/>
      <c r="AR4" s="301"/>
      <c r="AS4" s="301"/>
      <c r="AT4" s="301"/>
      <c r="AU4" s="301"/>
      <c r="AV4" s="352" t="s">
        <v>1745</v>
      </c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</row>
    <row r="5" spans="1:66" s="266" customFormat="1" ht="18.75" customHeight="1">
      <c r="A5" s="260">
        <v>436</v>
      </c>
      <c r="B5" s="261" t="s">
        <v>6</v>
      </c>
      <c r="C5" s="261" t="s">
        <v>1261</v>
      </c>
      <c r="D5" s="262">
        <v>39234</v>
      </c>
      <c r="E5" s="262">
        <v>39934</v>
      </c>
      <c r="F5" s="342" t="s">
        <v>122</v>
      </c>
      <c r="G5" s="259" t="s">
        <v>1451</v>
      </c>
      <c r="H5" s="261" t="s">
        <v>645</v>
      </c>
      <c r="I5" s="278" t="s">
        <v>2438</v>
      </c>
      <c r="J5" s="263">
        <v>133255</v>
      </c>
      <c r="K5" s="263">
        <v>5095836</v>
      </c>
      <c r="L5" s="263">
        <v>4509412</v>
      </c>
      <c r="M5" s="263">
        <v>4509412</v>
      </c>
      <c r="N5" s="256">
        <v>33.840471276875164</v>
      </c>
      <c r="O5" s="263">
        <v>88</v>
      </c>
      <c r="P5" s="263">
        <v>73500</v>
      </c>
      <c r="Q5" s="263">
        <v>19480</v>
      </c>
      <c r="R5" s="263">
        <v>73500</v>
      </c>
      <c r="S5" s="263" t="s">
        <v>95</v>
      </c>
      <c r="T5" s="263" t="s">
        <v>75</v>
      </c>
      <c r="U5" s="263">
        <v>6065</v>
      </c>
      <c r="V5" s="263">
        <v>434831</v>
      </c>
      <c r="W5" s="263">
        <v>105263</v>
      </c>
      <c r="X5" s="349">
        <v>1.4321496598639456</v>
      </c>
      <c r="Y5" s="330" t="s">
        <v>339</v>
      </c>
      <c r="Z5" s="263" t="s">
        <v>75</v>
      </c>
      <c r="AA5" s="263">
        <v>6065</v>
      </c>
      <c r="AB5" s="263" t="s">
        <v>75</v>
      </c>
      <c r="AC5" s="263" t="s">
        <v>75</v>
      </c>
      <c r="AD5" s="263" t="s">
        <v>75</v>
      </c>
      <c r="AE5" s="263" t="s">
        <v>75</v>
      </c>
      <c r="AF5" s="263" t="s">
        <v>75</v>
      </c>
      <c r="AG5" s="263" t="s">
        <v>75</v>
      </c>
      <c r="AH5" s="263" t="s">
        <v>75</v>
      </c>
      <c r="AI5" s="263" t="s">
        <v>75</v>
      </c>
      <c r="AJ5" s="301">
        <v>6065</v>
      </c>
      <c r="AK5" s="263">
        <v>8475</v>
      </c>
      <c r="AL5" s="263">
        <v>7482</v>
      </c>
      <c r="AM5" s="318">
        <f t="shared" si="0"/>
        <v>1.2336356141797198</v>
      </c>
      <c r="AN5" s="264"/>
      <c r="AO5" s="264" t="s">
        <v>75</v>
      </c>
      <c r="AP5" s="264" t="s">
        <v>75</v>
      </c>
      <c r="AQ5" s="264" t="s">
        <v>75</v>
      </c>
      <c r="AR5" s="264" t="s">
        <v>75</v>
      </c>
      <c r="AS5" s="264" t="s">
        <v>75</v>
      </c>
      <c r="AT5" s="264" t="s">
        <v>75</v>
      </c>
      <c r="AU5" s="264" t="s">
        <v>75</v>
      </c>
      <c r="AV5" s="344" t="s">
        <v>644</v>
      </c>
      <c r="AW5" s="261"/>
      <c r="AX5" s="261"/>
      <c r="AY5" s="261"/>
      <c r="AZ5" s="261"/>
      <c r="BA5" s="261"/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</row>
    <row r="6" spans="1:66" s="266" customFormat="1" ht="19.5" customHeight="1">
      <c r="A6" s="260">
        <v>437</v>
      </c>
      <c r="B6" s="345" t="s">
        <v>6</v>
      </c>
      <c r="C6" s="266" t="s">
        <v>1261</v>
      </c>
      <c r="D6" s="317">
        <v>39387</v>
      </c>
      <c r="E6" s="317">
        <v>40118</v>
      </c>
      <c r="F6" s="266" t="s">
        <v>1025</v>
      </c>
      <c r="G6" s="254" t="s">
        <v>1450</v>
      </c>
      <c r="H6" s="266" t="s">
        <v>1026</v>
      </c>
      <c r="I6" s="278" t="s">
        <v>2438</v>
      </c>
      <c r="J6" s="318">
        <v>1215000</v>
      </c>
      <c r="K6" s="318">
        <v>24483160</v>
      </c>
      <c r="L6" s="318">
        <v>19636901</v>
      </c>
      <c r="M6" s="318">
        <v>16665142</v>
      </c>
      <c r="N6" s="256">
        <v>13.716166255144033</v>
      </c>
      <c r="O6" s="318">
        <v>80</v>
      </c>
      <c r="P6" s="318">
        <v>33245</v>
      </c>
      <c r="Q6" s="318">
        <v>33245</v>
      </c>
      <c r="R6" s="318">
        <v>33245</v>
      </c>
      <c r="S6" s="318" t="s">
        <v>2</v>
      </c>
      <c r="T6" s="318" t="s">
        <v>134</v>
      </c>
      <c r="U6" s="318">
        <v>33245</v>
      </c>
      <c r="V6" s="318">
        <v>992723</v>
      </c>
      <c r="W6" s="318">
        <v>379219</v>
      </c>
      <c r="X6" s="349">
        <v>11.406798014739058</v>
      </c>
      <c r="Y6" s="318">
        <v>83000</v>
      </c>
      <c r="Z6" s="318">
        <v>20000</v>
      </c>
      <c r="AA6" s="318"/>
      <c r="AB6" s="318">
        <v>1000</v>
      </c>
      <c r="AC6" s="318">
        <v>40</v>
      </c>
      <c r="AD6" s="318"/>
      <c r="AE6" s="318"/>
      <c r="AF6" s="318"/>
      <c r="AG6" s="318"/>
      <c r="AH6" s="318"/>
      <c r="AI6" s="318"/>
      <c r="AJ6" s="288">
        <v>20000</v>
      </c>
      <c r="AK6" s="318">
        <v>230918</v>
      </c>
      <c r="AL6" s="318">
        <v>93627</v>
      </c>
      <c r="AM6" s="318">
        <f t="shared" si="0"/>
        <v>4.6813500000000001</v>
      </c>
      <c r="AN6" s="319"/>
      <c r="AO6" s="319"/>
      <c r="AP6" s="319"/>
      <c r="AQ6" s="319"/>
      <c r="AR6" s="319"/>
      <c r="AS6" s="319"/>
      <c r="AT6" s="319"/>
      <c r="AU6" s="319" t="s">
        <v>1063</v>
      </c>
      <c r="AV6" s="320" t="s">
        <v>1027</v>
      </c>
    </row>
    <row r="7" spans="1:66" s="266" customFormat="1" ht="15" customHeight="1">
      <c r="A7" s="260">
        <v>438</v>
      </c>
      <c r="B7" s="254" t="s">
        <v>6</v>
      </c>
      <c r="C7" s="254" t="s">
        <v>1261</v>
      </c>
      <c r="D7" s="255">
        <v>39083</v>
      </c>
      <c r="E7" s="255">
        <v>39114</v>
      </c>
      <c r="F7" s="254" t="s">
        <v>1750</v>
      </c>
      <c r="G7" s="254" t="s">
        <v>1453</v>
      </c>
      <c r="H7" s="384" t="s">
        <v>1751</v>
      </c>
      <c r="I7" s="254" t="s">
        <v>2331</v>
      </c>
      <c r="J7" s="256">
        <v>30000</v>
      </c>
      <c r="K7" s="256">
        <v>150000</v>
      </c>
      <c r="L7" s="256">
        <v>107540</v>
      </c>
      <c r="M7" s="256">
        <v>107540</v>
      </c>
      <c r="N7" s="256">
        <v>3.5846666666666667</v>
      </c>
      <c r="O7" s="256">
        <v>71.69</v>
      </c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4"/>
      <c r="AK7" s="256"/>
      <c r="AL7" s="256"/>
      <c r="AM7" s="256"/>
      <c r="AN7" s="288"/>
      <c r="AO7" s="288"/>
      <c r="AP7" s="288"/>
      <c r="AQ7" s="288"/>
      <c r="AR7" s="288"/>
      <c r="AS7" s="288"/>
      <c r="AT7" s="288"/>
      <c r="AU7" s="288"/>
      <c r="AV7" s="346" t="s">
        <v>1749</v>
      </c>
      <c r="AW7" s="254"/>
      <c r="AX7" s="254"/>
      <c r="AY7" s="254"/>
      <c r="AZ7" s="254"/>
      <c r="BA7" s="254"/>
      <c r="BB7" s="254"/>
      <c r="BC7" s="254"/>
      <c r="BD7" s="254"/>
      <c r="BE7" s="254"/>
      <c r="BF7" s="254"/>
      <c r="BG7" s="254"/>
      <c r="BH7" s="254"/>
      <c r="BI7" s="254"/>
      <c r="BJ7" s="254"/>
      <c r="BK7" s="254"/>
      <c r="BL7" s="254"/>
      <c r="BM7" s="254"/>
      <c r="BN7" s="254"/>
    </row>
    <row r="8" spans="1:66" s="266" customFormat="1" ht="12.75" customHeight="1">
      <c r="A8" s="260">
        <v>439</v>
      </c>
      <c r="B8" s="261" t="s">
        <v>547</v>
      </c>
      <c r="C8" s="261" t="s">
        <v>1286</v>
      </c>
      <c r="D8" s="262">
        <v>39128</v>
      </c>
      <c r="E8" s="262">
        <v>39304</v>
      </c>
      <c r="F8" s="342" t="s">
        <v>5</v>
      </c>
      <c r="G8" s="259" t="s">
        <v>1451</v>
      </c>
      <c r="H8" s="261" t="s">
        <v>630</v>
      </c>
      <c r="I8" s="278" t="s">
        <v>2438</v>
      </c>
      <c r="J8" s="263">
        <v>50000</v>
      </c>
      <c r="K8" s="263">
        <v>704700</v>
      </c>
      <c r="L8" s="263">
        <v>712494</v>
      </c>
      <c r="M8" s="263">
        <v>712494</v>
      </c>
      <c r="N8" s="256">
        <v>14.249879999999999</v>
      </c>
      <c r="O8" s="263">
        <v>101</v>
      </c>
      <c r="P8" s="263" t="s">
        <v>75</v>
      </c>
      <c r="Q8" s="263" t="s">
        <v>75</v>
      </c>
      <c r="R8" s="263" t="s">
        <v>75</v>
      </c>
      <c r="S8" s="263" t="s">
        <v>95</v>
      </c>
      <c r="T8" s="263" t="s">
        <v>583</v>
      </c>
      <c r="U8" s="263">
        <v>26250</v>
      </c>
      <c r="V8" s="263" t="s">
        <v>75</v>
      </c>
      <c r="W8" s="263" t="s">
        <v>75</v>
      </c>
      <c r="X8" s="263"/>
      <c r="Y8" s="263">
        <v>26250</v>
      </c>
      <c r="Z8" s="263" t="s">
        <v>75</v>
      </c>
      <c r="AA8" s="263">
        <v>26250</v>
      </c>
      <c r="AB8" s="263">
        <v>18</v>
      </c>
      <c r="AC8" s="263" t="s">
        <v>75</v>
      </c>
      <c r="AD8" s="263" t="s">
        <v>75</v>
      </c>
      <c r="AE8" s="263">
        <v>10500</v>
      </c>
      <c r="AF8" s="263" t="s">
        <v>75</v>
      </c>
      <c r="AG8" s="263" t="s">
        <v>75</v>
      </c>
      <c r="AH8" s="263" t="s">
        <v>75</v>
      </c>
      <c r="AI8" s="263" t="s">
        <v>75</v>
      </c>
      <c r="AJ8" s="301">
        <v>26250</v>
      </c>
      <c r="AK8" s="263" t="s">
        <v>339</v>
      </c>
      <c r="AL8" s="263">
        <v>82</v>
      </c>
      <c r="AM8" s="318">
        <f>AL8/AJ8</f>
        <v>3.1238095238095239E-3</v>
      </c>
      <c r="AN8" s="264"/>
      <c r="AO8" s="264" t="s">
        <v>75</v>
      </c>
      <c r="AP8" s="264" t="s">
        <v>75</v>
      </c>
      <c r="AQ8" s="264" t="s">
        <v>75</v>
      </c>
      <c r="AR8" s="264" t="s">
        <v>75</v>
      </c>
      <c r="AS8" s="264" t="s">
        <v>75</v>
      </c>
      <c r="AT8" s="264" t="s">
        <v>75</v>
      </c>
      <c r="AU8" s="264" t="s">
        <v>75</v>
      </c>
      <c r="AV8" s="344" t="s">
        <v>629</v>
      </c>
      <c r="AW8" s="261"/>
      <c r="AX8" s="261"/>
      <c r="AY8" s="261"/>
      <c r="AZ8" s="261"/>
      <c r="BA8" s="261"/>
      <c r="BB8" s="261"/>
      <c r="BC8" s="261"/>
      <c r="BD8" s="261"/>
      <c r="BE8" s="261"/>
      <c r="BF8" s="261"/>
      <c r="BG8" s="261"/>
      <c r="BH8" s="261"/>
      <c r="BI8" s="261"/>
      <c r="BJ8" s="261"/>
      <c r="BK8" s="261"/>
      <c r="BL8" s="261"/>
      <c r="BM8" s="261"/>
      <c r="BN8" s="261"/>
    </row>
    <row r="9" spans="1:66" s="261" customFormat="1" ht="12.75" customHeight="1">
      <c r="A9" s="260">
        <v>440</v>
      </c>
      <c r="B9" s="278" t="s">
        <v>354</v>
      </c>
      <c r="C9" s="259" t="s">
        <v>1260</v>
      </c>
      <c r="D9" s="351">
        <v>39295</v>
      </c>
      <c r="E9" s="351">
        <v>39387</v>
      </c>
      <c r="F9" s="259" t="s">
        <v>1748</v>
      </c>
      <c r="G9" s="259" t="s">
        <v>1453</v>
      </c>
      <c r="H9" s="259" t="s">
        <v>1747</v>
      </c>
      <c r="I9" s="254" t="s">
        <v>2331</v>
      </c>
      <c r="J9" s="298">
        <v>14616</v>
      </c>
      <c r="K9" s="298">
        <v>45615</v>
      </c>
      <c r="L9" s="298">
        <v>45170</v>
      </c>
      <c r="M9" s="298">
        <v>45170</v>
      </c>
      <c r="N9" s="256">
        <v>3.0904488232074439</v>
      </c>
      <c r="O9" s="298">
        <v>99</v>
      </c>
      <c r="P9" s="298">
        <v>14616</v>
      </c>
      <c r="Q9" s="298"/>
      <c r="R9" s="256">
        <v>14616</v>
      </c>
      <c r="S9" s="298"/>
      <c r="T9" s="298"/>
      <c r="U9" s="298"/>
      <c r="V9" s="298">
        <v>42650</v>
      </c>
      <c r="W9" s="298">
        <v>42233</v>
      </c>
      <c r="X9" s="349">
        <v>2.8895046524356869</v>
      </c>
      <c r="Y9" s="298"/>
      <c r="Z9" s="298"/>
      <c r="AA9" s="298"/>
      <c r="AB9" s="298"/>
      <c r="AC9" s="298"/>
      <c r="AD9" s="298"/>
      <c r="AE9" s="298"/>
      <c r="AF9" s="298"/>
      <c r="AG9" s="298"/>
      <c r="AH9" s="298"/>
      <c r="AI9" s="298"/>
      <c r="AJ9" s="259"/>
      <c r="AK9" s="298"/>
      <c r="AL9" s="298"/>
      <c r="AM9" s="298"/>
      <c r="AN9" s="301"/>
      <c r="AO9" s="301"/>
      <c r="AP9" s="301"/>
      <c r="AQ9" s="301"/>
      <c r="AR9" s="301"/>
      <c r="AS9" s="301"/>
      <c r="AT9" s="301"/>
      <c r="AU9" s="301"/>
      <c r="AV9" s="259" t="s">
        <v>1746</v>
      </c>
      <c r="AW9" s="259"/>
      <c r="AX9" s="259"/>
      <c r="AY9" s="259"/>
      <c r="AZ9" s="259"/>
      <c r="BA9" s="259"/>
      <c r="BB9" s="259"/>
      <c r="BC9" s="259"/>
      <c r="BD9" s="259"/>
      <c r="BE9" s="259"/>
      <c r="BF9" s="259"/>
      <c r="BG9" s="259"/>
      <c r="BH9" s="259"/>
      <c r="BI9" s="259"/>
      <c r="BJ9" s="259"/>
      <c r="BK9" s="259"/>
      <c r="BL9" s="259"/>
      <c r="BM9" s="259"/>
      <c r="BN9" s="254"/>
    </row>
    <row r="10" spans="1:66" s="261" customFormat="1" ht="19.5" customHeight="1">
      <c r="A10" s="260">
        <v>441</v>
      </c>
      <c r="B10" s="259" t="s">
        <v>1598</v>
      </c>
      <c r="C10" s="259" t="s">
        <v>1286</v>
      </c>
      <c r="D10" s="351">
        <v>39083</v>
      </c>
      <c r="E10" s="351">
        <v>39234</v>
      </c>
      <c r="F10" s="259" t="s">
        <v>5</v>
      </c>
      <c r="G10" s="259" t="s">
        <v>1451</v>
      </c>
      <c r="H10" s="385" t="s">
        <v>1755</v>
      </c>
      <c r="I10" s="254" t="s">
        <v>2331</v>
      </c>
      <c r="J10" s="298">
        <v>7500</v>
      </c>
      <c r="K10" s="298">
        <v>95000</v>
      </c>
      <c r="L10" s="298">
        <v>95000</v>
      </c>
      <c r="M10" s="298">
        <v>79346</v>
      </c>
      <c r="N10" s="256">
        <v>10.579466666666667</v>
      </c>
      <c r="O10" s="298">
        <v>100</v>
      </c>
      <c r="P10" s="298"/>
      <c r="Q10" s="298"/>
      <c r="R10" s="256"/>
      <c r="S10" s="298"/>
      <c r="T10" s="298"/>
      <c r="U10" s="298"/>
      <c r="V10" s="298"/>
      <c r="W10" s="298"/>
      <c r="X10" s="256"/>
      <c r="Y10" s="298"/>
      <c r="Z10" s="298"/>
      <c r="AA10" s="298"/>
      <c r="AB10" s="298">
        <v>15</v>
      </c>
      <c r="AC10" s="298"/>
      <c r="AD10" s="298"/>
      <c r="AE10" s="298"/>
      <c r="AF10" s="298"/>
      <c r="AG10" s="298"/>
      <c r="AH10" s="298"/>
      <c r="AI10" s="298"/>
      <c r="AJ10" s="254"/>
      <c r="AK10" s="298"/>
      <c r="AL10" s="298"/>
      <c r="AM10" s="298"/>
      <c r="AN10" s="301"/>
      <c r="AO10" s="301"/>
      <c r="AP10" s="301"/>
      <c r="AQ10" s="301"/>
      <c r="AR10" s="301"/>
      <c r="AS10" s="301"/>
      <c r="AT10" s="301" t="s">
        <v>2</v>
      </c>
      <c r="AU10" s="301"/>
      <c r="AV10" s="259" t="s">
        <v>1754</v>
      </c>
      <c r="AW10" s="259"/>
      <c r="AX10" s="259"/>
      <c r="AY10" s="259"/>
      <c r="AZ10" s="259"/>
      <c r="BA10" s="259"/>
      <c r="BB10" s="259"/>
      <c r="BC10" s="259"/>
      <c r="BD10" s="259"/>
      <c r="BE10" s="259"/>
      <c r="BF10" s="259"/>
      <c r="BG10" s="259"/>
      <c r="BH10" s="259"/>
      <c r="BI10" s="259"/>
      <c r="BJ10" s="259"/>
      <c r="BK10" s="259"/>
      <c r="BL10" s="259"/>
      <c r="BM10" s="259"/>
      <c r="BN10" s="254"/>
    </row>
    <row r="11" spans="1:66" s="261" customFormat="1" ht="17.25" customHeight="1">
      <c r="A11" s="260">
        <v>442</v>
      </c>
      <c r="B11" s="261" t="s">
        <v>119</v>
      </c>
      <c r="C11" s="261" t="s">
        <v>1299</v>
      </c>
      <c r="D11" s="262">
        <v>39295</v>
      </c>
      <c r="E11" s="262">
        <v>39417</v>
      </c>
      <c r="F11" s="342" t="s">
        <v>5</v>
      </c>
      <c r="G11" s="254" t="s">
        <v>1451</v>
      </c>
      <c r="H11" s="261" t="s">
        <v>594</v>
      </c>
      <c r="I11" s="254" t="s">
        <v>2331</v>
      </c>
      <c r="J11" s="263">
        <v>111356</v>
      </c>
      <c r="K11" s="263">
        <v>126065</v>
      </c>
      <c r="L11" s="263">
        <v>122629</v>
      </c>
      <c r="M11" s="263">
        <v>122629</v>
      </c>
      <c r="N11" s="256">
        <v>1.1012338805273179</v>
      </c>
      <c r="O11" s="263">
        <v>97</v>
      </c>
      <c r="P11" s="263"/>
      <c r="Q11" s="263"/>
      <c r="R11" s="263"/>
      <c r="S11" s="263" t="s">
        <v>95</v>
      </c>
      <c r="T11" s="263">
        <v>320</v>
      </c>
      <c r="U11" s="263">
        <v>16394</v>
      </c>
      <c r="V11" s="263">
        <v>27540</v>
      </c>
      <c r="W11" s="263">
        <v>26713.8</v>
      </c>
      <c r="X11" s="263"/>
      <c r="Y11" s="263"/>
      <c r="Z11" s="263" t="s">
        <v>75</v>
      </c>
      <c r="AA11" s="263">
        <v>16394</v>
      </c>
      <c r="AB11" s="263">
        <v>90</v>
      </c>
      <c r="AC11" s="263" t="s">
        <v>75</v>
      </c>
      <c r="AD11" s="263" t="s">
        <v>75</v>
      </c>
      <c r="AE11" s="263">
        <v>8243</v>
      </c>
      <c r="AF11" s="263" t="s">
        <v>75</v>
      </c>
      <c r="AG11" s="263" t="s">
        <v>75</v>
      </c>
      <c r="AH11" s="263" t="s">
        <v>75</v>
      </c>
      <c r="AI11" s="263" t="s">
        <v>75</v>
      </c>
      <c r="AJ11" s="288">
        <v>16394</v>
      </c>
      <c r="AK11" s="263" t="s">
        <v>339</v>
      </c>
      <c r="AL11" s="263">
        <v>18750</v>
      </c>
      <c r="AM11" s="318">
        <f>AL11/AJ11</f>
        <v>1.1437111138221301</v>
      </c>
      <c r="AN11" s="264"/>
      <c r="AO11" s="264" t="s">
        <v>75</v>
      </c>
      <c r="AP11" s="264" t="s">
        <v>75</v>
      </c>
      <c r="AQ11" s="264" t="s">
        <v>75</v>
      </c>
      <c r="AR11" s="264" t="s">
        <v>75</v>
      </c>
      <c r="AS11" s="264" t="s">
        <v>75</v>
      </c>
      <c r="AT11" s="264" t="s">
        <v>75</v>
      </c>
      <c r="AU11" s="264" t="s">
        <v>75</v>
      </c>
      <c r="AV11" s="293" t="s">
        <v>593</v>
      </c>
    </row>
    <row r="12" spans="1:66" s="261" customFormat="1" ht="18" customHeight="1">
      <c r="A12" s="260">
        <v>443</v>
      </c>
      <c r="B12" s="259" t="s">
        <v>119</v>
      </c>
      <c r="C12" s="259" t="s">
        <v>1299</v>
      </c>
      <c r="D12" s="351">
        <v>39114</v>
      </c>
      <c r="E12" s="351">
        <v>39539</v>
      </c>
      <c r="F12" s="259" t="s">
        <v>569</v>
      </c>
      <c r="G12" s="259" t="s">
        <v>1449</v>
      </c>
      <c r="H12" s="259" t="s">
        <v>1753</v>
      </c>
      <c r="I12" s="254" t="s">
        <v>2331</v>
      </c>
      <c r="J12" s="298">
        <v>200000</v>
      </c>
      <c r="K12" s="298">
        <v>0</v>
      </c>
      <c r="L12" s="298">
        <v>67611</v>
      </c>
      <c r="M12" s="298">
        <v>67611</v>
      </c>
      <c r="N12" s="256">
        <v>0.33805499999999999</v>
      </c>
      <c r="O12" s="383" t="s">
        <v>66</v>
      </c>
      <c r="P12" s="298"/>
      <c r="Q12" s="298"/>
      <c r="R12" s="256"/>
      <c r="S12" s="298"/>
      <c r="T12" s="298"/>
      <c r="U12" s="298"/>
      <c r="V12" s="298"/>
      <c r="W12" s="298"/>
      <c r="X12" s="256"/>
      <c r="Y12" s="298"/>
      <c r="Z12" s="298"/>
      <c r="AA12" s="298">
        <v>4000</v>
      </c>
      <c r="AB12" s="298">
        <v>1625</v>
      </c>
      <c r="AC12" s="298"/>
      <c r="AD12" s="298"/>
      <c r="AE12" s="298"/>
      <c r="AF12" s="298"/>
      <c r="AG12" s="298"/>
      <c r="AH12" s="298"/>
      <c r="AI12" s="298"/>
      <c r="AJ12" s="254"/>
      <c r="AK12" s="298"/>
      <c r="AL12" s="298"/>
      <c r="AM12" s="298"/>
      <c r="AN12" s="301"/>
      <c r="AO12" s="301"/>
      <c r="AP12" s="301"/>
      <c r="AQ12" s="301"/>
      <c r="AR12" s="301"/>
      <c r="AS12" s="301"/>
      <c r="AT12" s="301"/>
      <c r="AU12" s="301"/>
      <c r="AV12" s="259" t="s">
        <v>1752</v>
      </c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  <c r="BM12" s="259"/>
      <c r="BN12" s="254"/>
    </row>
    <row r="13" spans="1:66" s="261" customFormat="1" ht="23.25" customHeight="1">
      <c r="A13" s="260">
        <v>444</v>
      </c>
      <c r="B13" s="342" t="s">
        <v>244</v>
      </c>
      <c r="C13" s="342" t="s">
        <v>1299</v>
      </c>
      <c r="D13" s="317">
        <v>39203</v>
      </c>
      <c r="E13" s="317">
        <v>39417</v>
      </c>
      <c r="F13" s="342" t="s">
        <v>1310</v>
      </c>
      <c r="G13" s="259" t="s">
        <v>1463</v>
      </c>
      <c r="H13" s="342" t="s">
        <v>843</v>
      </c>
      <c r="I13" s="254" t="s">
        <v>2331</v>
      </c>
      <c r="J13" s="318">
        <v>460</v>
      </c>
      <c r="K13" s="318">
        <v>24967</v>
      </c>
      <c r="L13" s="318">
        <v>20384</v>
      </c>
      <c r="M13" s="318">
        <v>20384</v>
      </c>
      <c r="N13" s="256">
        <v>44.313043478260873</v>
      </c>
      <c r="O13" s="318">
        <v>82</v>
      </c>
      <c r="P13" s="318" t="s">
        <v>75</v>
      </c>
      <c r="Q13" s="318" t="s">
        <v>75</v>
      </c>
      <c r="R13" s="318" t="s">
        <v>75</v>
      </c>
      <c r="S13" s="318" t="s">
        <v>849</v>
      </c>
      <c r="T13" s="318" t="s">
        <v>75</v>
      </c>
      <c r="U13" s="318" t="s">
        <v>75</v>
      </c>
      <c r="V13" s="318" t="s">
        <v>75</v>
      </c>
      <c r="W13" s="318" t="s">
        <v>75</v>
      </c>
      <c r="X13" s="318"/>
      <c r="Y13" s="330" t="s">
        <v>339</v>
      </c>
      <c r="Z13" s="318">
        <v>460</v>
      </c>
      <c r="AA13" s="263" t="s">
        <v>75</v>
      </c>
      <c r="AB13" s="318">
        <v>50</v>
      </c>
      <c r="AC13" s="318" t="s">
        <v>75</v>
      </c>
      <c r="AD13" s="318" t="s">
        <v>75</v>
      </c>
      <c r="AE13" s="318" t="s">
        <v>75</v>
      </c>
      <c r="AF13" s="318" t="s">
        <v>75</v>
      </c>
      <c r="AG13" s="318" t="s">
        <v>75</v>
      </c>
      <c r="AH13" s="318" t="s">
        <v>75</v>
      </c>
      <c r="AI13" s="318" t="s">
        <v>75</v>
      </c>
      <c r="AJ13" s="301">
        <v>460</v>
      </c>
      <c r="AK13" s="318">
        <v>7350</v>
      </c>
      <c r="AL13" s="318">
        <v>5388</v>
      </c>
      <c r="AM13" s="318">
        <f t="shared" ref="AM13" si="1">AL13/AJ13</f>
        <v>11.71304347826087</v>
      </c>
      <c r="AN13" s="319"/>
      <c r="AO13" s="319" t="s">
        <v>75</v>
      </c>
      <c r="AP13" s="319" t="s">
        <v>75</v>
      </c>
      <c r="AQ13" s="319" t="s">
        <v>75</v>
      </c>
      <c r="AR13" s="319" t="s">
        <v>75</v>
      </c>
      <c r="AS13" s="319" t="s">
        <v>75</v>
      </c>
      <c r="AT13" s="319" t="s">
        <v>75</v>
      </c>
      <c r="AU13" s="319" t="s">
        <v>75</v>
      </c>
      <c r="AV13" s="359" t="s">
        <v>842</v>
      </c>
      <c r="AW13" s="342"/>
      <c r="AX13" s="342"/>
      <c r="AY13" s="342"/>
      <c r="AZ13" s="342"/>
      <c r="BA13" s="342"/>
      <c r="BB13" s="342"/>
      <c r="BC13" s="342"/>
      <c r="BD13" s="342"/>
      <c r="BE13" s="342"/>
      <c r="BF13" s="342"/>
      <c r="BG13" s="342"/>
      <c r="BH13" s="342"/>
      <c r="BI13" s="342"/>
      <c r="BJ13" s="342"/>
      <c r="BK13" s="342"/>
      <c r="BL13" s="342"/>
      <c r="BM13" s="342"/>
      <c r="BN13" s="342"/>
    </row>
    <row r="14" spans="1:66" s="261" customFormat="1" ht="16.5" customHeight="1">
      <c r="A14" s="260">
        <v>445</v>
      </c>
      <c r="B14" s="259" t="s">
        <v>244</v>
      </c>
      <c r="C14" s="259" t="s">
        <v>1299</v>
      </c>
      <c r="D14" s="351">
        <v>39203</v>
      </c>
      <c r="E14" s="351">
        <v>39508</v>
      </c>
      <c r="F14" s="259" t="s">
        <v>615</v>
      </c>
      <c r="G14" s="259" t="s">
        <v>1452</v>
      </c>
      <c r="H14" s="259" t="s">
        <v>1762</v>
      </c>
      <c r="I14" s="254" t="s">
        <v>2331</v>
      </c>
      <c r="J14" s="298">
        <v>20000</v>
      </c>
      <c r="K14" s="298">
        <v>166874</v>
      </c>
      <c r="L14" s="298">
        <v>166876</v>
      </c>
      <c r="M14" s="298">
        <v>166876</v>
      </c>
      <c r="N14" s="256">
        <v>8.3437999999999999</v>
      </c>
      <c r="O14" s="298">
        <v>100</v>
      </c>
      <c r="P14" s="298">
        <v>13000</v>
      </c>
      <c r="Q14" s="298"/>
      <c r="R14" s="256">
        <v>13000</v>
      </c>
      <c r="S14" s="298" t="s">
        <v>233</v>
      </c>
      <c r="T14" s="298">
        <v>50</v>
      </c>
      <c r="U14" s="298">
        <v>13000</v>
      </c>
      <c r="V14" s="298">
        <v>10800</v>
      </c>
      <c r="W14" s="298">
        <v>10800</v>
      </c>
      <c r="X14" s="349">
        <v>0.83076923076923082</v>
      </c>
      <c r="Y14" s="298"/>
      <c r="Z14" s="298"/>
      <c r="AA14" s="298"/>
      <c r="AB14" s="298">
        <v>50</v>
      </c>
      <c r="AC14" s="298"/>
      <c r="AD14" s="298"/>
      <c r="AE14" s="298"/>
      <c r="AF14" s="298"/>
      <c r="AG14" s="298"/>
      <c r="AH14" s="298"/>
      <c r="AI14" s="298"/>
      <c r="AJ14" s="254"/>
      <c r="AK14" s="298">
        <v>2400</v>
      </c>
      <c r="AL14" s="298">
        <v>2400</v>
      </c>
      <c r="AM14" s="318"/>
      <c r="AN14" s="301"/>
      <c r="AO14" s="301"/>
      <c r="AP14" s="301"/>
      <c r="AQ14" s="301"/>
      <c r="AR14" s="301"/>
      <c r="AS14" s="301"/>
      <c r="AT14" s="301"/>
      <c r="AU14" s="301"/>
      <c r="AV14" s="259" t="s">
        <v>1761</v>
      </c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4"/>
    </row>
    <row r="15" spans="1:66" s="261" customFormat="1" ht="15.75" customHeight="1">
      <c r="A15" s="260">
        <v>446</v>
      </c>
      <c r="B15" s="259" t="s">
        <v>244</v>
      </c>
      <c r="C15" s="259" t="s">
        <v>1299</v>
      </c>
      <c r="D15" s="351">
        <v>39295</v>
      </c>
      <c r="E15" s="351">
        <v>39142</v>
      </c>
      <c r="F15" s="259" t="s">
        <v>1765</v>
      </c>
      <c r="G15" s="259" t="s">
        <v>1451</v>
      </c>
      <c r="H15" s="259" t="s">
        <v>1764</v>
      </c>
      <c r="I15" s="254" t="s">
        <v>2331</v>
      </c>
      <c r="J15" s="298">
        <v>10279</v>
      </c>
      <c r="K15" s="298">
        <v>0</v>
      </c>
      <c r="L15" s="298">
        <v>79714</v>
      </c>
      <c r="M15" s="298">
        <v>79714</v>
      </c>
      <c r="N15" s="256">
        <v>7.7550345364335049</v>
      </c>
      <c r="O15" s="383" t="s">
        <v>66</v>
      </c>
      <c r="P15" s="298">
        <v>6000</v>
      </c>
      <c r="Q15" s="298">
        <v>200</v>
      </c>
      <c r="R15" s="256">
        <v>6000</v>
      </c>
      <c r="S15" s="298" t="s">
        <v>233</v>
      </c>
      <c r="T15" s="298">
        <v>37</v>
      </c>
      <c r="U15" s="298">
        <v>10279</v>
      </c>
      <c r="V15" s="298">
        <v>0</v>
      </c>
      <c r="W15" s="298">
        <v>2997</v>
      </c>
      <c r="X15" s="349">
        <v>0.4995</v>
      </c>
      <c r="Y15" s="298"/>
      <c r="Z15" s="298"/>
      <c r="AA15" s="298"/>
      <c r="AB15" s="298">
        <v>37</v>
      </c>
      <c r="AC15" s="298"/>
      <c r="AD15" s="298"/>
      <c r="AE15" s="298">
        <v>14</v>
      </c>
      <c r="AF15" s="298"/>
      <c r="AG15" s="298"/>
      <c r="AH15" s="298"/>
      <c r="AI15" s="298"/>
      <c r="AJ15" s="254"/>
      <c r="AK15" s="298">
        <v>0</v>
      </c>
      <c r="AL15" s="298">
        <v>2550</v>
      </c>
      <c r="AM15" s="318"/>
      <c r="AN15" s="301"/>
      <c r="AO15" s="301"/>
      <c r="AP15" s="301"/>
      <c r="AQ15" s="301"/>
      <c r="AR15" s="301"/>
      <c r="AS15" s="301"/>
      <c r="AT15" s="301"/>
      <c r="AU15" s="301"/>
      <c r="AV15" s="352" t="s">
        <v>1763</v>
      </c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4"/>
    </row>
    <row r="16" spans="1:66" s="261" customFormat="1" ht="14.25" customHeight="1">
      <c r="A16" s="260">
        <v>447</v>
      </c>
      <c r="B16" s="266" t="s">
        <v>22</v>
      </c>
      <c r="C16" s="266" t="s">
        <v>1286</v>
      </c>
      <c r="D16" s="317">
        <v>39356</v>
      </c>
      <c r="E16" s="317">
        <v>39845</v>
      </c>
      <c r="F16" s="266" t="s">
        <v>1007</v>
      </c>
      <c r="G16" s="254" t="s">
        <v>1450</v>
      </c>
      <c r="H16" s="266" t="s">
        <v>643</v>
      </c>
      <c r="I16" s="278" t="s">
        <v>2438</v>
      </c>
      <c r="J16" s="318">
        <v>116225</v>
      </c>
      <c r="K16" s="318">
        <v>1750541</v>
      </c>
      <c r="L16" s="318">
        <v>1746227</v>
      </c>
      <c r="M16" s="318">
        <v>1722641</v>
      </c>
      <c r="N16" s="256">
        <v>14.821604646160464</v>
      </c>
      <c r="O16" s="318">
        <v>100</v>
      </c>
      <c r="P16" s="318">
        <v>70620</v>
      </c>
      <c r="Q16" s="318">
        <v>25000</v>
      </c>
      <c r="R16" s="318">
        <v>70620</v>
      </c>
      <c r="S16" s="318" t="s">
        <v>233</v>
      </c>
      <c r="T16" s="318" t="s">
        <v>75</v>
      </c>
      <c r="U16" s="318" t="s">
        <v>75</v>
      </c>
      <c r="V16" s="318" t="s">
        <v>66</v>
      </c>
      <c r="W16" s="318" t="s">
        <v>66</v>
      </c>
      <c r="X16" s="349"/>
      <c r="Y16" s="318">
        <v>959</v>
      </c>
      <c r="Z16" s="318" t="s">
        <v>2</v>
      </c>
      <c r="AA16" s="318"/>
      <c r="AB16" s="318"/>
      <c r="AC16" s="318"/>
      <c r="AD16" s="318"/>
      <c r="AE16" s="318">
        <v>10901</v>
      </c>
      <c r="AF16" s="318"/>
      <c r="AG16" s="318"/>
      <c r="AH16" s="318"/>
      <c r="AI16" s="318"/>
      <c r="AJ16" s="288">
        <v>0</v>
      </c>
      <c r="AK16" s="318" t="s">
        <v>66</v>
      </c>
      <c r="AL16" s="318" t="s">
        <v>66</v>
      </c>
      <c r="AM16" s="318"/>
      <c r="AN16" s="319"/>
      <c r="AO16" s="319"/>
      <c r="AP16" s="319"/>
      <c r="AQ16" s="319"/>
      <c r="AR16" s="319"/>
      <c r="AS16" s="319"/>
      <c r="AT16" s="319" t="s">
        <v>75</v>
      </c>
      <c r="AU16" s="319" t="s">
        <v>75</v>
      </c>
      <c r="AV16" s="320" t="s">
        <v>1008</v>
      </c>
    </row>
    <row r="17" spans="1:219" s="261" customFormat="1" ht="18" customHeight="1">
      <c r="A17" s="260">
        <v>448</v>
      </c>
      <c r="B17" s="342" t="s">
        <v>353</v>
      </c>
      <c r="C17" s="342" t="s">
        <v>1299</v>
      </c>
      <c r="D17" s="317">
        <v>39326</v>
      </c>
      <c r="E17" s="317">
        <v>39508</v>
      </c>
      <c r="F17" s="342" t="s">
        <v>5</v>
      </c>
      <c r="G17" s="259" t="s">
        <v>1451</v>
      </c>
      <c r="H17" s="342" t="s">
        <v>744</v>
      </c>
      <c r="I17" s="254" t="s">
        <v>2331</v>
      </c>
      <c r="J17" s="318">
        <v>3780</v>
      </c>
      <c r="K17" s="318">
        <v>0</v>
      </c>
      <c r="L17" s="318">
        <v>98248</v>
      </c>
      <c r="M17" s="318">
        <v>98248</v>
      </c>
      <c r="N17" s="256">
        <v>25.99153439153439</v>
      </c>
      <c r="O17" s="318">
        <v>0</v>
      </c>
      <c r="P17" s="318" t="s">
        <v>339</v>
      </c>
      <c r="Q17" s="330" t="s">
        <v>339</v>
      </c>
      <c r="R17" s="318">
        <v>2835</v>
      </c>
      <c r="S17" s="318" t="s">
        <v>849</v>
      </c>
      <c r="T17" s="318" t="s">
        <v>848</v>
      </c>
      <c r="U17" s="318">
        <v>3402</v>
      </c>
      <c r="V17" s="318" t="s">
        <v>339</v>
      </c>
      <c r="W17" s="318">
        <v>1250</v>
      </c>
      <c r="X17" s="349">
        <v>0.44091710758377423</v>
      </c>
      <c r="Y17" s="330" t="s">
        <v>339</v>
      </c>
      <c r="Z17" s="318" t="s">
        <v>75</v>
      </c>
      <c r="AA17" s="318">
        <v>2835</v>
      </c>
      <c r="AB17" s="318">
        <v>45</v>
      </c>
      <c r="AC17" s="318" t="s">
        <v>75</v>
      </c>
      <c r="AD17" s="318" t="s">
        <v>75</v>
      </c>
      <c r="AE17" s="318">
        <v>500</v>
      </c>
      <c r="AF17" s="318" t="s">
        <v>75</v>
      </c>
      <c r="AG17" s="318" t="s">
        <v>75</v>
      </c>
      <c r="AH17" s="318" t="s">
        <v>75</v>
      </c>
      <c r="AI17" s="318" t="s">
        <v>75</v>
      </c>
      <c r="AJ17" s="301">
        <v>2835</v>
      </c>
      <c r="AK17" s="318" t="s">
        <v>75</v>
      </c>
      <c r="AL17" s="318" t="s">
        <v>75</v>
      </c>
      <c r="AM17" s="318"/>
      <c r="AN17" s="319"/>
      <c r="AO17" s="319" t="s">
        <v>75</v>
      </c>
      <c r="AP17" s="319" t="s">
        <v>75</v>
      </c>
      <c r="AQ17" s="319" t="s">
        <v>75</v>
      </c>
      <c r="AR17" s="319" t="s">
        <v>75</v>
      </c>
      <c r="AS17" s="319" t="s">
        <v>75</v>
      </c>
      <c r="AT17" s="319" t="s">
        <v>75</v>
      </c>
      <c r="AU17" s="319" t="s">
        <v>75</v>
      </c>
      <c r="AV17" s="359" t="s">
        <v>743</v>
      </c>
      <c r="AW17" s="342"/>
      <c r="AX17" s="342"/>
      <c r="AY17" s="342"/>
      <c r="AZ17" s="342"/>
      <c r="BA17" s="342"/>
      <c r="BB17" s="342"/>
      <c r="BC17" s="342"/>
      <c r="BD17" s="342"/>
      <c r="BE17" s="342"/>
      <c r="BF17" s="342"/>
      <c r="BG17" s="342"/>
      <c r="BH17" s="342"/>
      <c r="BI17" s="342"/>
      <c r="BJ17" s="342"/>
      <c r="BK17" s="342"/>
      <c r="BL17" s="342"/>
      <c r="BM17" s="342"/>
      <c r="BN17" s="342"/>
    </row>
    <row r="18" spans="1:219" s="261" customFormat="1" ht="16.5" customHeight="1">
      <c r="A18" s="260">
        <v>449</v>
      </c>
      <c r="B18" s="259" t="s">
        <v>1295</v>
      </c>
      <c r="C18" s="259" t="s">
        <v>1286</v>
      </c>
      <c r="D18" s="351">
        <v>39083</v>
      </c>
      <c r="E18" s="351">
        <v>39234</v>
      </c>
      <c r="F18" s="259" t="s">
        <v>24</v>
      </c>
      <c r="G18" s="259" t="s">
        <v>1454</v>
      </c>
      <c r="H18" s="259" t="s">
        <v>1759</v>
      </c>
      <c r="I18" s="254" t="s">
        <v>2331</v>
      </c>
      <c r="J18" s="298">
        <v>6250</v>
      </c>
      <c r="K18" s="298">
        <v>150000</v>
      </c>
      <c r="L18" s="298">
        <v>141141</v>
      </c>
      <c r="M18" s="298">
        <v>141141</v>
      </c>
      <c r="N18" s="256">
        <v>22.582560000000001</v>
      </c>
      <c r="O18" s="298">
        <v>94</v>
      </c>
      <c r="P18" s="298"/>
      <c r="Q18" s="298"/>
      <c r="R18" s="256"/>
      <c r="S18" s="298"/>
      <c r="T18" s="298"/>
      <c r="U18" s="298"/>
      <c r="V18" s="298"/>
      <c r="W18" s="298"/>
      <c r="X18" s="256"/>
      <c r="Y18" s="298"/>
      <c r="Z18" s="298"/>
      <c r="AA18" s="298"/>
      <c r="AB18" s="298">
        <v>50</v>
      </c>
      <c r="AC18" s="298"/>
      <c r="AD18" s="298"/>
      <c r="AE18" s="298"/>
      <c r="AF18" s="298"/>
      <c r="AG18" s="298"/>
      <c r="AH18" s="298"/>
      <c r="AI18" s="298"/>
      <c r="AJ18" s="254"/>
      <c r="AK18" s="298"/>
      <c r="AL18" s="298"/>
      <c r="AM18" s="298"/>
      <c r="AN18" s="301"/>
      <c r="AO18" s="301"/>
      <c r="AP18" s="301"/>
      <c r="AQ18" s="301"/>
      <c r="AR18" s="301"/>
      <c r="AS18" s="301"/>
      <c r="AT18" s="301">
        <v>2</v>
      </c>
      <c r="AU18" s="301"/>
      <c r="AV18" s="259" t="s">
        <v>1758</v>
      </c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259"/>
      <c r="BN18" s="254"/>
    </row>
    <row r="19" spans="1:219" s="386" customFormat="1" ht="16.5" customHeight="1">
      <c r="A19" s="260">
        <v>450</v>
      </c>
      <c r="B19" s="261" t="s">
        <v>121</v>
      </c>
      <c r="C19" s="261" t="s">
        <v>1261</v>
      </c>
      <c r="D19" s="262">
        <v>39083</v>
      </c>
      <c r="E19" s="262">
        <v>39934</v>
      </c>
      <c r="F19" s="342" t="s">
        <v>5</v>
      </c>
      <c r="G19" s="259" t="s">
        <v>1451</v>
      </c>
      <c r="H19" s="261" t="s">
        <v>617</v>
      </c>
      <c r="I19" s="278" t="s">
        <v>2438</v>
      </c>
      <c r="J19" s="263">
        <v>400000</v>
      </c>
      <c r="K19" s="263">
        <v>9462000</v>
      </c>
      <c r="L19" s="263">
        <v>2357164</v>
      </c>
      <c r="M19" s="263">
        <v>2357164</v>
      </c>
      <c r="N19" s="256">
        <v>5.8929099999999996</v>
      </c>
      <c r="O19" s="263">
        <v>25</v>
      </c>
      <c r="P19" s="263">
        <v>100000</v>
      </c>
      <c r="Q19" s="330" t="s">
        <v>339</v>
      </c>
      <c r="R19" s="263">
        <v>100000</v>
      </c>
      <c r="S19" s="263" t="s">
        <v>95</v>
      </c>
      <c r="T19" s="263" t="s">
        <v>75</v>
      </c>
      <c r="U19" s="263" t="s">
        <v>75</v>
      </c>
      <c r="V19" s="263">
        <v>180000</v>
      </c>
      <c r="W19" s="263">
        <v>45000</v>
      </c>
      <c r="X19" s="349">
        <v>0.45</v>
      </c>
      <c r="Y19" s="263" t="s">
        <v>75</v>
      </c>
      <c r="Z19" s="263" t="s">
        <v>75</v>
      </c>
      <c r="AA19" s="263" t="s">
        <v>75</v>
      </c>
      <c r="AB19" s="263" t="s">
        <v>75</v>
      </c>
      <c r="AC19" s="263" t="s">
        <v>75</v>
      </c>
      <c r="AD19" s="263" t="s">
        <v>75</v>
      </c>
      <c r="AE19" s="263" t="s">
        <v>75</v>
      </c>
      <c r="AF19" s="263" t="s">
        <v>75</v>
      </c>
      <c r="AG19" s="263" t="s">
        <v>75</v>
      </c>
      <c r="AH19" s="263" t="s">
        <v>75</v>
      </c>
      <c r="AI19" s="263" t="s">
        <v>75</v>
      </c>
      <c r="AJ19" s="301">
        <v>0</v>
      </c>
      <c r="AK19" s="263" t="s">
        <v>75</v>
      </c>
      <c r="AL19" s="263" t="s">
        <v>75</v>
      </c>
      <c r="AM19" s="263"/>
      <c r="AN19" s="264"/>
      <c r="AO19" s="264" t="s">
        <v>75</v>
      </c>
      <c r="AP19" s="264" t="s">
        <v>75</v>
      </c>
      <c r="AQ19" s="264" t="s">
        <v>75</v>
      </c>
      <c r="AR19" s="264" t="s">
        <v>75</v>
      </c>
      <c r="AS19" s="264" t="s">
        <v>75</v>
      </c>
      <c r="AT19" s="264" t="s">
        <v>75</v>
      </c>
      <c r="AU19" s="264" t="s">
        <v>75</v>
      </c>
      <c r="AV19" s="344" t="s">
        <v>616</v>
      </c>
      <c r="AW19" s="261"/>
      <c r="AX19" s="261"/>
      <c r="AY19" s="261"/>
      <c r="AZ19" s="261"/>
      <c r="BA19" s="261"/>
      <c r="BB19" s="261"/>
      <c r="BC19" s="261"/>
      <c r="BD19" s="261"/>
      <c r="BE19" s="261"/>
      <c r="BF19" s="261"/>
      <c r="BG19" s="261"/>
      <c r="BH19" s="261"/>
      <c r="BI19" s="261"/>
      <c r="BJ19" s="261"/>
      <c r="BK19" s="261"/>
      <c r="BL19" s="261"/>
      <c r="BM19" s="261"/>
      <c r="BN19" s="261"/>
      <c r="BO19" s="261"/>
      <c r="BP19" s="261"/>
      <c r="BQ19" s="261"/>
      <c r="BR19" s="261"/>
      <c r="BS19" s="261"/>
      <c r="BT19" s="261"/>
      <c r="BU19" s="261"/>
      <c r="BV19" s="261"/>
      <c r="BW19" s="261"/>
      <c r="BX19" s="261"/>
      <c r="BY19" s="261"/>
      <c r="BZ19" s="261"/>
      <c r="CA19" s="261"/>
      <c r="CB19" s="261"/>
      <c r="CC19" s="261"/>
      <c r="CD19" s="261"/>
      <c r="CE19" s="261"/>
      <c r="CF19" s="261"/>
      <c r="CG19" s="261"/>
      <c r="CH19" s="261"/>
      <c r="CI19" s="261"/>
      <c r="CJ19" s="261"/>
      <c r="CK19" s="261"/>
      <c r="CL19" s="261"/>
      <c r="CM19" s="261"/>
      <c r="CN19" s="261"/>
      <c r="CO19" s="261"/>
      <c r="CP19" s="261"/>
      <c r="CQ19" s="261"/>
      <c r="CR19" s="261"/>
      <c r="CS19" s="261"/>
      <c r="CT19" s="261"/>
      <c r="CU19" s="261"/>
      <c r="CV19" s="261"/>
      <c r="CW19" s="261"/>
      <c r="CX19" s="261"/>
      <c r="CY19" s="261"/>
      <c r="CZ19" s="261"/>
      <c r="DA19" s="261"/>
      <c r="DB19" s="261"/>
      <c r="DC19" s="261"/>
      <c r="DD19" s="261"/>
      <c r="DE19" s="261"/>
      <c r="DF19" s="261"/>
      <c r="DG19" s="261"/>
      <c r="DH19" s="261"/>
      <c r="DI19" s="261"/>
      <c r="DJ19" s="261"/>
      <c r="DK19" s="261"/>
      <c r="DL19" s="261"/>
      <c r="DM19" s="261"/>
      <c r="DN19" s="261"/>
      <c r="DO19" s="261"/>
      <c r="DP19" s="261"/>
      <c r="DQ19" s="261"/>
      <c r="DR19" s="261"/>
      <c r="DS19" s="261"/>
      <c r="DT19" s="261"/>
      <c r="DU19" s="261"/>
      <c r="DV19" s="261"/>
      <c r="DW19" s="261"/>
      <c r="DX19" s="261"/>
      <c r="DY19" s="261"/>
      <c r="DZ19" s="261"/>
      <c r="EA19" s="261"/>
      <c r="EB19" s="261"/>
      <c r="EC19" s="261"/>
      <c r="ED19" s="261"/>
      <c r="EE19" s="261"/>
      <c r="EF19" s="261"/>
      <c r="EG19" s="261"/>
      <c r="EH19" s="261"/>
      <c r="EI19" s="261"/>
      <c r="EJ19" s="261"/>
      <c r="EK19" s="261"/>
      <c r="EL19" s="261"/>
      <c r="EM19" s="261"/>
      <c r="EN19" s="261"/>
      <c r="EO19" s="261"/>
      <c r="EP19" s="261"/>
      <c r="EQ19" s="261"/>
      <c r="ER19" s="261"/>
      <c r="ES19" s="261"/>
      <c r="ET19" s="261"/>
      <c r="EU19" s="261"/>
      <c r="EV19" s="261"/>
      <c r="EW19" s="261"/>
      <c r="EX19" s="261"/>
      <c r="EY19" s="261"/>
      <c r="EZ19" s="261"/>
      <c r="FA19" s="261"/>
      <c r="FB19" s="261"/>
      <c r="FC19" s="261"/>
      <c r="FD19" s="261"/>
      <c r="FE19" s="261"/>
      <c r="FF19" s="261"/>
      <c r="FG19" s="261"/>
      <c r="FH19" s="261"/>
      <c r="FI19" s="261"/>
      <c r="FJ19" s="261"/>
      <c r="FK19" s="261"/>
      <c r="FL19" s="261"/>
      <c r="FM19" s="261"/>
      <c r="FN19" s="261"/>
      <c r="FO19" s="261"/>
      <c r="FP19" s="261"/>
      <c r="FQ19" s="261"/>
      <c r="FR19" s="261"/>
      <c r="FS19" s="261"/>
      <c r="FT19" s="261"/>
      <c r="FU19" s="261"/>
      <c r="FV19" s="261"/>
      <c r="FW19" s="261"/>
      <c r="FX19" s="261"/>
      <c r="FY19" s="261"/>
      <c r="FZ19" s="261"/>
      <c r="GA19" s="261"/>
      <c r="GB19" s="261"/>
      <c r="GC19" s="261"/>
      <c r="GD19" s="261"/>
      <c r="GE19" s="261"/>
      <c r="GF19" s="261"/>
      <c r="GG19" s="261"/>
      <c r="GH19" s="261"/>
      <c r="GI19" s="261"/>
      <c r="GJ19" s="261"/>
      <c r="GK19" s="261"/>
      <c r="GL19" s="261"/>
      <c r="GM19" s="261"/>
      <c r="GN19" s="261"/>
      <c r="GO19" s="261"/>
      <c r="GP19" s="261"/>
      <c r="GQ19" s="261"/>
      <c r="GR19" s="261"/>
      <c r="GS19" s="261"/>
      <c r="GT19" s="261"/>
      <c r="GU19" s="261"/>
      <c r="GV19" s="261"/>
      <c r="GW19" s="261"/>
      <c r="GX19" s="261"/>
      <c r="GY19" s="261"/>
      <c r="GZ19" s="261"/>
      <c r="HA19" s="261"/>
      <c r="HB19" s="261"/>
      <c r="HC19" s="261"/>
      <c r="HD19" s="261"/>
      <c r="HE19" s="261"/>
      <c r="HF19" s="261"/>
      <c r="HG19" s="261"/>
      <c r="HH19" s="261"/>
      <c r="HI19" s="261"/>
      <c r="HJ19" s="261"/>
      <c r="HK19" s="261"/>
    </row>
    <row r="20" spans="1:219" s="261" customFormat="1" ht="12" customHeight="1">
      <c r="A20" s="260">
        <v>451</v>
      </c>
      <c r="B20" s="259" t="s">
        <v>992</v>
      </c>
      <c r="C20" s="259" t="s">
        <v>1286</v>
      </c>
      <c r="D20" s="351">
        <v>39295</v>
      </c>
      <c r="E20" s="351">
        <v>39387</v>
      </c>
      <c r="F20" s="259" t="s">
        <v>5</v>
      </c>
      <c r="G20" s="259" t="s">
        <v>1451</v>
      </c>
      <c r="H20" s="259" t="s">
        <v>1767</v>
      </c>
      <c r="I20" s="254" t="s">
        <v>2331</v>
      </c>
      <c r="J20" s="298">
        <v>5000</v>
      </c>
      <c r="K20" s="298">
        <v>172000</v>
      </c>
      <c r="L20" s="298">
        <v>161826</v>
      </c>
      <c r="M20" s="298">
        <v>161826</v>
      </c>
      <c r="N20" s="256">
        <v>32.365200000000002</v>
      </c>
      <c r="O20" s="298">
        <v>94</v>
      </c>
      <c r="P20" s="298">
        <v>59818</v>
      </c>
      <c r="Q20" s="298"/>
      <c r="R20" s="256">
        <v>59818</v>
      </c>
      <c r="S20" s="298"/>
      <c r="T20" s="298"/>
      <c r="U20" s="298">
        <v>1463</v>
      </c>
      <c r="V20" s="298"/>
      <c r="W20" s="298"/>
      <c r="X20" s="349">
        <v>0</v>
      </c>
      <c r="Y20" s="298">
        <v>3830</v>
      </c>
      <c r="Z20" s="298">
        <v>77</v>
      </c>
      <c r="AA20" s="298">
        <v>1272</v>
      </c>
      <c r="AB20" s="298"/>
      <c r="AC20" s="298"/>
      <c r="AD20" s="298"/>
      <c r="AE20" s="298"/>
      <c r="AF20" s="298"/>
      <c r="AG20" s="298"/>
      <c r="AH20" s="298">
        <v>1008</v>
      </c>
      <c r="AI20" s="298"/>
      <c r="AJ20" s="254"/>
      <c r="AK20" s="298">
        <v>62155</v>
      </c>
      <c r="AL20" s="298">
        <v>16046</v>
      </c>
      <c r="AM20" s="318"/>
      <c r="AN20" s="301"/>
      <c r="AO20" s="301"/>
      <c r="AP20" s="301"/>
      <c r="AQ20" s="301"/>
      <c r="AR20" s="301"/>
      <c r="AS20" s="301"/>
      <c r="AT20" s="301"/>
      <c r="AU20" s="301"/>
      <c r="AV20" s="352" t="s">
        <v>1766</v>
      </c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259"/>
      <c r="BN20" s="254"/>
    </row>
    <row r="21" spans="1:219" s="261" customFormat="1" ht="16.5" customHeight="1">
      <c r="A21" s="260">
        <v>452</v>
      </c>
      <c r="B21" s="259" t="s">
        <v>1994</v>
      </c>
      <c r="C21" s="259" t="s">
        <v>1261</v>
      </c>
      <c r="D21" s="351">
        <v>39264</v>
      </c>
      <c r="E21" s="351">
        <v>39356</v>
      </c>
      <c r="F21" s="259" t="s">
        <v>1126</v>
      </c>
      <c r="G21" s="259" t="s">
        <v>1449</v>
      </c>
      <c r="H21" s="259" t="s">
        <v>1808</v>
      </c>
      <c r="I21" s="254" t="s">
        <v>2331</v>
      </c>
      <c r="J21" s="298">
        <v>8075</v>
      </c>
      <c r="K21" s="298">
        <v>140900</v>
      </c>
      <c r="L21" s="298">
        <v>136952</v>
      </c>
      <c r="M21" s="298">
        <v>136952</v>
      </c>
      <c r="N21" s="256">
        <v>16.96</v>
      </c>
      <c r="O21" s="298">
        <v>97</v>
      </c>
      <c r="P21" s="298"/>
      <c r="Q21" s="298"/>
      <c r="R21" s="256"/>
      <c r="S21" s="298"/>
      <c r="T21" s="298">
        <v>1136</v>
      </c>
      <c r="U21" s="298">
        <v>400000</v>
      </c>
      <c r="V21" s="298">
        <v>0</v>
      </c>
      <c r="W21" s="298">
        <v>72192</v>
      </c>
      <c r="X21" s="256"/>
      <c r="Y21" s="298"/>
      <c r="Z21" s="298"/>
      <c r="AA21" s="298"/>
      <c r="AB21" s="298">
        <v>1040</v>
      </c>
      <c r="AC21" s="298"/>
      <c r="AD21" s="298"/>
      <c r="AE21" s="298">
        <v>3230</v>
      </c>
      <c r="AF21" s="298"/>
      <c r="AG21" s="298"/>
      <c r="AH21" s="298"/>
      <c r="AI21" s="298"/>
      <c r="AJ21" s="254"/>
      <c r="AK21" s="298">
        <v>84700</v>
      </c>
      <c r="AL21" s="298">
        <v>82159</v>
      </c>
      <c r="AM21" s="318"/>
      <c r="AN21" s="301"/>
      <c r="AO21" s="301"/>
      <c r="AP21" s="301"/>
      <c r="AQ21" s="301"/>
      <c r="AR21" s="301"/>
      <c r="AS21" s="301"/>
      <c r="AT21" s="301"/>
      <c r="AU21" s="301"/>
      <c r="AV21" s="259" t="s">
        <v>1807</v>
      </c>
      <c r="AW21" s="259"/>
      <c r="AX21" s="259"/>
      <c r="AY21" s="259"/>
      <c r="AZ21" s="259"/>
      <c r="BA21" s="259"/>
      <c r="BB21" s="259"/>
      <c r="BC21" s="259"/>
      <c r="BD21" s="259"/>
      <c r="BE21" s="259"/>
      <c r="BF21" s="259"/>
      <c r="BG21" s="259"/>
      <c r="BH21" s="259"/>
      <c r="BI21" s="259"/>
      <c r="BJ21" s="259"/>
      <c r="BK21" s="259"/>
      <c r="BL21" s="259"/>
      <c r="BM21" s="259"/>
      <c r="BN21" s="254"/>
    </row>
    <row r="22" spans="1:219" s="261" customFormat="1" ht="15">
      <c r="A22" s="260">
        <v>453</v>
      </c>
      <c r="B22" s="259" t="s">
        <v>1641</v>
      </c>
      <c r="C22" s="259" t="s">
        <v>1299</v>
      </c>
      <c r="D22" s="351">
        <v>39326</v>
      </c>
      <c r="E22" s="351">
        <v>39387</v>
      </c>
      <c r="F22" s="259" t="s">
        <v>168</v>
      </c>
      <c r="G22" s="259" t="s">
        <v>1449</v>
      </c>
      <c r="H22" s="259" t="s">
        <v>1810</v>
      </c>
      <c r="I22" s="254" t="s">
        <v>2331</v>
      </c>
      <c r="J22" s="298">
        <v>150000</v>
      </c>
      <c r="K22" s="298">
        <v>148663</v>
      </c>
      <c r="L22" s="298">
        <v>139000</v>
      </c>
      <c r="M22" s="298">
        <v>138999</v>
      </c>
      <c r="N22" s="256">
        <v>0.92666000000000004</v>
      </c>
      <c r="O22" s="298">
        <v>94</v>
      </c>
      <c r="P22" s="298"/>
      <c r="Q22" s="298">
        <v>3105</v>
      </c>
      <c r="R22" s="256">
        <v>3105</v>
      </c>
      <c r="S22" s="298"/>
      <c r="T22" s="298">
        <v>100</v>
      </c>
      <c r="U22" s="298">
        <v>150000</v>
      </c>
      <c r="V22" s="298">
        <v>0</v>
      </c>
      <c r="W22" s="298">
        <v>21668</v>
      </c>
      <c r="X22" s="349">
        <v>6.978421900161031</v>
      </c>
      <c r="Y22" s="298"/>
      <c r="Z22" s="298"/>
      <c r="AA22" s="298"/>
      <c r="AB22" s="298">
        <v>90</v>
      </c>
      <c r="AC22" s="298"/>
      <c r="AD22" s="298"/>
      <c r="AE22" s="298"/>
      <c r="AF22" s="298"/>
      <c r="AG22" s="298"/>
      <c r="AH22" s="298">
        <v>1448</v>
      </c>
      <c r="AI22" s="298"/>
      <c r="AJ22" s="254"/>
      <c r="AK22" s="298">
        <v>16350</v>
      </c>
      <c r="AL22" s="298">
        <v>15369</v>
      </c>
      <c r="AM22" s="318"/>
      <c r="AN22" s="301"/>
      <c r="AO22" s="301"/>
      <c r="AP22" s="301"/>
      <c r="AQ22" s="301"/>
      <c r="AR22" s="301"/>
      <c r="AS22" s="301"/>
      <c r="AT22" s="301"/>
      <c r="AU22" s="301"/>
      <c r="AV22" s="259" t="s">
        <v>1809</v>
      </c>
      <c r="AW22" s="259"/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H22" s="259"/>
      <c r="BI22" s="259"/>
      <c r="BJ22" s="259"/>
      <c r="BK22" s="259"/>
      <c r="BL22" s="259"/>
      <c r="BM22" s="259"/>
      <c r="BN22" s="254"/>
    </row>
    <row r="23" spans="1:219" s="261" customFormat="1" ht="20.25" customHeight="1">
      <c r="A23" s="260">
        <v>454</v>
      </c>
      <c r="B23" s="254" t="s">
        <v>1760</v>
      </c>
      <c r="C23" s="254" t="s">
        <v>1286</v>
      </c>
      <c r="D23" s="255">
        <v>39326</v>
      </c>
      <c r="E23" s="255">
        <v>39203</v>
      </c>
      <c r="F23" s="254" t="s">
        <v>5</v>
      </c>
      <c r="G23" s="254" t="s">
        <v>1451</v>
      </c>
      <c r="H23" s="384" t="s">
        <v>1769</v>
      </c>
      <c r="I23" s="254" t="s">
        <v>2331</v>
      </c>
      <c r="J23" s="256">
        <v>2500</v>
      </c>
      <c r="K23" s="256">
        <v>49831</v>
      </c>
      <c r="L23" s="256">
        <v>46002</v>
      </c>
      <c r="M23" s="256">
        <v>46002</v>
      </c>
      <c r="N23" s="256">
        <v>18.4008</v>
      </c>
      <c r="O23" s="256">
        <v>92</v>
      </c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4"/>
      <c r="AK23" s="256"/>
      <c r="AL23" s="256"/>
      <c r="AM23" s="256"/>
      <c r="AN23" s="288"/>
      <c r="AO23" s="288"/>
      <c r="AP23" s="288"/>
      <c r="AQ23" s="288"/>
      <c r="AR23" s="288"/>
      <c r="AS23" s="288"/>
      <c r="AT23" s="288"/>
      <c r="AU23" s="288"/>
      <c r="AV23" s="254" t="s">
        <v>1768</v>
      </c>
      <c r="AW23" s="254"/>
      <c r="AX23" s="254"/>
      <c r="AY23" s="254"/>
      <c r="AZ23" s="254"/>
      <c r="BA23" s="254"/>
      <c r="BB23" s="254"/>
      <c r="BC23" s="254"/>
      <c r="BD23" s="254"/>
      <c r="BE23" s="254"/>
      <c r="BF23" s="254"/>
      <c r="BG23" s="254"/>
      <c r="BH23" s="254"/>
      <c r="BI23" s="254"/>
      <c r="BJ23" s="254"/>
      <c r="BK23" s="254"/>
      <c r="BL23" s="254"/>
      <c r="BM23" s="254"/>
      <c r="BN23" s="254"/>
    </row>
    <row r="24" spans="1:219" s="261" customFormat="1" ht="16.5" customHeight="1">
      <c r="A24" s="260">
        <v>455</v>
      </c>
      <c r="B24" s="259" t="s">
        <v>1760</v>
      </c>
      <c r="C24" s="259" t="s">
        <v>1286</v>
      </c>
      <c r="D24" s="351">
        <v>39083</v>
      </c>
      <c r="E24" s="351">
        <v>39539</v>
      </c>
      <c r="F24" s="259" t="s">
        <v>5</v>
      </c>
      <c r="G24" s="259" t="s">
        <v>1451</v>
      </c>
      <c r="H24" s="259" t="s">
        <v>1770</v>
      </c>
      <c r="I24" s="254" t="s">
        <v>2331</v>
      </c>
      <c r="J24" s="298">
        <v>3750</v>
      </c>
      <c r="K24" s="298">
        <v>78568</v>
      </c>
      <c r="L24" s="298">
        <v>68205</v>
      </c>
      <c r="M24" s="298">
        <v>68205</v>
      </c>
      <c r="N24" s="256">
        <v>18.187999999999999</v>
      </c>
      <c r="O24" s="298">
        <v>87</v>
      </c>
      <c r="P24" s="298"/>
      <c r="Q24" s="298"/>
      <c r="R24" s="256"/>
      <c r="S24" s="298"/>
      <c r="T24" s="298"/>
      <c r="U24" s="298"/>
      <c r="V24" s="298">
        <v>7509</v>
      </c>
      <c r="W24" s="298">
        <v>6532.83</v>
      </c>
      <c r="X24" s="256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54"/>
      <c r="AK24" s="298"/>
      <c r="AL24" s="298"/>
      <c r="AM24" s="298"/>
      <c r="AN24" s="301"/>
      <c r="AO24" s="301"/>
      <c r="AP24" s="301"/>
      <c r="AQ24" s="301"/>
      <c r="AR24" s="301"/>
      <c r="AS24" s="301"/>
      <c r="AT24" s="301"/>
      <c r="AU24" s="301"/>
      <c r="AV24" s="259" t="s">
        <v>1771</v>
      </c>
      <c r="AW24" s="259"/>
      <c r="AX24" s="259"/>
      <c r="AY24" s="259"/>
      <c r="AZ24" s="259"/>
      <c r="BA24" s="259"/>
      <c r="BB24" s="259"/>
      <c r="BC24" s="259"/>
      <c r="BD24" s="259"/>
      <c r="BE24" s="259"/>
      <c r="BF24" s="259"/>
      <c r="BG24" s="259"/>
      <c r="BH24" s="259"/>
      <c r="BI24" s="259"/>
      <c r="BJ24" s="259"/>
      <c r="BK24" s="259"/>
      <c r="BL24" s="259"/>
      <c r="BM24" s="259"/>
      <c r="BN24" s="254"/>
    </row>
    <row r="25" spans="1:219" s="261" customFormat="1" ht="18.75" customHeight="1">
      <c r="A25" s="260">
        <v>456</v>
      </c>
      <c r="B25" s="261" t="s">
        <v>1180</v>
      </c>
      <c r="C25" s="261" t="s">
        <v>1261</v>
      </c>
      <c r="D25" s="262">
        <v>39295</v>
      </c>
      <c r="E25" s="262">
        <v>39569</v>
      </c>
      <c r="F25" s="342" t="s">
        <v>1466</v>
      </c>
      <c r="G25" s="259" t="s">
        <v>1451</v>
      </c>
      <c r="H25" s="261" t="s">
        <v>584</v>
      </c>
      <c r="I25" s="278" t="s">
        <v>2438</v>
      </c>
      <c r="J25" s="263">
        <v>3700000</v>
      </c>
      <c r="K25" s="263">
        <v>5451295</v>
      </c>
      <c r="L25" s="263">
        <v>5196072</v>
      </c>
      <c r="M25" s="263">
        <v>5196072</v>
      </c>
      <c r="N25" s="256">
        <v>1.4043437837837838</v>
      </c>
      <c r="O25" s="263">
        <v>95</v>
      </c>
      <c r="P25" s="263" t="s">
        <v>75</v>
      </c>
      <c r="Q25" s="263" t="s">
        <v>75</v>
      </c>
      <c r="R25" s="263" t="s">
        <v>75</v>
      </c>
      <c r="S25" s="263" t="s">
        <v>95</v>
      </c>
      <c r="T25" s="263">
        <v>200</v>
      </c>
      <c r="U25" s="263">
        <v>3700000</v>
      </c>
      <c r="V25" s="263">
        <v>289652</v>
      </c>
      <c r="W25" s="263">
        <v>289657</v>
      </c>
      <c r="X25" s="263"/>
      <c r="Y25" s="263" t="s">
        <v>75</v>
      </c>
      <c r="Z25" s="263" t="s">
        <v>339</v>
      </c>
      <c r="AA25" s="263">
        <v>3700000</v>
      </c>
      <c r="AB25" s="263" t="s">
        <v>75</v>
      </c>
      <c r="AC25" s="263" t="s">
        <v>75</v>
      </c>
      <c r="AD25" s="263" t="s">
        <v>75</v>
      </c>
      <c r="AE25" s="263" t="s">
        <v>75</v>
      </c>
      <c r="AF25" s="263" t="s">
        <v>75</v>
      </c>
      <c r="AG25" s="263" t="s">
        <v>75</v>
      </c>
      <c r="AH25" s="263" t="s">
        <v>75</v>
      </c>
      <c r="AI25" s="263" t="s">
        <v>75</v>
      </c>
      <c r="AJ25" s="301">
        <v>3700000</v>
      </c>
      <c r="AK25" s="263">
        <v>2056302</v>
      </c>
      <c r="AL25" s="263">
        <v>1916931</v>
      </c>
      <c r="AM25" s="318">
        <f>AL25/AJ25</f>
        <v>0.5180894594594595</v>
      </c>
      <c r="AN25" s="264"/>
      <c r="AO25" s="264" t="s">
        <v>75</v>
      </c>
      <c r="AP25" s="264" t="s">
        <v>75</v>
      </c>
      <c r="AQ25" s="264" t="s">
        <v>75</v>
      </c>
      <c r="AR25" s="264" t="s">
        <v>75</v>
      </c>
      <c r="AS25" s="264" t="s">
        <v>75</v>
      </c>
      <c r="AT25" s="264" t="s">
        <v>75</v>
      </c>
      <c r="AU25" s="264" t="s">
        <v>75</v>
      </c>
      <c r="AV25" s="344" t="s">
        <v>582</v>
      </c>
    </row>
    <row r="26" spans="1:219" s="261" customFormat="1" ht="12.75" customHeight="1">
      <c r="A26" s="260">
        <v>457</v>
      </c>
      <c r="B26" s="342" t="s">
        <v>270</v>
      </c>
      <c r="C26" s="261" t="s">
        <v>1299</v>
      </c>
      <c r="D26" s="262">
        <v>39392</v>
      </c>
      <c r="E26" s="262">
        <v>39660</v>
      </c>
      <c r="F26" s="342" t="s">
        <v>660</v>
      </c>
      <c r="G26" s="254" t="s">
        <v>1451</v>
      </c>
      <c r="H26" s="261" t="s">
        <v>659</v>
      </c>
      <c r="I26" s="254" t="s">
        <v>2331</v>
      </c>
      <c r="J26" s="263">
        <v>11000</v>
      </c>
      <c r="K26" s="263">
        <v>284893</v>
      </c>
      <c r="L26" s="263">
        <v>284886</v>
      </c>
      <c r="M26" s="263">
        <v>284886</v>
      </c>
      <c r="N26" s="256">
        <v>25.898727272727271</v>
      </c>
      <c r="O26" s="263">
        <v>100</v>
      </c>
      <c r="P26" s="318" t="s">
        <v>339</v>
      </c>
      <c r="Q26" s="263">
        <v>4500</v>
      </c>
      <c r="R26" s="263">
        <v>4500</v>
      </c>
      <c r="S26" s="263" t="s">
        <v>95</v>
      </c>
      <c r="T26" s="263">
        <v>100</v>
      </c>
      <c r="U26" s="263">
        <v>35000</v>
      </c>
      <c r="V26" s="263">
        <v>18308</v>
      </c>
      <c r="W26" s="263">
        <v>16460</v>
      </c>
      <c r="X26" s="349">
        <v>3.6577777777777776</v>
      </c>
      <c r="Y26" s="263">
        <v>35000</v>
      </c>
      <c r="Z26" s="263" t="s">
        <v>75</v>
      </c>
      <c r="AA26" s="263">
        <v>35000</v>
      </c>
      <c r="AB26" s="263" t="s">
        <v>75</v>
      </c>
      <c r="AC26" s="263" t="s">
        <v>75</v>
      </c>
      <c r="AD26" s="263" t="s">
        <v>75</v>
      </c>
      <c r="AE26" s="263">
        <v>4300</v>
      </c>
      <c r="AF26" s="263" t="s">
        <v>75</v>
      </c>
      <c r="AG26" s="263" t="s">
        <v>75</v>
      </c>
      <c r="AH26" s="263" t="s">
        <v>75</v>
      </c>
      <c r="AI26" s="263" t="s">
        <v>75</v>
      </c>
      <c r="AJ26" s="288">
        <v>35000</v>
      </c>
      <c r="AK26" s="263" t="s">
        <v>75</v>
      </c>
      <c r="AL26" s="263" t="s">
        <v>75</v>
      </c>
      <c r="AM26" s="263"/>
      <c r="AN26" s="264"/>
      <c r="AO26" s="264" t="s">
        <v>75</v>
      </c>
      <c r="AP26" s="264" t="s">
        <v>75</v>
      </c>
      <c r="AQ26" s="264" t="s">
        <v>75</v>
      </c>
      <c r="AR26" s="264" t="s">
        <v>75</v>
      </c>
      <c r="AS26" s="264" t="s">
        <v>75</v>
      </c>
      <c r="AT26" s="264" t="s">
        <v>75</v>
      </c>
      <c r="AU26" s="264" t="s">
        <v>75</v>
      </c>
      <c r="AV26" s="293" t="s">
        <v>658</v>
      </c>
    </row>
    <row r="27" spans="1:219" s="261" customFormat="1" ht="15" customHeight="1">
      <c r="A27" s="260">
        <v>458</v>
      </c>
      <c r="B27" s="304" t="s">
        <v>270</v>
      </c>
      <c r="C27" s="342" t="s">
        <v>1299</v>
      </c>
      <c r="D27" s="317">
        <v>39326</v>
      </c>
      <c r="E27" s="317">
        <v>39600</v>
      </c>
      <c r="F27" s="342" t="s">
        <v>786</v>
      </c>
      <c r="G27" s="254" t="s">
        <v>1449</v>
      </c>
      <c r="H27" s="342" t="s">
        <v>785</v>
      </c>
      <c r="I27" s="254" t="s">
        <v>2331</v>
      </c>
      <c r="J27" s="318">
        <v>1000000</v>
      </c>
      <c r="K27" s="318">
        <v>180994</v>
      </c>
      <c r="L27" s="318">
        <v>170574</v>
      </c>
      <c r="M27" s="318">
        <v>170574</v>
      </c>
      <c r="N27" s="256">
        <v>0.170574</v>
      </c>
      <c r="O27" s="318">
        <v>94</v>
      </c>
      <c r="P27" s="318" t="s">
        <v>339</v>
      </c>
      <c r="Q27" s="330" t="s">
        <v>339</v>
      </c>
      <c r="R27" s="318"/>
      <c r="S27" s="318" t="s">
        <v>849</v>
      </c>
      <c r="T27" s="318" t="s">
        <v>848</v>
      </c>
      <c r="U27" s="318">
        <v>3360</v>
      </c>
      <c r="V27" s="318">
        <v>30624</v>
      </c>
      <c r="W27" s="318">
        <v>21495</v>
      </c>
      <c r="X27" s="318"/>
      <c r="Y27" s="330" t="s">
        <v>339</v>
      </c>
      <c r="Z27" s="318">
        <v>10000</v>
      </c>
      <c r="AA27" s="318">
        <v>10000</v>
      </c>
      <c r="AB27" s="318">
        <v>100</v>
      </c>
      <c r="AC27" s="318"/>
      <c r="AD27" s="318" t="s">
        <v>75</v>
      </c>
      <c r="AE27" s="318" t="s">
        <v>75</v>
      </c>
      <c r="AF27" s="318" t="s">
        <v>75</v>
      </c>
      <c r="AG27" s="318" t="s">
        <v>75</v>
      </c>
      <c r="AH27" s="318" t="s">
        <v>75</v>
      </c>
      <c r="AI27" s="318" t="s">
        <v>75</v>
      </c>
      <c r="AJ27" s="288">
        <v>20000</v>
      </c>
      <c r="AK27" s="318">
        <v>5325</v>
      </c>
      <c r="AL27" s="318">
        <v>5219</v>
      </c>
      <c r="AM27" s="318">
        <f t="shared" ref="AM27" si="2">AL27/AJ27</f>
        <v>0.26095000000000002</v>
      </c>
      <c r="AN27" s="319"/>
      <c r="AO27" s="319" t="s">
        <v>75</v>
      </c>
      <c r="AP27" s="319" t="s">
        <v>75</v>
      </c>
      <c r="AQ27" s="319" t="s">
        <v>75</v>
      </c>
      <c r="AR27" s="319" t="s">
        <v>75</v>
      </c>
      <c r="AS27" s="319" t="s">
        <v>75</v>
      </c>
      <c r="AT27" s="319" t="s">
        <v>75</v>
      </c>
      <c r="AU27" s="319" t="s">
        <v>75</v>
      </c>
      <c r="AV27" s="356" t="s">
        <v>784</v>
      </c>
      <c r="AW27" s="342"/>
      <c r="AX27" s="342"/>
      <c r="AY27" s="342"/>
      <c r="AZ27" s="342"/>
      <c r="BA27" s="342"/>
      <c r="BB27" s="342"/>
      <c r="BC27" s="342"/>
      <c r="BD27" s="342"/>
      <c r="BE27" s="342"/>
      <c r="BF27" s="342"/>
      <c r="BG27" s="342"/>
      <c r="BH27" s="342"/>
      <c r="BI27" s="342"/>
      <c r="BJ27" s="342"/>
      <c r="BK27" s="342"/>
      <c r="BL27" s="342"/>
      <c r="BM27" s="342"/>
      <c r="BN27" s="342"/>
    </row>
    <row r="28" spans="1:219" s="261" customFormat="1" ht="14.25" customHeight="1">
      <c r="A28" s="260">
        <v>459</v>
      </c>
      <c r="B28" s="342" t="s">
        <v>170</v>
      </c>
      <c r="C28" s="254" t="s">
        <v>1299</v>
      </c>
      <c r="D28" s="255">
        <v>39114</v>
      </c>
      <c r="E28" s="255">
        <v>39417</v>
      </c>
      <c r="F28" s="254" t="s">
        <v>168</v>
      </c>
      <c r="G28" s="254" t="s">
        <v>1449</v>
      </c>
      <c r="H28" s="254" t="s">
        <v>1757</v>
      </c>
      <c r="I28" s="254" t="s">
        <v>2331</v>
      </c>
      <c r="J28" s="256">
        <v>484145</v>
      </c>
      <c r="K28" s="256">
        <v>38000</v>
      </c>
      <c r="L28" s="256">
        <v>36120</v>
      </c>
      <c r="M28" s="256">
        <v>36120</v>
      </c>
      <c r="N28" s="256">
        <v>7.4605748277891959E-2</v>
      </c>
      <c r="O28" s="256">
        <v>95</v>
      </c>
      <c r="P28" s="256">
        <v>91500</v>
      </c>
      <c r="Q28" s="256">
        <v>12905</v>
      </c>
      <c r="R28" s="256">
        <v>91500</v>
      </c>
      <c r="S28" s="256" t="s">
        <v>233</v>
      </c>
      <c r="T28" s="256"/>
      <c r="U28" s="256">
        <v>484145</v>
      </c>
      <c r="V28" s="256">
        <v>1800</v>
      </c>
      <c r="W28" s="256">
        <v>2653</v>
      </c>
      <c r="X28" s="349">
        <v>2.8994535519125682E-2</v>
      </c>
      <c r="Y28" s="256"/>
      <c r="Z28" s="256"/>
      <c r="AA28" s="256"/>
      <c r="AB28" s="256">
        <v>130</v>
      </c>
      <c r="AC28" s="256"/>
      <c r="AD28" s="256"/>
      <c r="AE28" s="256"/>
      <c r="AF28" s="256"/>
      <c r="AG28" s="256"/>
      <c r="AH28" s="256"/>
      <c r="AI28" s="256"/>
      <c r="AJ28" s="301">
        <v>0</v>
      </c>
      <c r="AK28" s="256">
        <v>900</v>
      </c>
      <c r="AL28" s="256">
        <v>855</v>
      </c>
      <c r="AM28" s="318"/>
      <c r="AN28" s="288"/>
      <c r="AO28" s="288"/>
      <c r="AP28" s="288"/>
      <c r="AQ28" s="288"/>
      <c r="AR28" s="288"/>
      <c r="AS28" s="288"/>
      <c r="AT28" s="288"/>
      <c r="AU28" s="288"/>
      <c r="AV28" s="346" t="s">
        <v>1756</v>
      </c>
      <c r="AW28" s="254"/>
      <c r="AX28" s="254"/>
      <c r="AY28" s="254"/>
      <c r="AZ28" s="254"/>
      <c r="BA28" s="254"/>
      <c r="BB28" s="254"/>
      <c r="BC28" s="254"/>
      <c r="BD28" s="254"/>
      <c r="BE28" s="254"/>
      <c r="BF28" s="254"/>
      <c r="BG28" s="254"/>
      <c r="BH28" s="254"/>
      <c r="BI28" s="254"/>
      <c r="BJ28" s="254"/>
      <c r="BK28" s="254"/>
      <c r="BL28" s="254"/>
      <c r="BM28" s="254"/>
      <c r="BN28" s="254"/>
    </row>
    <row r="29" spans="1:219" s="387" customFormat="1" ht="17.25" customHeight="1">
      <c r="A29" s="260">
        <v>460</v>
      </c>
      <c r="B29" s="342" t="s">
        <v>452</v>
      </c>
      <c r="C29" s="342" t="s">
        <v>1278</v>
      </c>
      <c r="D29" s="317">
        <v>39417</v>
      </c>
      <c r="E29" s="317">
        <v>39692</v>
      </c>
      <c r="F29" s="342" t="s">
        <v>837</v>
      </c>
      <c r="G29" s="259" t="s">
        <v>1452</v>
      </c>
      <c r="H29" s="342" t="s">
        <v>836</v>
      </c>
      <c r="I29" s="254" t="s">
        <v>2331</v>
      </c>
      <c r="J29" s="318">
        <v>2800</v>
      </c>
      <c r="K29" s="318">
        <v>150000</v>
      </c>
      <c r="L29" s="318">
        <v>150000</v>
      </c>
      <c r="M29" s="318">
        <v>150000</v>
      </c>
      <c r="N29" s="256">
        <v>53.571428571428569</v>
      </c>
      <c r="O29" s="318">
        <v>100</v>
      </c>
      <c r="P29" s="318" t="s">
        <v>75</v>
      </c>
      <c r="Q29" s="318" t="s">
        <v>75</v>
      </c>
      <c r="R29" s="318" t="s">
        <v>75</v>
      </c>
      <c r="S29" s="318" t="s">
        <v>849</v>
      </c>
      <c r="T29" s="318" t="s">
        <v>75</v>
      </c>
      <c r="U29" s="318" t="s">
        <v>75</v>
      </c>
      <c r="V29" s="318" t="s">
        <v>75</v>
      </c>
      <c r="W29" s="318" t="s">
        <v>75</v>
      </c>
      <c r="X29" s="318"/>
      <c r="Y29" s="318" t="s">
        <v>75</v>
      </c>
      <c r="Z29" s="318" t="s">
        <v>75</v>
      </c>
      <c r="AA29" s="318" t="s">
        <v>75</v>
      </c>
      <c r="AB29" s="318" t="s">
        <v>75</v>
      </c>
      <c r="AC29" s="318">
        <v>21</v>
      </c>
      <c r="AD29" s="318" t="s">
        <v>75</v>
      </c>
      <c r="AE29" s="318" t="s">
        <v>75</v>
      </c>
      <c r="AF29" s="318" t="s">
        <v>75</v>
      </c>
      <c r="AG29" s="318" t="s">
        <v>75</v>
      </c>
      <c r="AH29" s="318" t="s">
        <v>75</v>
      </c>
      <c r="AI29" s="318" t="s">
        <v>75</v>
      </c>
      <c r="AJ29" s="301">
        <v>0</v>
      </c>
      <c r="AK29" s="318" t="s">
        <v>75</v>
      </c>
      <c r="AL29" s="318" t="s">
        <v>75</v>
      </c>
      <c r="AM29" s="318"/>
      <c r="AN29" s="319"/>
      <c r="AO29" s="319" t="s">
        <v>75</v>
      </c>
      <c r="AP29" s="319" t="s">
        <v>75</v>
      </c>
      <c r="AQ29" s="319" t="s">
        <v>75</v>
      </c>
      <c r="AR29" s="319" t="s">
        <v>75</v>
      </c>
      <c r="AS29" s="319" t="s">
        <v>75</v>
      </c>
      <c r="AT29" s="319" t="s">
        <v>75</v>
      </c>
      <c r="AU29" s="319" t="s">
        <v>75</v>
      </c>
      <c r="AV29" s="359" t="s">
        <v>835</v>
      </c>
      <c r="AW29" s="342"/>
      <c r="AX29" s="342"/>
      <c r="AY29" s="342"/>
      <c r="AZ29" s="342"/>
      <c r="BA29" s="342"/>
      <c r="BB29" s="342"/>
      <c r="BC29" s="342"/>
      <c r="BD29" s="342"/>
      <c r="BE29" s="342"/>
      <c r="BF29" s="342"/>
      <c r="BG29" s="342"/>
      <c r="BH29" s="342"/>
      <c r="BI29" s="342"/>
      <c r="BJ29" s="342"/>
      <c r="BK29" s="342"/>
      <c r="BL29" s="342"/>
      <c r="BM29" s="342"/>
      <c r="BN29" s="342"/>
      <c r="BO29" s="261"/>
      <c r="BP29" s="261"/>
      <c r="BQ29" s="261"/>
      <c r="BR29" s="261"/>
      <c r="BS29" s="261"/>
      <c r="BT29" s="261"/>
      <c r="BU29" s="261"/>
      <c r="BV29" s="261"/>
      <c r="BW29" s="261"/>
      <c r="BX29" s="261"/>
      <c r="BY29" s="261"/>
      <c r="BZ29" s="261"/>
      <c r="CA29" s="261"/>
      <c r="CB29" s="261"/>
      <c r="CC29" s="261"/>
      <c r="CD29" s="261"/>
      <c r="CE29" s="261"/>
      <c r="CF29" s="261"/>
      <c r="CG29" s="261"/>
      <c r="CH29" s="261"/>
      <c r="CI29" s="261"/>
      <c r="CJ29" s="261"/>
      <c r="CK29" s="261"/>
      <c r="CL29" s="261"/>
      <c r="CM29" s="261"/>
      <c r="CN29" s="261"/>
      <c r="CO29" s="261"/>
      <c r="CP29" s="261"/>
      <c r="CQ29" s="261"/>
      <c r="CR29" s="261"/>
      <c r="CS29" s="261"/>
      <c r="CT29" s="261"/>
      <c r="CU29" s="261"/>
      <c r="CV29" s="261"/>
      <c r="CW29" s="261"/>
      <c r="CX29" s="261"/>
      <c r="CY29" s="261"/>
      <c r="CZ29" s="261"/>
      <c r="DA29" s="261"/>
      <c r="DB29" s="261"/>
      <c r="DC29" s="261"/>
      <c r="DD29" s="261"/>
      <c r="DE29" s="261"/>
      <c r="DF29" s="261"/>
      <c r="DG29" s="261"/>
      <c r="DH29" s="261"/>
      <c r="DI29" s="261"/>
      <c r="DJ29" s="261"/>
      <c r="DK29" s="261"/>
      <c r="DL29" s="261"/>
      <c r="DM29" s="261"/>
      <c r="DN29" s="261"/>
      <c r="DO29" s="261"/>
      <c r="DP29" s="261"/>
      <c r="DQ29" s="261"/>
      <c r="DR29" s="261"/>
      <c r="DS29" s="261"/>
      <c r="DT29" s="261"/>
      <c r="DU29" s="261"/>
      <c r="DV29" s="261"/>
      <c r="DW29" s="261"/>
      <c r="DX29" s="261"/>
      <c r="DY29" s="261"/>
      <c r="DZ29" s="261"/>
      <c r="EA29" s="261"/>
      <c r="EB29" s="261"/>
      <c r="EC29" s="261"/>
      <c r="ED29" s="261"/>
      <c r="EE29" s="261"/>
      <c r="EF29" s="261"/>
      <c r="EG29" s="261"/>
      <c r="EH29" s="261"/>
      <c r="EI29" s="261"/>
      <c r="EJ29" s="261"/>
      <c r="EK29" s="261"/>
      <c r="EL29" s="261"/>
      <c r="EM29" s="261"/>
      <c r="EN29" s="261"/>
      <c r="EO29" s="261"/>
      <c r="EP29" s="261"/>
      <c r="EQ29" s="261"/>
      <c r="ER29" s="261"/>
      <c r="ES29" s="261"/>
      <c r="ET29" s="261"/>
      <c r="EU29" s="261"/>
      <c r="EV29" s="261"/>
      <c r="EW29" s="261"/>
      <c r="EX29" s="261"/>
      <c r="EY29" s="261"/>
      <c r="EZ29" s="261"/>
      <c r="FA29" s="261"/>
      <c r="FB29" s="261"/>
      <c r="FC29" s="261"/>
      <c r="FD29" s="261"/>
      <c r="FE29" s="261"/>
      <c r="FF29" s="261"/>
      <c r="FG29" s="261"/>
      <c r="FH29" s="261"/>
      <c r="FI29" s="261"/>
      <c r="FJ29" s="261"/>
      <c r="FK29" s="261"/>
      <c r="FL29" s="261"/>
      <c r="FM29" s="261"/>
      <c r="FN29" s="261"/>
      <c r="FO29" s="261"/>
      <c r="FP29" s="261"/>
      <c r="FQ29" s="261"/>
      <c r="FR29" s="261"/>
      <c r="FS29" s="261"/>
      <c r="FT29" s="261"/>
      <c r="FU29" s="261"/>
      <c r="FV29" s="261"/>
      <c r="FW29" s="261"/>
      <c r="FX29" s="261"/>
      <c r="FY29" s="261"/>
      <c r="FZ29" s="261"/>
      <c r="GA29" s="261"/>
      <c r="GB29" s="261"/>
      <c r="GC29" s="261"/>
      <c r="GD29" s="261"/>
      <c r="GE29" s="261"/>
      <c r="GF29" s="261"/>
      <c r="GG29" s="261"/>
      <c r="GH29" s="261"/>
      <c r="GI29" s="261"/>
      <c r="GJ29" s="261"/>
      <c r="GK29" s="261"/>
      <c r="GL29" s="261"/>
      <c r="GM29" s="261"/>
      <c r="GN29" s="261"/>
      <c r="GO29" s="261"/>
      <c r="GP29" s="261"/>
      <c r="GQ29" s="261"/>
      <c r="GR29" s="261"/>
      <c r="GS29" s="261"/>
      <c r="GT29" s="261"/>
      <c r="GU29" s="261"/>
      <c r="GV29" s="261"/>
      <c r="GW29" s="261"/>
      <c r="GX29" s="261"/>
      <c r="GY29" s="261"/>
      <c r="GZ29" s="261"/>
      <c r="HA29" s="261"/>
      <c r="HB29" s="261"/>
      <c r="HC29" s="261"/>
      <c r="HD29" s="261"/>
      <c r="HE29" s="261"/>
      <c r="HF29" s="261"/>
      <c r="HG29" s="261"/>
      <c r="HH29" s="261"/>
      <c r="HI29" s="261"/>
      <c r="HJ29" s="261"/>
      <c r="HK29" s="261"/>
    </row>
    <row r="30" spans="1:219" s="261" customFormat="1" ht="15.75" customHeight="1">
      <c r="A30" s="260">
        <v>461</v>
      </c>
      <c r="B30" s="254" t="s">
        <v>452</v>
      </c>
      <c r="C30" s="254" t="s">
        <v>1278</v>
      </c>
      <c r="D30" s="255">
        <v>39142</v>
      </c>
      <c r="E30" s="255">
        <v>39264</v>
      </c>
      <c r="F30" s="254" t="s">
        <v>1774</v>
      </c>
      <c r="G30" s="254" t="s">
        <v>1464</v>
      </c>
      <c r="H30" s="254" t="s">
        <v>1773</v>
      </c>
      <c r="I30" s="254" t="s">
        <v>2331</v>
      </c>
      <c r="J30" s="256">
        <v>1505</v>
      </c>
      <c r="K30" s="256">
        <v>70000</v>
      </c>
      <c r="L30" s="256">
        <v>70000</v>
      </c>
      <c r="M30" s="256">
        <v>70000</v>
      </c>
      <c r="N30" s="256">
        <v>46.511627906976742</v>
      </c>
      <c r="O30" s="256">
        <v>100</v>
      </c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>
        <v>1505</v>
      </c>
      <c r="AA30" s="256"/>
      <c r="AB30" s="256"/>
      <c r="AC30" s="256"/>
      <c r="AD30" s="256"/>
      <c r="AE30" s="256"/>
      <c r="AF30" s="256"/>
      <c r="AG30" s="256"/>
      <c r="AH30" s="256"/>
      <c r="AI30" s="256"/>
      <c r="AJ30" s="288">
        <v>1505</v>
      </c>
      <c r="AK30" s="256"/>
      <c r="AL30" s="256"/>
      <c r="AM30" s="256"/>
      <c r="AN30" s="288"/>
      <c r="AO30" s="288"/>
      <c r="AP30" s="288"/>
      <c r="AQ30" s="288"/>
      <c r="AR30" s="288"/>
      <c r="AS30" s="288"/>
      <c r="AT30" s="288"/>
      <c r="AU30" s="288"/>
      <c r="AV30" s="254" t="s">
        <v>1772</v>
      </c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4"/>
      <c r="BL30" s="254"/>
      <c r="BM30" s="254"/>
      <c r="BN30" s="254"/>
    </row>
    <row r="31" spans="1:219" s="261" customFormat="1" ht="15" customHeight="1">
      <c r="A31" s="260">
        <v>462</v>
      </c>
      <c r="B31" s="259" t="s">
        <v>452</v>
      </c>
      <c r="C31" s="259" t="s">
        <v>1278</v>
      </c>
      <c r="D31" s="351">
        <v>39264</v>
      </c>
      <c r="E31" s="351">
        <v>39356</v>
      </c>
      <c r="F31" s="259" t="s">
        <v>1776</v>
      </c>
      <c r="G31" s="259" t="s">
        <v>1452</v>
      </c>
      <c r="H31" s="259" t="s">
        <v>1777</v>
      </c>
      <c r="I31" s="254" t="s">
        <v>2331</v>
      </c>
      <c r="J31" s="298">
        <v>5110</v>
      </c>
      <c r="K31" s="298">
        <v>100000</v>
      </c>
      <c r="L31" s="298">
        <v>99997</v>
      </c>
      <c r="M31" s="298">
        <v>99997</v>
      </c>
      <c r="N31" s="256">
        <v>19.568884540117416</v>
      </c>
      <c r="O31" s="298">
        <v>100</v>
      </c>
      <c r="P31" s="298"/>
      <c r="Q31" s="298"/>
      <c r="R31" s="256"/>
      <c r="S31" s="298"/>
      <c r="T31" s="298"/>
      <c r="U31" s="298"/>
      <c r="V31" s="298"/>
      <c r="W31" s="298"/>
      <c r="X31" s="256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301">
        <v>0</v>
      </c>
      <c r="AK31" s="298"/>
      <c r="AL31" s="298"/>
      <c r="AM31" s="298"/>
      <c r="AN31" s="301"/>
      <c r="AO31" s="301"/>
      <c r="AP31" s="301"/>
      <c r="AQ31" s="301"/>
      <c r="AR31" s="301"/>
      <c r="AS31" s="301"/>
      <c r="AT31" s="301"/>
      <c r="AU31" s="301"/>
      <c r="AV31" s="259" t="s">
        <v>1778</v>
      </c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4"/>
    </row>
    <row r="32" spans="1:219" s="261" customFormat="1" ht="16.5" customHeight="1">
      <c r="A32" s="260">
        <v>463</v>
      </c>
      <c r="B32" s="261" t="s">
        <v>607</v>
      </c>
      <c r="C32" s="261" t="s">
        <v>1299</v>
      </c>
      <c r="D32" s="262">
        <v>39340</v>
      </c>
      <c r="E32" s="262">
        <v>39903</v>
      </c>
      <c r="F32" s="342" t="s">
        <v>5</v>
      </c>
      <c r="G32" s="254" t="s">
        <v>1451</v>
      </c>
      <c r="H32" s="261" t="s">
        <v>606</v>
      </c>
      <c r="I32" s="278" t="s">
        <v>2438</v>
      </c>
      <c r="J32" s="263">
        <v>42200</v>
      </c>
      <c r="K32" s="263">
        <v>941088</v>
      </c>
      <c r="L32" s="263">
        <v>811061</v>
      </c>
      <c r="M32" s="263">
        <v>809444</v>
      </c>
      <c r="N32" s="256">
        <v>19.181137440758295</v>
      </c>
      <c r="O32" s="263">
        <v>86</v>
      </c>
      <c r="P32" s="263">
        <v>78000</v>
      </c>
      <c r="Q32" s="263"/>
      <c r="R32" s="263">
        <v>78000</v>
      </c>
      <c r="S32" s="263" t="s">
        <v>2</v>
      </c>
      <c r="T32" s="263">
        <v>15600</v>
      </c>
      <c r="U32" s="263">
        <v>78000</v>
      </c>
      <c r="V32" s="263">
        <v>32823</v>
      </c>
      <c r="W32" s="263">
        <v>28227.78</v>
      </c>
      <c r="X32" s="349">
        <v>0.36189461538461537</v>
      </c>
      <c r="Y32" s="263">
        <v>78000</v>
      </c>
      <c r="Z32" s="263">
        <v>5600</v>
      </c>
      <c r="AA32" s="263">
        <v>78000</v>
      </c>
      <c r="AB32" s="263"/>
      <c r="AC32" s="263" t="s">
        <v>75</v>
      </c>
      <c r="AD32" s="263" t="s">
        <v>75</v>
      </c>
      <c r="AE32" s="263" t="s">
        <v>75</v>
      </c>
      <c r="AF32" s="263" t="s">
        <v>75</v>
      </c>
      <c r="AG32" s="263" t="s">
        <v>75</v>
      </c>
      <c r="AH32" s="263">
        <v>5441</v>
      </c>
      <c r="AI32" s="263" t="s">
        <v>75</v>
      </c>
      <c r="AJ32" s="288">
        <v>89041</v>
      </c>
      <c r="AK32" s="263">
        <v>204819</v>
      </c>
      <c r="AL32" s="263">
        <v>47029</v>
      </c>
      <c r="AM32" s="318">
        <f t="shared" ref="AM32" si="3">AL32/AJ32</f>
        <v>0.52817241495490841</v>
      </c>
      <c r="AN32" s="264"/>
      <c r="AO32" s="264" t="s">
        <v>75</v>
      </c>
      <c r="AP32" s="264" t="s">
        <v>75</v>
      </c>
      <c r="AQ32" s="264" t="s">
        <v>75</v>
      </c>
      <c r="AR32" s="264" t="s">
        <v>75</v>
      </c>
      <c r="AS32" s="264" t="s">
        <v>75</v>
      </c>
      <c r="AT32" s="264" t="s">
        <v>75</v>
      </c>
      <c r="AU32" s="264" t="s">
        <v>75</v>
      </c>
      <c r="AV32" s="293" t="s">
        <v>605</v>
      </c>
    </row>
    <row r="33" spans="1:219" s="261" customFormat="1" ht="15.75" customHeight="1">
      <c r="A33" s="260">
        <v>464</v>
      </c>
      <c r="B33" s="259" t="s">
        <v>472</v>
      </c>
      <c r="C33" s="259" t="s">
        <v>1299</v>
      </c>
      <c r="D33" s="351">
        <v>39203</v>
      </c>
      <c r="E33" s="351">
        <v>39417</v>
      </c>
      <c r="F33" s="259" t="s">
        <v>1780</v>
      </c>
      <c r="G33" s="259" t="s">
        <v>1449</v>
      </c>
      <c r="H33" s="259" t="s">
        <v>1781</v>
      </c>
      <c r="I33" s="254" t="s">
        <v>2331</v>
      </c>
      <c r="J33" s="298">
        <v>600000</v>
      </c>
      <c r="K33" s="298">
        <v>38082</v>
      </c>
      <c r="L33" s="298">
        <v>32713</v>
      </c>
      <c r="M33" s="298">
        <v>32713</v>
      </c>
      <c r="N33" s="256">
        <v>5.452166666666667E-2</v>
      </c>
      <c r="O33" s="298">
        <v>86</v>
      </c>
      <c r="P33" s="298"/>
      <c r="Q33" s="298">
        <v>12400</v>
      </c>
      <c r="R33" s="256">
        <v>12400</v>
      </c>
      <c r="S33" s="298"/>
      <c r="T33" s="298">
        <v>100</v>
      </c>
      <c r="U33" s="298"/>
      <c r="V33" s="298">
        <v>1260</v>
      </c>
      <c r="W33" s="298">
        <v>1083.5999999999999</v>
      </c>
      <c r="X33" s="349">
        <v>8.738709677419354E-2</v>
      </c>
      <c r="Y33" s="298"/>
      <c r="Z33" s="298"/>
      <c r="AA33" s="298"/>
      <c r="AB33" s="298">
        <v>100</v>
      </c>
      <c r="AC33" s="298"/>
      <c r="AD33" s="298"/>
      <c r="AE33" s="298"/>
      <c r="AF33" s="298"/>
      <c r="AG33" s="298"/>
      <c r="AH33" s="298"/>
      <c r="AI33" s="298"/>
      <c r="AJ33" s="301">
        <v>0</v>
      </c>
      <c r="AK33" s="298">
        <v>5232</v>
      </c>
      <c r="AL33" s="298">
        <v>7663</v>
      </c>
      <c r="AM33" s="318"/>
      <c r="AN33" s="301"/>
      <c r="AO33" s="301"/>
      <c r="AP33" s="301"/>
      <c r="AQ33" s="301"/>
      <c r="AR33" s="301"/>
      <c r="AS33" s="301"/>
      <c r="AT33" s="301"/>
      <c r="AU33" s="301"/>
      <c r="AV33" s="259" t="s">
        <v>1779</v>
      </c>
      <c r="AW33" s="259"/>
      <c r="AX33" s="259"/>
      <c r="AY33" s="259"/>
      <c r="AZ33" s="259"/>
      <c r="BA33" s="259"/>
      <c r="BB33" s="259"/>
      <c r="BC33" s="259"/>
      <c r="BD33" s="259"/>
      <c r="BE33" s="259"/>
      <c r="BF33" s="259"/>
      <c r="BG33" s="259"/>
      <c r="BH33" s="259"/>
      <c r="BI33" s="259"/>
      <c r="BJ33" s="259"/>
      <c r="BK33" s="259"/>
      <c r="BL33" s="259"/>
      <c r="BM33" s="259"/>
      <c r="BN33" s="254"/>
    </row>
    <row r="34" spans="1:219" s="261" customFormat="1" ht="18.75" customHeight="1">
      <c r="A34" s="260">
        <v>465</v>
      </c>
      <c r="B34" s="342" t="s">
        <v>27</v>
      </c>
      <c r="C34" s="342" t="s">
        <v>1299</v>
      </c>
      <c r="D34" s="317">
        <v>39203</v>
      </c>
      <c r="E34" s="317">
        <v>39600</v>
      </c>
      <c r="F34" s="342" t="s">
        <v>1469</v>
      </c>
      <c r="G34" s="254" t="s">
        <v>1451</v>
      </c>
      <c r="H34" s="342" t="s">
        <v>783</v>
      </c>
      <c r="I34" s="254" t="s">
        <v>2331</v>
      </c>
      <c r="J34" s="318">
        <v>300</v>
      </c>
      <c r="K34" s="318">
        <v>10533</v>
      </c>
      <c r="L34" s="318">
        <v>21353</v>
      </c>
      <c r="M34" s="318">
        <v>21353</v>
      </c>
      <c r="N34" s="256">
        <v>71.176666666666662</v>
      </c>
      <c r="O34" s="318">
        <v>203</v>
      </c>
      <c r="P34" s="318"/>
      <c r="Q34" s="318">
        <v>1250</v>
      </c>
      <c r="R34" s="318">
        <v>1250</v>
      </c>
      <c r="S34" s="318" t="s">
        <v>849</v>
      </c>
      <c r="T34" s="318">
        <v>15</v>
      </c>
      <c r="U34" s="318">
        <v>1250</v>
      </c>
      <c r="V34" s="318">
        <v>2115</v>
      </c>
      <c r="W34" s="318">
        <v>4293.45</v>
      </c>
      <c r="X34" s="349">
        <v>3.4347599999999998</v>
      </c>
      <c r="Y34" s="330" t="s">
        <v>339</v>
      </c>
      <c r="Z34" s="318" t="s">
        <v>75</v>
      </c>
      <c r="AA34" s="318">
        <v>1250</v>
      </c>
      <c r="AB34" s="318" t="s">
        <v>75</v>
      </c>
      <c r="AC34" s="318" t="s">
        <v>75</v>
      </c>
      <c r="AD34" s="318" t="s">
        <v>75</v>
      </c>
      <c r="AE34" s="318" t="s">
        <v>75</v>
      </c>
      <c r="AF34" s="318" t="s">
        <v>75</v>
      </c>
      <c r="AG34" s="318" t="s">
        <v>75</v>
      </c>
      <c r="AH34" s="318" t="s">
        <v>75</v>
      </c>
      <c r="AI34" s="318" t="s">
        <v>75</v>
      </c>
      <c r="AJ34" s="288">
        <v>1250</v>
      </c>
      <c r="AK34" s="318" t="s">
        <v>75</v>
      </c>
      <c r="AL34" s="318" t="s">
        <v>75</v>
      </c>
      <c r="AM34" s="318"/>
      <c r="AN34" s="319"/>
      <c r="AO34" s="319" t="s">
        <v>75</v>
      </c>
      <c r="AP34" s="319" t="s">
        <v>75</v>
      </c>
      <c r="AQ34" s="319" t="s">
        <v>75</v>
      </c>
      <c r="AR34" s="319" t="s">
        <v>75</v>
      </c>
      <c r="AS34" s="319" t="s">
        <v>75</v>
      </c>
      <c r="AT34" s="319" t="s">
        <v>75</v>
      </c>
      <c r="AU34" s="319" t="s">
        <v>75</v>
      </c>
      <c r="AV34" s="356" t="s">
        <v>782</v>
      </c>
      <c r="AW34" s="342"/>
      <c r="AX34" s="342"/>
      <c r="AY34" s="342"/>
      <c r="AZ34" s="342"/>
      <c r="BA34" s="342"/>
      <c r="BB34" s="342"/>
      <c r="BC34" s="342"/>
      <c r="BD34" s="342"/>
      <c r="BE34" s="342"/>
      <c r="BF34" s="342"/>
      <c r="BG34" s="342"/>
      <c r="BH34" s="342"/>
      <c r="BI34" s="342"/>
      <c r="BJ34" s="342"/>
      <c r="BK34" s="342"/>
      <c r="BL34" s="342"/>
      <c r="BM34" s="342"/>
      <c r="BN34" s="342"/>
    </row>
    <row r="35" spans="1:219" s="261" customFormat="1" ht="17.25" customHeight="1">
      <c r="A35" s="260">
        <v>466</v>
      </c>
      <c r="B35" s="261" t="s">
        <v>167</v>
      </c>
      <c r="C35" s="261" t="s">
        <v>1299</v>
      </c>
      <c r="D35" s="262">
        <v>39092</v>
      </c>
      <c r="E35" s="262">
        <v>39272</v>
      </c>
      <c r="F35" s="342" t="s">
        <v>615</v>
      </c>
      <c r="G35" s="259" t="s">
        <v>1452</v>
      </c>
      <c r="H35" s="261" t="s">
        <v>657</v>
      </c>
      <c r="I35" s="254" t="s">
        <v>2331</v>
      </c>
      <c r="J35" s="263">
        <v>400</v>
      </c>
      <c r="K35" s="263">
        <v>0</v>
      </c>
      <c r="L35" s="263">
        <v>129278</v>
      </c>
      <c r="M35" s="263">
        <v>129278</v>
      </c>
      <c r="N35" s="256">
        <v>323.19499999999999</v>
      </c>
      <c r="O35" s="263" t="s">
        <v>66</v>
      </c>
      <c r="P35" s="263" t="s">
        <v>75</v>
      </c>
      <c r="Q35" s="263" t="s">
        <v>75</v>
      </c>
      <c r="R35" s="263" t="s">
        <v>75</v>
      </c>
      <c r="S35" s="263" t="s">
        <v>95</v>
      </c>
      <c r="T35" s="263" t="s">
        <v>75</v>
      </c>
      <c r="U35" s="263" t="s">
        <v>75</v>
      </c>
      <c r="V35" s="263" t="s">
        <v>75</v>
      </c>
      <c r="W35" s="263" t="s">
        <v>75</v>
      </c>
      <c r="X35" s="263"/>
      <c r="Y35" s="263" t="s">
        <v>75</v>
      </c>
      <c r="Z35" s="263" t="s">
        <v>75</v>
      </c>
      <c r="AA35" s="263" t="s">
        <v>75</v>
      </c>
      <c r="AB35" s="263" t="s">
        <v>75</v>
      </c>
      <c r="AC35" s="263">
        <v>100</v>
      </c>
      <c r="AD35" s="263" t="s">
        <v>75</v>
      </c>
      <c r="AE35" s="263" t="s">
        <v>75</v>
      </c>
      <c r="AF35" s="263" t="s">
        <v>75</v>
      </c>
      <c r="AG35" s="263" t="s">
        <v>75</v>
      </c>
      <c r="AH35" s="263" t="s">
        <v>75</v>
      </c>
      <c r="AI35" s="263" t="s">
        <v>75</v>
      </c>
      <c r="AJ35" s="301">
        <v>0</v>
      </c>
      <c r="AK35" s="263">
        <v>6183</v>
      </c>
      <c r="AL35" s="263">
        <v>6183</v>
      </c>
      <c r="AM35" s="318"/>
      <c r="AN35" s="264"/>
      <c r="AO35" s="264" t="s">
        <v>75</v>
      </c>
      <c r="AP35" s="264" t="s">
        <v>75</v>
      </c>
      <c r="AQ35" s="264" t="s">
        <v>75</v>
      </c>
      <c r="AR35" s="264" t="s">
        <v>75</v>
      </c>
      <c r="AS35" s="264" t="s">
        <v>75</v>
      </c>
      <c r="AT35" s="264" t="s">
        <v>75</v>
      </c>
      <c r="AU35" s="264" t="s">
        <v>2</v>
      </c>
      <c r="AV35" s="276" t="s">
        <v>656</v>
      </c>
    </row>
    <row r="36" spans="1:219" s="261" customFormat="1" ht="15.75" customHeight="1">
      <c r="A36" s="260">
        <v>467</v>
      </c>
      <c r="B36" s="259" t="s">
        <v>18</v>
      </c>
      <c r="C36" s="259" t="s">
        <v>1286</v>
      </c>
      <c r="D36" s="351">
        <v>39173</v>
      </c>
      <c r="E36" s="351">
        <v>39264</v>
      </c>
      <c r="F36" s="259" t="s">
        <v>5</v>
      </c>
      <c r="G36" s="259" t="s">
        <v>1451</v>
      </c>
      <c r="H36" s="385" t="s">
        <v>1783</v>
      </c>
      <c r="I36" s="254" t="s">
        <v>2331</v>
      </c>
      <c r="J36" s="298">
        <v>4850</v>
      </c>
      <c r="K36" s="298">
        <v>200003</v>
      </c>
      <c r="L36" s="298">
        <v>164600</v>
      </c>
      <c r="M36" s="298">
        <v>164600</v>
      </c>
      <c r="N36" s="256">
        <v>33.938144329896907</v>
      </c>
      <c r="O36" s="298">
        <v>82</v>
      </c>
      <c r="P36" s="298">
        <v>4850</v>
      </c>
      <c r="Q36" s="298"/>
      <c r="R36" s="256">
        <v>4850</v>
      </c>
      <c r="S36" s="298"/>
      <c r="T36" s="298"/>
      <c r="U36" s="298"/>
      <c r="V36" s="298">
        <v>10567</v>
      </c>
      <c r="W36" s="298">
        <v>8535</v>
      </c>
      <c r="X36" s="349">
        <v>1.7597938144329897</v>
      </c>
      <c r="Y36" s="298"/>
      <c r="Z36" s="298"/>
      <c r="AA36" s="298"/>
      <c r="AB36" s="298"/>
      <c r="AC36" s="298"/>
      <c r="AD36" s="298"/>
      <c r="AE36" s="298">
        <v>1940</v>
      </c>
      <c r="AF36" s="298"/>
      <c r="AG36" s="298"/>
      <c r="AH36" s="298"/>
      <c r="AI36" s="298"/>
      <c r="AJ36" s="301">
        <v>0</v>
      </c>
      <c r="AK36" s="298"/>
      <c r="AL36" s="298"/>
      <c r="AM36" s="298"/>
      <c r="AN36" s="301"/>
      <c r="AO36" s="301"/>
      <c r="AP36" s="301"/>
      <c r="AQ36" s="301"/>
      <c r="AR36" s="301"/>
      <c r="AS36" s="301"/>
      <c r="AT36" s="301"/>
      <c r="AU36" s="301"/>
      <c r="AV36" s="259" t="s">
        <v>1782</v>
      </c>
      <c r="AW36" s="259"/>
      <c r="AX36" s="259"/>
      <c r="AY36" s="259"/>
      <c r="AZ36" s="259"/>
      <c r="BA36" s="259"/>
      <c r="BB36" s="259"/>
      <c r="BC36" s="259"/>
      <c r="BD36" s="259"/>
      <c r="BE36" s="259"/>
      <c r="BF36" s="259"/>
      <c r="BG36" s="259"/>
      <c r="BH36" s="259"/>
      <c r="BI36" s="259"/>
      <c r="BJ36" s="259"/>
      <c r="BK36" s="259"/>
      <c r="BL36" s="259"/>
      <c r="BM36" s="259"/>
      <c r="BN36" s="254"/>
    </row>
    <row r="37" spans="1:219" s="261" customFormat="1" ht="15.75" customHeight="1">
      <c r="A37" s="260">
        <v>468</v>
      </c>
      <c r="B37" s="259" t="s">
        <v>373</v>
      </c>
      <c r="C37" s="259" t="s">
        <v>1261</v>
      </c>
      <c r="D37" s="351">
        <v>39083</v>
      </c>
      <c r="E37" s="351">
        <v>39508</v>
      </c>
      <c r="F37" s="259" t="s">
        <v>5</v>
      </c>
      <c r="G37" s="259" t="s">
        <v>1451</v>
      </c>
      <c r="H37" s="259" t="s">
        <v>1791</v>
      </c>
      <c r="I37" s="254" t="s">
        <v>2331</v>
      </c>
      <c r="J37" s="298" t="s">
        <v>134</v>
      </c>
      <c r="K37" s="298">
        <v>250000</v>
      </c>
      <c r="L37" s="298">
        <v>250000</v>
      </c>
      <c r="M37" s="298">
        <v>250000</v>
      </c>
      <c r="N37" s="256"/>
      <c r="O37" s="298">
        <v>100</v>
      </c>
      <c r="P37" s="298">
        <v>5000</v>
      </c>
      <c r="Q37" s="298"/>
      <c r="R37" s="256">
        <v>5000</v>
      </c>
      <c r="S37" s="298"/>
      <c r="T37" s="298"/>
      <c r="U37" s="298" t="s">
        <v>134</v>
      </c>
      <c r="V37" s="298">
        <v>1000</v>
      </c>
      <c r="W37" s="298">
        <v>1000</v>
      </c>
      <c r="X37" s="349">
        <v>0.2</v>
      </c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301">
        <v>0</v>
      </c>
      <c r="AK37" s="298"/>
      <c r="AL37" s="298"/>
      <c r="AM37" s="298"/>
      <c r="AN37" s="301"/>
      <c r="AO37" s="301"/>
      <c r="AP37" s="301"/>
      <c r="AQ37" s="301"/>
      <c r="AR37" s="301"/>
      <c r="AS37" s="301"/>
      <c r="AT37" s="301"/>
      <c r="AU37" s="301"/>
      <c r="AV37" s="259" t="s">
        <v>1790</v>
      </c>
      <c r="AW37" s="259"/>
      <c r="AX37" s="259"/>
      <c r="AY37" s="259"/>
      <c r="AZ37" s="259"/>
      <c r="BA37" s="259"/>
      <c r="BB37" s="259"/>
      <c r="BC37" s="259"/>
      <c r="BD37" s="259"/>
      <c r="BE37" s="259"/>
      <c r="BF37" s="259"/>
      <c r="BG37" s="259"/>
      <c r="BH37" s="259"/>
      <c r="BI37" s="259"/>
      <c r="BJ37" s="259"/>
      <c r="BK37" s="259"/>
      <c r="BL37" s="259"/>
      <c r="BM37" s="259"/>
      <c r="BN37" s="254"/>
    </row>
    <row r="38" spans="1:219" s="342" customFormat="1" ht="18.75" customHeight="1">
      <c r="A38" s="260">
        <v>469</v>
      </c>
      <c r="B38" s="259" t="s">
        <v>1775</v>
      </c>
      <c r="C38" s="259" t="s">
        <v>1261</v>
      </c>
      <c r="D38" s="351">
        <v>39114</v>
      </c>
      <c r="E38" s="351">
        <v>39417</v>
      </c>
      <c r="F38" s="259" t="s">
        <v>1789</v>
      </c>
      <c r="G38" s="259" t="s">
        <v>1451</v>
      </c>
      <c r="H38" s="259" t="s">
        <v>1788</v>
      </c>
      <c r="I38" s="259" t="s">
        <v>2440</v>
      </c>
      <c r="J38" s="298">
        <v>35000</v>
      </c>
      <c r="K38" s="298">
        <v>529408</v>
      </c>
      <c r="L38" s="298">
        <v>370158</v>
      </c>
      <c r="M38" s="298">
        <v>370158</v>
      </c>
      <c r="N38" s="256">
        <v>10.575942857142858</v>
      </c>
      <c r="O38" s="298">
        <v>70</v>
      </c>
      <c r="P38" s="298">
        <v>13895</v>
      </c>
      <c r="Q38" s="298"/>
      <c r="R38" s="256">
        <v>13895</v>
      </c>
      <c r="S38" s="298"/>
      <c r="T38" s="298"/>
      <c r="U38" s="298"/>
      <c r="V38" s="298"/>
      <c r="W38" s="298"/>
      <c r="X38" s="349">
        <v>0</v>
      </c>
      <c r="Y38" s="298">
        <v>11645</v>
      </c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301">
        <v>0</v>
      </c>
      <c r="AK38" s="298"/>
      <c r="AL38" s="298"/>
      <c r="AM38" s="298"/>
      <c r="AN38" s="301"/>
      <c r="AO38" s="301"/>
      <c r="AP38" s="301"/>
      <c r="AQ38" s="301"/>
      <c r="AR38" s="301"/>
      <c r="AS38" s="301"/>
      <c r="AT38" s="301"/>
      <c r="AU38" s="301"/>
      <c r="AV38" s="259" t="s">
        <v>1787</v>
      </c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  <c r="BL38" s="259"/>
      <c r="BM38" s="259"/>
      <c r="BN38" s="254"/>
    </row>
    <row r="39" spans="1:219" s="388" customFormat="1" ht="18.75" customHeight="1">
      <c r="A39" s="260">
        <v>470</v>
      </c>
      <c r="B39" s="259" t="s">
        <v>129</v>
      </c>
      <c r="C39" s="259" t="s">
        <v>1278</v>
      </c>
      <c r="D39" s="351">
        <v>39114</v>
      </c>
      <c r="E39" s="351">
        <v>39508</v>
      </c>
      <c r="F39" s="259" t="s">
        <v>1794</v>
      </c>
      <c r="G39" s="259" t="s">
        <v>1452</v>
      </c>
      <c r="H39" s="483" t="s">
        <v>1793</v>
      </c>
      <c r="I39" s="278" t="s">
        <v>2438</v>
      </c>
      <c r="J39" s="298">
        <v>300000</v>
      </c>
      <c r="K39" s="298">
        <v>10346869</v>
      </c>
      <c r="L39" s="298">
        <v>5066942</v>
      </c>
      <c r="M39" s="298">
        <v>5022577</v>
      </c>
      <c r="N39" s="256">
        <v>16.741923333333332</v>
      </c>
      <c r="O39" s="298">
        <v>49</v>
      </c>
      <c r="P39" s="298"/>
      <c r="Q39" s="298"/>
      <c r="R39" s="256"/>
      <c r="S39" s="298"/>
      <c r="T39" s="298"/>
      <c r="U39" s="298"/>
      <c r="V39" s="298" t="s">
        <v>66</v>
      </c>
      <c r="W39" s="298" t="s">
        <v>66</v>
      </c>
      <c r="X39" s="256"/>
      <c r="Y39" s="298">
        <v>150000</v>
      </c>
      <c r="Z39" s="298"/>
      <c r="AA39" s="298">
        <v>46000</v>
      </c>
      <c r="AB39" s="298"/>
      <c r="AC39" s="298">
        <v>1400</v>
      </c>
      <c r="AD39" s="298"/>
      <c r="AE39" s="298"/>
      <c r="AF39" s="298"/>
      <c r="AG39" s="298"/>
      <c r="AH39" s="298"/>
      <c r="AI39" s="298"/>
      <c r="AJ39" s="301">
        <v>46000</v>
      </c>
      <c r="AK39" s="298">
        <v>323588</v>
      </c>
      <c r="AL39" s="298">
        <v>365440</v>
      </c>
      <c r="AM39" s="318">
        <f>AL39/AJ39</f>
        <v>7.9443478260869567</v>
      </c>
      <c r="AN39" s="301"/>
      <c r="AO39" s="301"/>
      <c r="AP39" s="301"/>
      <c r="AQ39" s="301"/>
      <c r="AR39" s="301"/>
      <c r="AS39" s="301"/>
      <c r="AT39" s="301"/>
      <c r="AU39" s="301"/>
      <c r="AV39" s="376" t="s">
        <v>1792</v>
      </c>
      <c r="AW39" s="259"/>
      <c r="AX39" s="259"/>
      <c r="AY39" s="259"/>
      <c r="AZ39" s="259"/>
      <c r="BA39" s="259"/>
      <c r="BB39" s="259"/>
      <c r="BC39" s="259"/>
      <c r="BD39" s="259"/>
      <c r="BE39" s="259"/>
      <c r="BF39" s="259"/>
      <c r="BG39" s="259"/>
      <c r="BH39" s="259"/>
      <c r="BI39" s="259"/>
      <c r="BJ39" s="259"/>
      <c r="BK39" s="259"/>
      <c r="BL39" s="259"/>
      <c r="BM39" s="259"/>
      <c r="BN39" s="254"/>
      <c r="BO39" s="342"/>
      <c r="BP39" s="342"/>
      <c r="BQ39" s="342"/>
      <c r="BR39" s="342"/>
      <c r="BS39" s="342"/>
      <c r="BT39" s="342"/>
      <c r="BU39" s="342"/>
      <c r="BV39" s="342"/>
      <c r="BW39" s="342"/>
      <c r="BX39" s="342"/>
      <c r="BY39" s="342"/>
      <c r="BZ39" s="342"/>
      <c r="CA39" s="342"/>
      <c r="CB39" s="342"/>
      <c r="CC39" s="342"/>
      <c r="CD39" s="342"/>
      <c r="CE39" s="342"/>
      <c r="CF39" s="342"/>
      <c r="CG39" s="342"/>
      <c r="CH39" s="342"/>
      <c r="CI39" s="342"/>
      <c r="CJ39" s="342"/>
      <c r="CK39" s="342"/>
      <c r="CL39" s="342"/>
      <c r="CM39" s="342"/>
      <c r="CN39" s="342"/>
      <c r="CO39" s="342"/>
      <c r="CP39" s="342"/>
      <c r="CQ39" s="342"/>
      <c r="CR39" s="342"/>
      <c r="CS39" s="342"/>
      <c r="CT39" s="342"/>
      <c r="CU39" s="342"/>
      <c r="CV39" s="342"/>
      <c r="CW39" s="342"/>
      <c r="CX39" s="342"/>
      <c r="CY39" s="342"/>
      <c r="CZ39" s="342"/>
      <c r="DA39" s="342"/>
      <c r="DB39" s="342"/>
      <c r="DC39" s="342"/>
      <c r="DD39" s="342"/>
      <c r="DE39" s="342"/>
      <c r="DF39" s="342"/>
      <c r="DG39" s="342"/>
      <c r="DH39" s="342"/>
      <c r="DI39" s="342"/>
      <c r="DJ39" s="342"/>
      <c r="DK39" s="342"/>
      <c r="DL39" s="342"/>
      <c r="DM39" s="342"/>
      <c r="DN39" s="342"/>
      <c r="DO39" s="342"/>
      <c r="DP39" s="342"/>
      <c r="DQ39" s="342"/>
      <c r="DR39" s="342"/>
      <c r="DS39" s="342"/>
      <c r="DT39" s="342"/>
      <c r="DU39" s="342"/>
      <c r="DV39" s="342"/>
      <c r="DW39" s="342"/>
      <c r="DX39" s="342"/>
      <c r="DY39" s="342"/>
      <c r="DZ39" s="342"/>
      <c r="EA39" s="342"/>
      <c r="EB39" s="342"/>
      <c r="EC39" s="342"/>
      <c r="ED39" s="342"/>
      <c r="EE39" s="342"/>
      <c r="EF39" s="342"/>
      <c r="EG39" s="342"/>
      <c r="EH39" s="342"/>
      <c r="EI39" s="342"/>
      <c r="EJ39" s="342"/>
      <c r="EK39" s="342"/>
      <c r="EL39" s="342"/>
      <c r="EM39" s="342"/>
      <c r="EN39" s="342"/>
      <c r="EO39" s="342"/>
      <c r="EP39" s="342"/>
      <c r="EQ39" s="342"/>
      <c r="ER39" s="342"/>
      <c r="ES39" s="342"/>
      <c r="ET39" s="342"/>
      <c r="EU39" s="342"/>
      <c r="EV39" s="342"/>
      <c r="EW39" s="342"/>
      <c r="EX39" s="342"/>
      <c r="EY39" s="342"/>
      <c r="EZ39" s="342"/>
      <c r="FA39" s="342"/>
      <c r="FB39" s="342"/>
      <c r="FC39" s="342"/>
      <c r="FD39" s="342"/>
      <c r="FE39" s="342"/>
      <c r="FF39" s="342"/>
      <c r="FG39" s="342"/>
      <c r="FH39" s="342"/>
      <c r="FI39" s="342"/>
      <c r="FJ39" s="342"/>
      <c r="FK39" s="342"/>
      <c r="FL39" s="342"/>
      <c r="FM39" s="342"/>
      <c r="FN39" s="342"/>
      <c r="FO39" s="342"/>
      <c r="FP39" s="342"/>
      <c r="FQ39" s="342"/>
      <c r="FR39" s="342"/>
      <c r="FS39" s="342"/>
      <c r="FT39" s="342"/>
      <c r="FU39" s="342"/>
      <c r="FV39" s="342"/>
      <c r="FW39" s="342"/>
      <c r="FX39" s="342"/>
      <c r="FY39" s="342"/>
      <c r="FZ39" s="342"/>
      <c r="GA39" s="342"/>
      <c r="GB39" s="342"/>
      <c r="GC39" s="342"/>
      <c r="GD39" s="342"/>
      <c r="GE39" s="342"/>
      <c r="GF39" s="342"/>
      <c r="GG39" s="342"/>
      <c r="GH39" s="342"/>
      <c r="GI39" s="342"/>
      <c r="GJ39" s="342"/>
      <c r="GK39" s="342"/>
      <c r="GL39" s="342"/>
      <c r="GM39" s="342"/>
      <c r="GN39" s="342"/>
      <c r="GO39" s="342"/>
      <c r="GP39" s="342"/>
      <c r="GQ39" s="342"/>
      <c r="GR39" s="342"/>
      <c r="GS39" s="342"/>
      <c r="GT39" s="342"/>
      <c r="GU39" s="342"/>
      <c r="GV39" s="342"/>
      <c r="GW39" s="342"/>
      <c r="GX39" s="342"/>
      <c r="GY39" s="342"/>
      <c r="GZ39" s="342"/>
      <c r="HA39" s="342"/>
      <c r="HB39" s="342"/>
      <c r="HC39" s="342"/>
      <c r="HD39" s="342"/>
      <c r="HE39" s="342"/>
      <c r="HF39" s="342"/>
      <c r="HG39" s="342"/>
      <c r="HH39" s="342"/>
      <c r="HI39" s="342"/>
      <c r="HJ39" s="342"/>
      <c r="HK39" s="342"/>
    </row>
    <row r="40" spans="1:219" s="388" customFormat="1" ht="18.75" customHeight="1">
      <c r="A40" s="260">
        <v>471</v>
      </c>
      <c r="B40" s="259" t="s">
        <v>12</v>
      </c>
      <c r="C40" s="259" t="s">
        <v>1299</v>
      </c>
      <c r="D40" s="351">
        <v>39264</v>
      </c>
      <c r="E40" s="351">
        <v>39356</v>
      </c>
      <c r="F40" s="259" t="s">
        <v>1796</v>
      </c>
      <c r="G40" s="259" t="s">
        <v>1452</v>
      </c>
      <c r="H40" s="259" t="s">
        <v>1797</v>
      </c>
      <c r="I40" s="254" t="s">
        <v>2331</v>
      </c>
      <c r="J40" s="298">
        <v>40000</v>
      </c>
      <c r="K40" s="298">
        <v>113430</v>
      </c>
      <c r="L40" s="298" t="s">
        <v>66</v>
      </c>
      <c r="M40" s="298" t="s">
        <v>66</v>
      </c>
      <c r="N40" s="256"/>
      <c r="O40" s="298" t="s">
        <v>66</v>
      </c>
      <c r="P40" s="298">
        <v>5000</v>
      </c>
      <c r="Q40" s="298"/>
      <c r="R40" s="256">
        <v>5000</v>
      </c>
      <c r="S40" s="298"/>
      <c r="T40" s="298"/>
      <c r="U40" s="298">
        <v>5000</v>
      </c>
      <c r="V40" s="298"/>
      <c r="W40" s="298"/>
      <c r="X40" s="349">
        <v>0</v>
      </c>
      <c r="Y40" s="298"/>
      <c r="Z40" s="298"/>
      <c r="AA40" s="298">
        <v>18658</v>
      </c>
      <c r="AB40" s="298"/>
      <c r="AC40" s="298"/>
      <c r="AD40" s="298"/>
      <c r="AE40" s="298"/>
      <c r="AF40" s="298"/>
      <c r="AG40" s="298"/>
      <c r="AH40" s="298"/>
      <c r="AI40" s="298"/>
      <c r="AJ40" s="301">
        <v>18658</v>
      </c>
      <c r="AK40" s="298"/>
      <c r="AL40" s="298"/>
      <c r="AM40" s="298"/>
      <c r="AN40" s="301"/>
      <c r="AO40" s="301"/>
      <c r="AP40" s="301"/>
      <c r="AQ40" s="301"/>
      <c r="AR40" s="301"/>
      <c r="AS40" s="301"/>
      <c r="AT40" s="301"/>
      <c r="AU40" s="301"/>
      <c r="AV40" s="259" t="s">
        <v>1795</v>
      </c>
      <c r="AW40" s="259"/>
      <c r="AX40" s="259"/>
      <c r="AY40" s="259"/>
      <c r="AZ40" s="259"/>
      <c r="BA40" s="259"/>
      <c r="BB40" s="259"/>
      <c r="BC40" s="259"/>
      <c r="BD40" s="259"/>
      <c r="BE40" s="259"/>
      <c r="BF40" s="259"/>
      <c r="BG40" s="259"/>
      <c r="BH40" s="259"/>
      <c r="BI40" s="259"/>
      <c r="BJ40" s="259"/>
      <c r="BK40" s="259"/>
      <c r="BL40" s="259"/>
      <c r="BM40" s="259"/>
      <c r="BN40" s="254"/>
      <c r="BO40" s="342"/>
      <c r="BP40" s="342"/>
      <c r="BQ40" s="342"/>
      <c r="BR40" s="342"/>
      <c r="BS40" s="342"/>
      <c r="BT40" s="342"/>
      <c r="BU40" s="342"/>
      <c r="BV40" s="342"/>
      <c r="BW40" s="342"/>
      <c r="BX40" s="342"/>
      <c r="BY40" s="342"/>
      <c r="BZ40" s="342"/>
      <c r="CA40" s="342"/>
      <c r="CB40" s="342"/>
      <c r="CC40" s="342"/>
      <c r="CD40" s="342"/>
      <c r="CE40" s="342"/>
      <c r="CF40" s="342"/>
      <c r="CG40" s="342"/>
      <c r="CH40" s="342"/>
      <c r="CI40" s="342"/>
      <c r="CJ40" s="342"/>
      <c r="CK40" s="342"/>
      <c r="CL40" s="342"/>
      <c r="CM40" s="342"/>
      <c r="CN40" s="342"/>
      <c r="CO40" s="342"/>
      <c r="CP40" s="342"/>
      <c r="CQ40" s="342"/>
      <c r="CR40" s="342"/>
      <c r="CS40" s="342"/>
      <c r="CT40" s="342"/>
      <c r="CU40" s="342"/>
      <c r="CV40" s="342"/>
      <c r="CW40" s="342"/>
      <c r="CX40" s="342"/>
      <c r="CY40" s="342"/>
      <c r="CZ40" s="342"/>
      <c r="DA40" s="342"/>
      <c r="DB40" s="342"/>
      <c r="DC40" s="342"/>
      <c r="DD40" s="342"/>
      <c r="DE40" s="342"/>
      <c r="DF40" s="342"/>
      <c r="DG40" s="342"/>
      <c r="DH40" s="342"/>
      <c r="DI40" s="342"/>
      <c r="DJ40" s="342"/>
      <c r="DK40" s="342"/>
      <c r="DL40" s="342"/>
      <c r="DM40" s="342"/>
      <c r="DN40" s="342"/>
      <c r="DO40" s="342"/>
      <c r="DP40" s="342"/>
      <c r="DQ40" s="342"/>
      <c r="DR40" s="342"/>
      <c r="DS40" s="342"/>
      <c r="DT40" s="342"/>
      <c r="DU40" s="342"/>
      <c r="DV40" s="342"/>
      <c r="DW40" s="342"/>
      <c r="DX40" s="342"/>
      <c r="DY40" s="342"/>
      <c r="DZ40" s="342"/>
      <c r="EA40" s="342"/>
      <c r="EB40" s="342"/>
      <c r="EC40" s="342"/>
      <c r="ED40" s="342"/>
      <c r="EE40" s="342"/>
      <c r="EF40" s="342"/>
      <c r="EG40" s="342"/>
      <c r="EH40" s="342"/>
      <c r="EI40" s="342"/>
      <c r="EJ40" s="342"/>
      <c r="EK40" s="342"/>
      <c r="EL40" s="342"/>
      <c r="EM40" s="342"/>
      <c r="EN40" s="342"/>
      <c r="EO40" s="342"/>
      <c r="EP40" s="342"/>
      <c r="EQ40" s="342"/>
      <c r="ER40" s="342"/>
      <c r="ES40" s="342"/>
      <c r="ET40" s="342"/>
      <c r="EU40" s="342"/>
      <c r="EV40" s="342"/>
      <c r="EW40" s="342"/>
      <c r="EX40" s="342"/>
      <c r="EY40" s="342"/>
      <c r="EZ40" s="342"/>
      <c r="FA40" s="342"/>
      <c r="FB40" s="342"/>
      <c r="FC40" s="342"/>
      <c r="FD40" s="342"/>
      <c r="FE40" s="342"/>
      <c r="FF40" s="342"/>
      <c r="FG40" s="342"/>
      <c r="FH40" s="342"/>
      <c r="FI40" s="342"/>
      <c r="FJ40" s="342"/>
      <c r="FK40" s="342"/>
      <c r="FL40" s="342"/>
      <c r="FM40" s="342"/>
      <c r="FN40" s="342"/>
      <c r="FO40" s="342"/>
      <c r="FP40" s="342"/>
      <c r="FQ40" s="342"/>
      <c r="FR40" s="342"/>
      <c r="FS40" s="342"/>
      <c r="FT40" s="342"/>
      <c r="FU40" s="342"/>
      <c r="FV40" s="342"/>
      <c r="FW40" s="342"/>
      <c r="FX40" s="342"/>
      <c r="FY40" s="342"/>
      <c r="FZ40" s="342"/>
      <c r="GA40" s="342"/>
      <c r="GB40" s="342"/>
      <c r="GC40" s="342"/>
      <c r="GD40" s="342"/>
      <c r="GE40" s="342"/>
      <c r="GF40" s="342"/>
      <c r="GG40" s="342"/>
      <c r="GH40" s="342"/>
      <c r="GI40" s="342"/>
      <c r="GJ40" s="342"/>
      <c r="GK40" s="342"/>
      <c r="GL40" s="342"/>
      <c r="GM40" s="342"/>
      <c r="GN40" s="342"/>
      <c r="GO40" s="342"/>
      <c r="GP40" s="342"/>
      <c r="GQ40" s="342"/>
      <c r="GR40" s="342"/>
      <c r="GS40" s="342"/>
      <c r="GT40" s="342"/>
      <c r="GU40" s="342"/>
      <c r="GV40" s="342"/>
      <c r="GW40" s="342"/>
      <c r="GX40" s="342"/>
      <c r="GY40" s="342"/>
      <c r="GZ40" s="342"/>
      <c r="HA40" s="342"/>
      <c r="HB40" s="342"/>
      <c r="HC40" s="342"/>
      <c r="HD40" s="342"/>
      <c r="HE40" s="342"/>
      <c r="HF40" s="342"/>
      <c r="HG40" s="342"/>
      <c r="HH40" s="342"/>
      <c r="HI40" s="342"/>
      <c r="HJ40" s="342"/>
      <c r="HK40" s="342"/>
    </row>
    <row r="41" spans="1:219" s="353" customFormat="1" ht="18.75" customHeight="1">
      <c r="A41" s="260">
        <v>472</v>
      </c>
      <c r="B41" s="254" t="s">
        <v>932</v>
      </c>
      <c r="C41" s="254" t="s">
        <v>1260</v>
      </c>
      <c r="D41" s="255">
        <v>39417</v>
      </c>
      <c r="E41" s="255">
        <v>39539</v>
      </c>
      <c r="F41" s="254" t="s">
        <v>1800</v>
      </c>
      <c r="G41" s="254" t="s">
        <v>1452</v>
      </c>
      <c r="H41" s="254" t="s">
        <v>1799</v>
      </c>
      <c r="I41" s="254" t="s">
        <v>2331</v>
      </c>
      <c r="J41" s="256">
        <v>2852</v>
      </c>
      <c r="K41" s="256">
        <v>58286</v>
      </c>
      <c r="L41" s="256">
        <v>58286</v>
      </c>
      <c r="M41" s="256">
        <v>58286</v>
      </c>
      <c r="N41" s="256">
        <v>20.436886395511923</v>
      </c>
      <c r="O41" s="256">
        <v>100</v>
      </c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88">
        <v>0</v>
      </c>
      <c r="AK41" s="256"/>
      <c r="AL41" s="256"/>
      <c r="AM41" s="256"/>
      <c r="AN41" s="288"/>
      <c r="AO41" s="288"/>
      <c r="AP41" s="288"/>
      <c r="AQ41" s="288"/>
      <c r="AR41" s="288"/>
      <c r="AS41" s="288"/>
      <c r="AT41" s="288"/>
      <c r="AU41" s="288"/>
      <c r="AV41" s="254" t="s">
        <v>1798</v>
      </c>
      <c r="AW41" s="254"/>
      <c r="AX41" s="254"/>
      <c r="AY41" s="254"/>
      <c r="AZ41" s="254"/>
      <c r="BA41" s="254"/>
      <c r="BB41" s="254"/>
      <c r="BC41" s="254"/>
      <c r="BD41" s="254"/>
      <c r="BE41" s="254"/>
      <c r="BF41" s="254"/>
      <c r="BG41" s="254"/>
      <c r="BH41" s="254"/>
      <c r="BI41" s="254"/>
      <c r="BJ41" s="254"/>
      <c r="BK41" s="254"/>
      <c r="BL41" s="254"/>
      <c r="BM41" s="254"/>
      <c r="BN41" s="254"/>
    </row>
    <row r="42" spans="1:219" s="259" customFormat="1" ht="21" customHeight="1">
      <c r="A42" s="260">
        <v>473</v>
      </c>
      <c r="B42" s="342" t="s">
        <v>485</v>
      </c>
      <c r="C42" s="342" t="s">
        <v>1299</v>
      </c>
      <c r="D42" s="317">
        <v>39142</v>
      </c>
      <c r="E42" s="317">
        <v>39417</v>
      </c>
      <c r="F42" s="342" t="s">
        <v>1467</v>
      </c>
      <c r="G42" s="254" t="s">
        <v>1450</v>
      </c>
      <c r="H42" s="342" t="s">
        <v>818</v>
      </c>
      <c r="I42" s="278" t="s">
        <v>2438</v>
      </c>
      <c r="J42" s="318">
        <v>60000</v>
      </c>
      <c r="K42" s="318">
        <v>2005707</v>
      </c>
      <c r="L42" s="318">
        <v>1512888</v>
      </c>
      <c r="M42" s="318">
        <v>1512888</v>
      </c>
      <c r="N42" s="256">
        <v>25.2148</v>
      </c>
      <c r="O42" s="318">
        <v>75</v>
      </c>
      <c r="P42" s="318">
        <v>50000</v>
      </c>
      <c r="Q42" s="318">
        <v>10000</v>
      </c>
      <c r="R42" s="318">
        <v>50000</v>
      </c>
      <c r="S42" s="318" t="s">
        <v>2</v>
      </c>
      <c r="T42" s="318">
        <v>40</v>
      </c>
      <c r="U42" s="318">
        <v>50000</v>
      </c>
      <c r="V42" s="318">
        <v>9500</v>
      </c>
      <c r="W42" s="318">
        <v>4829</v>
      </c>
      <c r="X42" s="349">
        <v>9.6579999999999999E-2</v>
      </c>
      <c r="Y42" s="318">
        <v>50000</v>
      </c>
      <c r="Z42" s="318" t="s">
        <v>75</v>
      </c>
      <c r="AA42" s="318">
        <v>50000</v>
      </c>
      <c r="AB42" s="318" t="s">
        <v>75</v>
      </c>
      <c r="AC42" s="318" t="s">
        <v>75</v>
      </c>
      <c r="AD42" s="318" t="s">
        <v>75</v>
      </c>
      <c r="AE42" s="318">
        <v>10000</v>
      </c>
      <c r="AF42" s="318" t="s">
        <v>75</v>
      </c>
      <c r="AG42" s="318" t="s">
        <v>75</v>
      </c>
      <c r="AH42" s="318" t="s">
        <v>75</v>
      </c>
      <c r="AI42" s="318" t="s">
        <v>75</v>
      </c>
      <c r="AJ42" s="301">
        <v>50000</v>
      </c>
      <c r="AK42" s="318" t="s">
        <v>75</v>
      </c>
      <c r="AL42" s="318" t="s">
        <v>75</v>
      </c>
      <c r="AM42" s="318"/>
      <c r="AN42" s="319"/>
      <c r="AO42" s="319" t="s">
        <v>75</v>
      </c>
      <c r="AP42" s="319" t="s">
        <v>75</v>
      </c>
      <c r="AQ42" s="319" t="s">
        <v>75</v>
      </c>
      <c r="AR42" s="319" t="s">
        <v>75</v>
      </c>
      <c r="AS42" s="319" t="s">
        <v>75</v>
      </c>
      <c r="AT42" s="319" t="s">
        <v>75</v>
      </c>
      <c r="AU42" s="319" t="s">
        <v>75</v>
      </c>
      <c r="AV42" s="359" t="s">
        <v>817</v>
      </c>
      <c r="AW42" s="342"/>
      <c r="AX42" s="342"/>
      <c r="AY42" s="342"/>
      <c r="AZ42" s="342"/>
      <c r="BA42" s="342"/>
      <c r="BB42" s="342"/>
      <c r="BC42" s="342"/>
      <c r="BD42" s="342"/>
      <c r="BE42" s="342"/>
      <c r="BF42" s="342"/>
      <c r="BG42" s="342"/>
      <c r="BH42" s="342"/>
      <c r="BI42" s="342"/>
      <c r="BJ42" s="342"/>
      <c r="BK42" s="342"/>
      <c r="BL42" s="342"/>
      <c r="BM42" s="342"/>
      <c r="BN42" s="342"/>
      <c r="BO42" s="254"/>
      <c r="BP42" s="254"/>
      <c r="BQ42" s="254"/>
      <c r="BR42" s="254"/>
      <c r="BS42" s="254"/>
      <c r="BT42" s="254"/>
      <c r="BU42" s="254"/>
      <c r="BV42" s="254"/>
      <c r="BW42" s="254"/>
      <c r="BX42" s="254"/>
      <c r="BY42" s="254"/>
      <c r="BZ42" s="254"/>
      <c r="CA42" s="254"/>
      <c r="CB42" s="254"/>
      <c r="CC42" s="254"/>
      <c r="CD42" s="254"/>
      <c r="CE42" s="254"/>
      <c r="CF42" s="254"/>
      <c r="CG42" s="254"/>
      <c r="CH42" s="254"/>
      <c r="CI42" s="254"/>
      <c r="CJ42" s="254"/>
      <c r="CK42" s="254"/>
      <c r="CL42" s="254"/>
      <c r="CM42" s="254"/>
      <c r="CN42" s="254"/>
      <c r="CO42" s="254"/>
      <c r="CP42" s="254"/>
      <c r="CQ42" s="254"/>
      <c r="CR42" s="254"/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/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54"/>
      <c r="FL42" s="254"/>
      <c r="FM42" s="254"/>
      <c r="FN42" s="254"/>
      <c r="FO42" s="254"/>
      <c r="FP42" s="254"/>
      <c r="FQ42" s="254"/>
      <c r="FR42" s="254"/>
      <c r="FS42" s="254"/>
      <c r="FT42" s="254"/>
      <c r="FU42" s="254"/>
      <c r="FV42" s="254"/>
      <c r="FW42" s="254"/>
      <c r="FX42" s="254"/>
      <c r="FY42" s="254"/>
      <c r="FZ42" s="254"/>
      <c r="GA42" s="254"/>
      <c r="GB42" s="254"/>
      <c r="GC42" s="254"/>
      <c r="GD42" s="254"/>
      <c r="GE42" s="254"/>
      <c r="GF42" s="254"/>
      <c r="GG42" s="254"/>
      <c r="GH42" s="254"/>
      <c r="GI42" s="254"/>
      <c r="GJ42" s="254"/>
      <c r="GK42" s="254"/>
      <c r="GL42" s="254"/>
      <c r="GM42" s="254"/>
      <c r="GN42" s="254"/>
      <c r="GO42" s="254"/>
      <c r="GP42" s="254"/>
      <c r="GQ42" s="254"/>
      <c r="GR42" s="254"/>
      <c r="GS42" s="254"/>
      <c r="GT42" s="254"/>
      <c r="GU42" s="254"/>
      <c r="GV42" s="254"/>
      <c r="GW42" s="254"/>
      <c r="GX42" s="254"/>
      <c r="GY42" s="254"/>
      <c r="GZ42" s="254"/>
      <c r="HA42" s="254"/>
      <c r="HB42" s="254"/>
      <c r="HC42" s="254"/>
      <c r="HD42" s="254"/>
      <c r="HE42" s="254"/>
      <c r="HF42" s="254"/>
      <c r="HG42" s="254"/>
      <c r="HH42" s="254"/>
      <c r="HI42" s="254"/>
      <c r="HJ42" s="254"/>
      <c r="HK42" s="254"/>
    </row>
    <row r="43" spans="1:219" s="259" customFormat="1" ht="15">
      <c r="A43" s="260">
        <v>474</v>
      </c>
      <c r="B43" s="259" t="s">
        <v>485</v>
      </c>
      <c r="C43" s="259" t="s">
        <v>1299</v>
      </c>
      <c r="D43" s="351">
        <v>39083</v>
      </c>
      <c r="E43" s="351">
        <v>39417</v>
      </c>
      <c r="F43" s="259" t="s">
        <v>1786</v>
      </c>
      <c r="G43" s="259" t="s">
        <v>1451</v>
      </c>
      <c r="H43" s="259" t="s">
        <v>1820</v>
      </c>
      <c r="I43" s="254" t="s">
        <v>2331</v>
      </c>
      <c r="J43" s="298">
        <v>2500</v>
      </c>
      <c r="K43" s="298">
        <v>98000</v>
      </c>
      <c r="L43" s="298">
        <v>98000</v>
      </c>
      <c r="M43" s="298">
        <v>42070</v>
      </c>
      <c r="N43" s="256">
        <v>16.827999999999999</v>
      </c>
      <c r="O43" s="298">
        <v>100</v>
      </c>
      <c r="P43" s="298">
        <v>4000</v>
      </c>
      <c r="Q43" s="298"/>
      <c r="R43" s="256">
        <v>4000</v>
      </c>
      <c r="S43" s="298"/>
      <c r="T43" s="298"/>
      <c r="U43" s="298">
        <v>1310</v>
      </c>
      <c r="V43" s="298" t="s">
        <v>66</v>
      </c>
      <c r="W43" s="298">
        <v>1841</v>
      </c>
      <c r="X43" s="349">
        <v>0.46024999999999999</v>
      </c>
      <c r="Y43" s="298"/>
      <c r="Z43" s="298"/>
      <c r="AA43" s="298"/>
      <c r="AB43" s="298"/>
      <c r="AC43" s="298"/>
      <c r="AD43" s="298"/>
      <c r="AE43" s="298">
        <v>1200</v>
      </c>
      <c r="AF43" s="298"/>
      <c r="AG43" s="298"/>
      <c r="AH43" s="298"/>
      <c r="AI43" s="298"/>
      <c r="AJ43" s="301">
        <v>0</v>
      </c>
      <c r="AK43" s="298"/>
      <c r="AL43" s="298"/>
      <c r="AM43" s="298"/>
      <c r="AN43" s="301"/>
      <c r="AO43" s="301"/>
      <c r="AP43" s="301"/>
      <c r="AQ43" s="301"/>
      <c r="AR43" s="301"/>
      <c r="AS43" s="301"/>
      <c r="AT43" s="301"/>
      <c r="AU43" s="301"/>
      <c r="AV43" s="352" t="s">
        <v>1819</v>
      </c>
      <c r="BN43" s="254"/>
      <c r="BO43" s="254"/>
      <c r="BP43" s="254"/>
      <c r="BQ43" s="254"/>
      <c r="BR43" s="254"/>
      <c r="BS43" s="254"/>
      <c r="BT43" s="254"/>
      <c r="BU43" s="254"/>
      <c r="BV43" s="254"/>
      <c r="BW43" s="254"/>
      <c r="BX43" s="254"/>
      <c r="BY43" s="254"/>
      <c r="BZ43" s="254"/>
      <c r="CA43" s="254"/>
      <c r="CB43" s="254"/>
      <c r="CC43" s="254"/>
      <c r="CD43" s="254"/>
      <c r="CE43" s="254"/>
      <c r="CF43" s="254"/>
      <c r="CG43" s="254"/>
      <c r="CH43" s="254"/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4"/>
      <c r="EU43" s="254"/>
      <c r="EV43" s="254"/>
      <c r="EW43" s="254"/>
      <c r="EX43" s="254"/>
      <c r="EY43" s="254"/>
      <c r="EZ43" s="254"/>
      <c r="FA43" s="254"/>
      <c r="FB43" s="254"/>
      <c r="FC43" s="254"/>
      <c r="FD43" s="254"/>
      <c r="FE43" s="254"/>
      <c r="FF43" s="254"/>
      <c r="FG43" s="254"/>
      <c r="FH43" s="254"/>
      <c r="FI43" s="254"/>
      <c r="FJ43" s="254"/>
      <c r="FK43" s="254"/>
      <c r="FL43" s="254"/>
      <c r="FM43" s="254"/>
      <c r="FN43" s="254"/>
      <c r="FO43" s="254"/>
      <c r="FP43" s="254"/>
      <c r="FQ43" s="254"/>
      <c r="FR43" s="254"/>
      <c r="FS43" s="254"/>
      <c r="FT43" s="254"/>
      <c r="FU43" s="254"/>
      <c r="FV43" s="254"/>
      <c r="FW43" s="254"/>
      <c r="FX43" s="254"/>
      <c r="FY43" s="254"/>
      <c r="FZ43" s="254"/>
      <c r="GA43" s="254"/>
      <c r="GB43" s="254"/>
      <c r="GC43" s="254"/>
      <c r="GD43" s="254"/>
      <c r="GE43" s="254"/>
      <c r="GF43" s="254"/>
      <c r="GG43" s="254"/>
      <c r="GH43" s="254"/>
      <c r="GI43" s="254"/>
      <c r="GJ43" s="254"/>
      <c r="GK43" s="254"/>
      <c r="GL43" s="254"/>
      <c r="GM43" s="254"/>
      <c r="GN43" s="254"/>
      <c r="GO43" s="254"/>
      <c r="GP43" s="254"/>
      <c r="GQ43" s="254"/>
      <c r="GR43" s="254"/>
      <c r="GS43" s="254"/>
      <c r="GT43" s="254"/>
      <c r="GU43" s="254"/>
      <c r="GV43" s="254"/>
      <c r="GW43" s="254"/>
      <c r="GX43" s="254"/>
      <c r="GY43" s="254"/>
      <c r="GZ43" s="254"/>
      <c r="HA43" s="254"/>
      <c r="HB43" s="254"/>
      <c r="HC43" s="254"/>
      <c r="HD43" s="254"/>
      <c r="HE43" s="254"/>
      <c r="HF43" s="254"/>
      <c r="HG43" s="254"/>
      <c r="HH43" s="254"/>
      <c r="HI43" s="254"/>
      <c r="HJ43" s="254"/>
      <c r="HK43" s="254"/>
    </row>
    <row r="44" spans="1:219" s="254" customFormat="1" ht="15">
      <c r="A44" s="260">
        <v>475</v>
      </c>
      <c r="B44" s="254" t="s">
        <v>140</v>
      </c>
      <c r="C44" s="254" t="s">
        <v>1299</v>
      </c>
      <c r="D44" s="255">
        <v>39083</v>
      </c>
      <c r="E44" s="255">
        <v>39539</v>
      </c>
      <c r="F44" s="254" t="s">
        <v>5</v>
      </c>
      <c r="G44" s="254" t="s">
        <v>1451</v>
      </c>
      <c r="H44" s="254" t="s">
        <v>1831</v>
      </c>
      <c r="I44" s="254" t="s">
        <v>2331</v>
      </c>
      <c r="J44" s="256">
        <v>11165</v>
      </c>
      <c r="K44" s="256">
        <v>88704</v>
      </c>
      <c r="L44" s="256">
        <v>78497</v>
      </c>
      <c r="M44" s="256">
        <v>78497</v>
      </c>
      <c r="N44" s="256">
        <v>7.0306314375279895</v>
      </c>
      <c r="O44" s="256">
        <v>88</v>
      </c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88">
        <v>0</v>
      </c>
      <c r="AK44" s="256"/>
      <c r="AL44" s="256"/>
      <c r="AM44" s="256"/>
      <c r="AN44" s="288"/>
      <c r="AO44" s="288"/>
      <c r="AP44" s="288"/>
      <c r="AQ44" s="288"/>
      <c r="AR44" s="288"/>
      <c r="AS44" s="288"/>
      <c r="AT44" s="288"/>
      <c r="AU44" s="288"/>
      <c r="AV44" s="254" t="s">
        <v>1830</v>
      </c>
    </row>
    <row r="45" spans="1:219" s="389" customFormat="1" ht="21" customHeight="1">
      <c r="A45" s="260">
        <v>476</v>
      </c>
      <c r="B45" s="259" t="s">
        <v>212</v>
      </c>
      <c r="C45" s="259" t="s">
        <v>1299</v>
      </c>
      <c r="D45" s="351">
        <v>39264</v>
      </c>
      <c r="E45" s="351">
        <v>39508</v>
      </c>
      <c r="F45" s="259" t="s">
        <v>5</v>
      </c>
      <c r="G45" s="259" t="s">
        <v>1451</v>
      </c>
      <c r="H45" s="259" t="s">
        <v>1822</v>
      </c>
      <c r="I45" s="254" t="s">
        <v>2331</v>
      </c>
      <c r="J45" s="298">
        <v>2500</v>
      </c>
      <c r="K45" s="298">
        <v>21117</v>
      </c>
      <c r="L45" s="298">
        <v>24605</v>
      </c>
      <c r="M45" s="298">
        <v>24605</v>
      </c>
      <c r="N45" s="256">
        <v>9.8420000000000005</v>
      </c>
      <c r="O45" s="298">
        <v>117</v>
      </c>
      <c r="P45" s="298"/>
      <c r="Q45" s="298"/>
      <c r="R45" s="256"/>
      <c r="S45" s="298" t="s">
        <v>2</v>
      </c>
      <c r="T45" s="298">
        <v>25</v>
      </c>
      <c r="U45" s="298">
        <v>12000</v>
      </c>
      <c r="V45" s="298">
        <v>5391</v>
      </c>
      <c r="W45" s="298">
        <v>6307.4699999999993</v>
      </c>
      <c r="X45" s="256"/>
      <c r="Y45" s="298"/>
      <c r="Z45" s="298"/>
      <c r="AA45" s="298"/>
      <c r="AB45" s="298"/>
      <c r="AC45" s="298"/>
      <c r="AD45" s="298"/>
      <c r="AE45" s="298">
        <v>500</v>
      </c>
      <c r="AF45" s="298"/>
      <c r="AG45" s="298"/>
      <c r="AH45" s="298"/>
      <c r="AI45" s="298"/>
      <c r="AJ45" s="301">
        <v>0</v>
      </c>
      <c r="AK45" s="298"/>
      <c r="AL45" s="298"/>
      <c r="AM45" s="298"/>
      <c r="AN45" s="301"/>
      <c r="AO45" s="301"/>
      <c r="AP45" s="301"/>
      <c r="AQ45" s="301"/>
      <c r="AR45" s="301"/>
      <c r="AS45" s="301"/>
      <c r="AT45" s="301"/>
      <c r="AU45" s="301"/>
      <c r="AV45" s="352" t="s">
        <v>1821</v>
      </c>
      <c r="AW45" s="259"/>
      <c r="AX45" s="259"/>
      <c r="AY45" s="259"/>
      <c r="AZ45" s="259"/>
      <c r="BA45" s="259"/>
      <c r="BB45" s="259"/>
      <c r="BC45" s="259"/>
      <c r="BD45" s="259"/>
      <c r="BE45" s="259"/>
      <c r="BF45" s="259"/>
      <c r="BG45" s="259"/>
      <c r="BH45" s="259"/>
      <c r="BI45" s="259"/>
      <c r="BJ45" s="259"/>
      <c r="BK45" s="259"/>
      <c r="BL45" s="259"/>
      <c r="BM45" s="259"/>
      <c r="BN45" s="254"/>
      <c r="BO45" s="254"/>
      <c r="BP45" s="254"/>
      <c r="BQ45" s="254"/>
      <c r="BR45" s="254"/>
      <c r="BS45" s="254"/>
      <c r="BT45" s="254"/>
      <c r="BU45" s="254"/>
      <c r="BV45" s="254"/>
      <c r="BW45" s="254"/>
      <c r="BX45" s="254"/>
      <c r="BY45" s="254"/>
      <c r="BZ45" s="254"/>
      <c r="CA45" s="254"/>
      <c r="CB45" s="254"/>
      <c r="CC45" s="254"/>
      <c r="CD45" s="254"/>
      <c r="CE45" s="254"/>
      <c r="CF45" s="254"/>
      <c r="CG45" s="254"/>
      <c r="CH45" s="254"/>
      <c r="CI45" s="254"/>
      <c r="CJ45" s="254"/>
      <c r="CK45" s="254"/>
      <c r="CL45" s="254"/>
      <c r="CM45" s="254"/>
      <c r="CN45" s="254"/>
      <c r="CO45" s="254"/>
      <c r="CP45" s="254"/>
      <c r="CQ45" s="254"/>
      <c r="CR45" s="254"/>
      <c r="CS45" s="254"/>
      <c r="CT45" s="254"/>
      <c r="CU45" s="254"/>
      <c r="CV45" s="254"/>
      <c r="CW45" s="254"/>
      <c r="CX45" s="254"/>
      <c r="CY45" s="254"/>
      <c r="CZ45" s="254"/>
      <c r="DA45" s="254"/>
      <c r="DB45" s="254"/>
      <c r="DC45" s="254"/>
      <c r="DD45" s="254"/>
      <c r="DE45" s="254"/>
      <c r="DF45" s="254"/>
      <c r="DG45" s="254"/>
      <c r="DH45" s="254"/>
      <c r="DI45" s="254"/>
      <c r="DJ45" s="254"/>
      <c r="DK45" s="254"/>
      <c r="DL45" s="254"/>
      <c r="DM45" s="254"/>
      <c r="DN45" s="254"/>
      <c r="DO45" s="254"/>
      <c r="DP45" s="254"/>
      <c r="DQ45" s="254"/>
      <c r="DR45" s="254"/>
      <c r="DS45" s="254"/>
      <c r="DT45" s="254"/>
      <c r="DU45" s="254"/>
      <c r="DV45" s="254"/>
      <c r="DW45" s="254"/>
      <c r="DX45" s="254"/>
      <c r="DY45" s="254"/>
      <c r="DZ45" s="254"/>
      <c r="EA45" s="254"/>
      <c r="EB45" s="254"/>
      <c r="EC45" s="254"/>
      <c r="ED45" s="254"/>
      <c r="EE45" s="254"/>
      <c r="EF45" s="254"/>
      <c r="EG45" s="254"/>
      <c r="EH45" s="254"/>
      <c r="EI45" s="254"/>
      <c r="EJ45" s="254"/>
      <c r="EK45" s="254"/>
      <c r="EL45" s="254"/>
      <c r="EM45" s="254"/>
      <c r="EN45" s="254"/>
      <c r="EO45" s="254"/>
      <c r="EP45" s="254"/>
      <c r="EQ45" s="254"/>
      <c r="ER45" s="254"/>
      <c r="ES45" s="254"/>
      <c r="ET45" s="254"/>
      <c r="EU45" s="254"/>
      <c r="EV45" s="254"/>
      <c r="EW45" s="254"/>
      <c r="EX45" s="254"/>
      <c r="EY45" s="254"/>
      <c r="EZ45" s="254"/>
      <c r="FA45" s="254"/>
      <c r="FB45" s="254"/>
      <c r="FC45" s="254"/>
      <c r="FD45" s="254"/>
      <c r="FE45" s="254"/>
      <c r="FF45" s="254"/>
      <c r="FG45" s="254"/>
      <c r="FH45" s="254"/>
      <c r="FI45" s="254"/>
      <c r="FJ45" s="254"/>
      <c r="FK45" s="254"/>
      <c r="FL45" s="254"/>
      <c r="FM45" s="254"/>
      <c r="FN45" s="254"/>
      <c r="FO45" s="254"/>
      <c r="FP45" s="254"/>
      <c r="FQ45" s="254"/>
      <c r="FR45" s="254"/>
      <c r="FS45" s="254"/>
      <c r="FT45" s="254"/>
      <c r="FU45" s="254"/>
      <c r="FV45" s="254"/>
      <c r="FW45" s="254"/>
      <c r="FX45" s="254"/>
      <c r="FY45" s="254"/>
      <c r="FZ45" s="254"/>
      <c r="GA45" s="254"/>
      <c r="GB45" s="254"/>
      <c r="GC45" s="254"/>
      <c r="GD45" s="254"/>
      <c r="GE45" s="254"/>
      <c r="GF45" s="254"/>
      <c r="GG45" s="254"/>
      <c r="GH45" s="254"/>
      <c r="GI45" s="254"/>
      <c r="GJ45" s="254"/>
      <c r="GK45" s="254"/>
      <c r="GL45" s="254"/>
      <c r="GM45" s="254"/>
      <c r="GN45" s="254"/>
      <c r="GO45" s="254"/>
      <c r="GP45" s="254"/>
      <c r="GQ45" s="254"/>
      <c r="GR45" s="254"/>
      <c r="GS45" s="254"/>
      <c r="GT45" s="254"/>
      <c r="GU45" s="254"/>
      <c r="GV45" s="254"/>
      <c r="GW45" s="254"/>
      <c r="GX45" s="254"/>
      <c r="GY45" s="254"/>
      <c r="GZ45" s="254"/>
      <c r="HA45" s="254"/>
      <c r="HB45" s="254"/>
      <c r="HC45" s="254"/>
      <c r="HD45" s="254"/>
      <c r="HE45" s="254"/>
      <c r="HF45" s="254"/>
      <c r="HG45" s="254"/>
      <c r="HH45" s="254"/>
      <c r="HI45" s="254"/>
      <c r="HJ45" s="254"/>
      <c r="HK45" s="254"/>
    </row>
    <row r="46" spans="1:219" s="259" customFormat="1" ht="15">
      <c r="A46" s="260">
        <v>477</v>
      </c>
      <c r="B46" s="254" t="s">
        <v>118</v>
      </c>
      <c r="C46" s="254" t="s">
        <v>1299</v>
      </c>
      <c r="D46" s="255">
        <v>39295</v>
      </c>
      <c r="E46" s="255">
        <v>39508</v>
      </c>
      <c r="F46" s="254" t="s">
        <v>5</v>
      </c>
      <c r="G46" s="254" t="s">
        <v>1451</v>
      </c>
      <c r="H46" s="254" t="s">
        <v>1829</v>
      </c>
      <c r="I46" s="254" t="s">
        <v>2331</v>
      </c>
      <c r="J46" s="256">
        <v>2500</v>
      </c>
      <c r="K46" s="256">
        <v>123911</v>
      </c>
      <c r="L46" s="256">
        <v>89595</v>
      </c>
      <c r="M46" s="256">
        <v>89595</v>
      </c>
      <c r="N46" s="256">
        <v>35.838000000000001</v>
      </c>
      <c r="O46" s="256">
        <v>72</v>
      </c>
      <c r="P46" s="256"/>
      <c r="Q46" s="256" t="s">
        <v>134</v>
      </c>
      <c r="R46" s="256"/>
      <c r="S46" s="256"/>
      <c r="T46" s="256"/>
      <c r="U46" s="256">
        <v>15000</v>
      </c>
      <c r="V46" s="256">
        <v>54510</v>
      </c>
      <c r="W46" s="256">
        <v>24684</v>
      </c>
      <c r="X46" s="256"/>
      <c r="Y46" s="256"/>
      <c r="Z46" s="256"/>
      <c r="AA46" s="256"/>
      <c r="AB46" s="256"/>
      <c r="AC46" s="256"/>
      <c r="AD46" s="256"/>
      <c r="AE46" s="256">
        <v>300</v>
      </c>
      <c r="AF46" s="256"/>
      <c r="AG46" s="256"/>
      <c r="AH46" s="256"/>
      <c r="AI46" s="256"/>
      <c r="AJ46" s="301">
        <v>0</v>
      </c>
      <c r="AK46" s="256"/>
      <c r="AL46" s="256"/>
      <c r="AM46" s="256"/>
      <c r="AN46" s="288"/>
      <c r="AO46" s="288"/>
      <c r="AP46" s="288"/>
      <c r="AQ46" s="288"/>
      <c r="AR46" s="288"/>
      <c r="AS46" s="288"/>
      <c r="AT46" s="288" t="s">
        <v>2</v>
      </c>
      <c r="AU46" s="288"/>
      <c r="AV46" s="254" t="s">
        <v>1828</v>
      </c>
      <c r="AW46" s="254"/>
      <c r="AX46" s="254"/>
      <c r="AY46" s="254"/>
      <c r="AZ46" s="254"/>
      <c r="BA46" s="254"/>
      <c r="BB46" s="254"/>
      <c r="BC46" s="254"/>
      <c r="BD46" s="254"/>
      <c r="BE46" s="254"/>
      <c r="BF46" s="254"/>
      <c r="BG46" s="254"/>
      <c r="BH46" s="254"/>
      <c r="BI46" s="254"/>
      <c r="BJ46" s="254"/>
      <c r="BK46" s="254"/>
      <c r="BL46" s="254"/>
      <c r="BM46" s="254"/>
      <c r="BN46" s="254"/>
      <c r="BO46" s="254"/>
      <c r="BP46" s="254"/>
      <c r="BQ46" s="254"/>
      <c r="BR46" s="254"/>
      <c r="BS46" s="254"/>
      <c r="BT46" s="254"/>
      <c r="BU46" s="254"/>
      <c r="BV46" s="254"/>
      <c r="BW46" s="254"/>
      <c r="BX46" s="254"/>
      <c r="BY46" s="254"/>
      <c r="BZ46" s="254"/>
      <c r="CA46" s="254"/>
      <c r="CB46" s="254"/>
      <c r="CC46" s="254"/>
      <c r="CD46" s="254"/>
      <c r="CE46" s="254"/>
      <c r="CF46" s="254"/>
      <c r="CG46" s="254"/>
      <c r="CH46" s="254"/>
      <c r="CI46" s="254"/>
      <c r="CJ46" s="254"/>
      <c r="CK46" s="254"/>
      <c r="CL46" s="254"/>
      <c r="CM46" s="254"/>
      <c r="CN46" s="254"/>
      <c r="CO46" s="254"/>
      <c r="CP46" s="254"/>
      <c r="CQ46" s="254"/>
      <c r="CR46" s="254"/>
      <c r="CS46" s="254"/>
      <c r="CT46" s="254"/>
      <c r="CU46" s="254"/>
      <c r="CV46" s="254"/>
      <c r="CW46" s="254"/>
      <c r="CX46" s="254"/>
      <c r="CY46" s="254"/>
      <c r="CZ46" s="254"/>
      <c r="DA46" s="254"/>
      <c r="DB46" s="254"/>
      <c r="DC46" s="254"/>
      <c r="DD46" s="254"/>
      <c r="DE46" s="254"/>
      <c r="DF46" s="254"/>
      <c r="DG46" s="254"/>
      <c r="DH46" s="254"/>
      <c r="DI46" s="254"/>
      <c r="DJ46" s="254"/>
      <c r="DK46" s="254"/>
      <c r="DL46" s="254"/>
      <c r="DM46" s="254"/>
      <c r="DN46" s="254"/>
      <c r="DO46" s="254"/>
      <c r="DP46" s="254"/>
      <c r="DQ46" s="254"/>
      <c r="DR46" s="254"/>
      <c r="DS46" s="254"/>
      <c r="DT46" s="254"/>
      <c r="DU46" s="254"/>
      <c r="DV46" s="254"/>
      <c r="DW46" s="254"/>
      <c r="DX46" s="254"/>
      <c r="DY46" s="254"/>
      <c r="DZ46" s="254"/>
      <c r="EA46" s="254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4"/>
      <c r="EU46" s="254"/>
      <c r="EV46" s="254"/>
      <c r="EW46" s="254"/>
      <c r="EX46" s="254"/>
      <c r="EY46" s="254"/>
      <c r="EZ46" s="254"/>
      <c r="FA46" s="254"/>
      <c r="FB46" s="254"/>
      <c r="FC46" s="254"/>
      <c r="FD46" s="254"/>
      <c r="FE46" s="254"/>
      <c r="FF46" s="254"/>
      <c r="FG46" s="254"/>
      <c r="FH46" s="254"/>
      <c r="FI46" s="254"/>
      <c r="FJ46" s="254"/>
      <c r="FK46" s="254"/>
      <c r="FL46" s="254"/>
      <c r="FM46" s="254"/>
      <c r="FN46" s="254"/>
      <c r="FO46" s="254"/>
      <c r="FP46" s="254"/>
      <c r="FQ46" s="254"/>
      <c r="FR46" s="254"/>
      <c r="FS46" s="254"/>
      <c r="FT46" s="254"/>
      <c r="FU46" s="254"/>
      <c r="FV46" s="254"/>
      <c r="FW46" s="254"/>
      <c r="FX46" s="254"/>
      <c r="FY46" s="254"/>
      <c r="FZ46" s="254"/>
      <c r="GA46" s="254"/>
      <c r="GB46" s="254"/>
      <c r="GC46" s="254"/>
      <c r="GD46" s="254"/>
      <c r="GE46" s="254"/>
      <c r="GF46" s="254"/>
      <c r="GG46" s="254"/>
      <c r="GH46" s="254"/>
      <c r="GI46" s="254"/>
      <c r="GJ46" s="254"/>
      <c r="GK46" s="254"/>
      <c r="GL46" s="254"/>
      <c r="GM46" s="254"/>
      <c r="GN46" s="254"/>
      <c r="GO46" s="254"/>
      <c r="GP46" s="254"/>
      <c r="GQ46" s="254"/>
      <c r="GR46" s="254"/>
      <c r="GS46" s="254"/>
      <c r="GT46" s="254"/>
      <c r="GU46" s="254"/>
      <c r="GV46" s="254"/>
      <c r="GW46" s="254"/>
      <c r="GX46" s="254"/>
      <c r="GY46" s="254"/>
      <c r="GZ46" s="254"/>
      <c r="HA46" s="254"/>
      <c r="HB46" s="254"/>
      <c r="HC46" s="254"/>
      <c r="HD46" s="254"/>
      <c r="HE46" s="254"/>
      <c r="HF46" s="254"/>
      <c r="HG46" s="254"/>
      <c r="HH46" s="254"/>
      <c r="HI46" s="254"/>
      <c r="HJ46" s="254"/>
      <c r="HK46" s="254"/>
    </row>
    <row r="47" spans="1:219" s="254" customFormat="1" ht="18" customHeight="1">
      <c r="A47" s="260">
        <v>478</v>
      </c>
      <c r="B47" s="254" t="s">
        <v>162</v>
      </c>
      <c r="C47" s="254" t="s">
        <v>1286</v>
      </c>
      <c r="D47" s="255">
        <v>39326</v>
      </c>
      <c r="E47" s="255">
        <v>39479</v>
      </c>
      <c r="F47" s="254" t="s">
        <v>5</v>
      </c>
      <c r="G47" s="254" t="s">
        <v>1451</v>
      </c>
      <c r="H47" s="254" t="s">
        <v>1833</v>
      </c>
      <c r="I47" s="254" t="s">
        <v>2331</v>
      </c>
      <c r="J47" s="256">
        <v>30000</v>
      </c>
      <c r="K47" s="256">
        <v>100000</v>
      </c>
      <c r="L47" s="256">
        <v>79600</v>
      </c>
      <c r="M47" s="256">
        <v>79600</v>
      </c>
      <c r="N47" s="256">
        <v>2.6533333333333333</v>
      </c>
      <c r="O47" s="256">
        <v>80</v>
      </c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88">
        <v>0</v>
      </c>
      <c r="AK47" s="256"/>
      <c r="AL47" s="256"/>
      <c r="AM47" s="256"/>
      <c r="AN47" s="288"/>
      <c r="AO47" s="288"/>
      <c r="AP47" s="288"/>
      <c r="AQ47" s="288"/>
      <c r="AR47" s="288"/>
      <c r="AS47" s="288"/>
      <c r="AT47" s="288"/>
      <c r="AU47" s="288"/>
      <c r="AV47" s="254" t="s">
        <v>1832</v>
      </c>
    </row>
    <row r="48" spans="1:219" s="254" customFormat="1" ht="20.25" customHeight="1">
      <c r="A48" s="260">
        <v>479</v>
      </c>
      <c r="B48" s="259" t="s">
        <v>162</v>
      </c>
      <c r="C48" s="254" t="s">
        <v>1286</v>
      </c>
      <c r="D48" s="351">
        <v>39387</v>
      </c>
      <c r="E48" s="351">
        <v>40148</v>
      </c>
      <c r="F48" s="259" t="s">
        <v>5</v>
      </c>
      <c r="G48" s="259" t="s">
        <v>1451</v>
      </c>
      <c r="H48" s="259" t="s">
        <v>1032</v>
      </c>
      <c r="I48" s="278" t="s">
        <v>2438</v>
      </c>
      <c r="J48" s="298">
        <v>44380</v>
      </c>
      <c r="K48" s="298">
        <v>1898880</v>
      </c>
      <c r="L48" s="298">
        <v>1898724</v>
      </c>
      <c r="M48" s="318">
        <v>1898021</v>
      </c>
      <c r="N48" s="256">
        <v>42.767485353762957</v>
      </c>
      <c r="O48" s="298">
        <v>100</v>
      </c>
      <c r="P48" s="298">
        <v>4800</v>
      </c>
      <c r="Q48" s="298"/>
      <c r="R48" s="256">
        <v>4800</v>
      </c>
      <c r="S48" s="298"/>
      <c r="T48" s="298">
        <v>25</v>
      </c>
      <c r="U48" s="298" t="s">
        <v>134</v>
      </c>
      <c r="V48" s="298">
        <v>8820</v>
      </c>
      <c r="W48" s="298">
        <v>20785</v>
      </c>
      <c r="X48" s="349">
        <v>4.3302083333333332</v>
      </c>
      <c r="Y48" s="298"/>
      <c r="Z48" s="298"/>
      <c r="AA48" s="318">
        <v>500000</v>
      </c>
      <c r="AB48" s="298">
        <v>24</v>
      </c>
      <c r="AC48" s="298"/>
      <c r="AD48" s="298"/>
      <c r="AE48" s="298">
        <v>25996</v>
      </c>
      <c r="AF48" s="298"/>
      <c r="AG48" s="298"/>
      <c r="AH48" s="298"/>
      <c r="AI48" s="298"/>
      <c r="AJ48" s="301">
        <v>500000</v>
      </c>
      <c r="AK48" s="298">
        <v>1365</v>
      </c>
      <c r="AL48" s="298">
        <v>1432</v>
      </c>
      <c r="AM48" s="318">
        <f t="shared" ref="AM48:AM49" si="4">AL48/AJ48</f>
        <v>2.8639999999999998E-3</v>
      </c>
      <c r="AN48" s="301"/>
      <c r="AO48" s="301"/>
      <c r="AP48" s="301"/>
      <c r="AQ48" s="301"/>
      <c r="AR48" s="301"/>
      <c r="AS48" s="301"/>
      <c r="AT48" s="301"/>
      <c r="AU48" s="301"/>
      <c r="AV48" s="259" t="s">
        <v>1033</v>
      </c>
      <c r="AW48" s="259"/>
      <c r="AX48" s="259"/>
      <c r="AY48" s="259"/>
      <c r="AZ48" s="259"/>
      <c r="BA48" s="259"/>
      <c r="BB48" s="259"/>
      <c r="BC48" s="259"/>
      <c r="BD48" s="259"/>
      <c r="BE48" s="259"/>
      <c r="BF48" s="259"/>
      <c r="BG48" s="259"/>
      <c r="BH48" s="259"/>
      <c r="BI48" s="259"/>
      <c r="BJ48" s="259"/>
      <c r="BK48" s="259"/>
      <c r="BL48" s="259"/>
      <c r="BM48" s="259"/>
    </row>
    <row r="49" spans="1:219" s="259" customFormat="1" ht="15.75" customHeight="1">
      <c r="A49" s="260">
        <v>480</v>
      </c>
      <c r="B49" s="347" t="s">
        <v>2405</v>
      </c>
      <c r="C49" s="266" t="s">
        <v>1278</v>
      </c>
      <c r="D49" s="317">
        <v>39173</v>
      </c>
      <c r="E49" s="317">
        <v>40148</v>
      </c>
      <c r="F49" s="266" t="s">
        <v>955</v>
      </c>
      <c r="G49" s="259" t="s">
        <v>1452</v>
      </c>
      <c r="H49" s="266" t="s">
        <v>956</v>
      </c>
      <c r="I49" s="278" t="s">
        <v>2438</v>
      </c>
      <c r="J49" s="318">
        <v>250000</v>
      </c>
      <c r="K49" s="318">
        <v>17144179</v>
      </c>
      <c r="L49" s="318">
        <v>14639256</v>
      </c>
      <c r="M49" s="318">
        <v>14576980</v>
      </c>
      <c r="N49" s="256">
        <v>58.307920000000003</v>
      </c>
      <c r="O49" s="318">
        <v>85</v>
      </c>
      <c r="P49" s="318"/>
      <c r="Q49" s="318"/>
      <c r="R49" s="318"/>
      <c r="S49" s="318"/>
      <c r="T49" s="318"/>
      <c r="U49" s="318"/>
      <c r="V49" s="318"/>
      <c r="W49" s="318"/>
      <c r="X49" s="318"/>
      <c r="Y49" s="318">
        <v>60678</v>
      </c>
      <c r="Z49" s="318">
        <v>11074</v>
      </c>
      <c r="AA49" s="318"/>
      <c r="AB49" s="318">
        <v>300</v>
      </c>
      <c r="AC49" s="318"/>
      <c r="AD49" s="318"/>
      <c r="AE49" s="318"/>
      <c r="AF49" s="318"/>
      <c r="AG49" s="318"/>
      <c r="AH49" s="318"/>
      <c r="AI49" s="318"/>
      <c r="AJ49" s="301">
        <v>11074</v>
      </c>
      <c r="AK49" s="318">
        <v>3091690</v>
      </c>
      <c r="AL49" s="318">
        <v>2451369</v>
      </c>
      <c r="AM49" s="318">
        <f t="shared" si="4"/>
        <v>221.36256095358496</v>
      </c>
      <c r="AN49" s="319"/>
      <c r="AO49" s="319"/>
      <c r="AP49" s="319"/>
      <c r="AQ49" s="319"/>
      <c r="AR49" s="319"/>
      <c r="AS49" s="319"/>
      <c r="AT49" s="319"/>
      <c r="AU49" s="319"/>
      <c r="AV49" s="320" t="s">
        <v>957</v>
      </c>
      <c r="AW49" s="266"/>
      <c r="AX49" s="266"/>
      <c r="AY49" s="266"/>
      <c r="AZ49" s="266"/>
      <c r="BA49" s="266"/>
      <c r="BB49" s="266"/>
      <c r="BC49" s="266"/>
      <c r="BD49" s="266"/>
      <c r="BE49" s="266"/>
      <c r="BF49" s="266"/>
      <c r="BG49" s="266"/>
      <c r="BH49" s="266"/>
      <c r="BI49" s="266"/>
      <c r="BJ49" s="266"/>
      <c r="BK49" s="266"/>
      <c r="BL49" s="266"/>
      <c r="BM49" s="266"/>
      <c r="BN49" s="266"/>
      <c r="BO49" s="254"/>
      <c r="BP49" s="254"/>
      <c r="BQ49" s="254"/>
      <c r="BR49" s="254"/>
      <c r="BS49" s="254"/>
      <c r="BT49" s="254"/>
      <c r="BU49" s="254"/>
      <c r="BV49" s="254"/>
      <c r="BW49" s="254"/>
      <c r="BX49" s="254"/>
      <c r="BY49" s="254"/>
      <c r="BZ49" s="254"/>
      <c r="CA49" s="254"/>
      <c r="CB49" s="254"/>
      <c r="CC49" s="254"/>
      <c r="CD49" s="254"/>
      <c r="CE49" s="254"/>
      <c r="CF49" s="254"/>
      <c r="CG49" s="254"/>
      <c r="CH49" s="254"/>
      <c r="CI49" s="254"/>
      <c r="CJ49" s="254"/>
      <c r="CK49" s="254"/>
      <c r="CL49" s="254"/>
      <c r="CM49" s="254"/>
      <c r="CN49" s="254"/>
      <c r="CO49" s="254"/>
      <c r="CP49" s="254"/>
      <c r="CQ49" s="254"/>
      <c r="CR49" s="254"/>
      <c r="CS49" s="254"/>
      <c r="CT49" s="254"/>
      <c r="CU49" s="254"/>
      <c r="CV49" s="254"/>
      <c r="CW49" s="254"/>
      <c r="CX49" s="254"/>
      <c r="CY49" s="254"/>
      <c r="CZ49" s="254"/>
      <c r="DA49" s="254"/>
      <c r="DB49" s="254"/>
      <c r="DC49" s="254"/>
      <c r="DD49" s="254"/>
      <c r="DE49" s="254"/>
      <c r="DF49" s="254"/>
      <c r="DG49" s="254"/>
      <c r="DH49" s="254"/>
      <c r="DI49" s="254"/>
      <c r="DJ49" s="254"/>
      <c r="DK49" s="254"/>
      <c r="DL49" s="254"/>
      <c r="DM49" s="254"/>
      <c r="DN49" s="254"/>
      <c r="DO49" s="254"/>
      <c r="DP49" s="254"/>
      <c r="DQ49" s="254"/>
      <c r="DR49" s="254"/>
      <c r="DS49" s="254"/>
      <c r="DT49" s="254"/>
      <c r="DU49" s="254"/>
      <c r="DV49" s="254"/>
      <c r="DW49" s="254"/>
      <c r="DX49" s="254"/>
      <c r="DY49" s="254"/>
      <c r="DZ49" s="254"/>
      <c r="EA49" s="254"/>
      <c r="EB49" s="254"/>
      <c r="EC49" s="254"/>
      <c r="ED49" s="254"/>
      <c r="EE49" s="254"/>
      <c r="EF49" s="254"/>
      <c r="EG49" s="254"/>
      <c r="EH49" s="254"/>
      <c r="EI49" s="254"/>
      <c r="EJ49" s="254"/>
      <c r="EK49" s="254"/>
      <c r="EL49" s="254"/>
      <c r="EM49" s="254"/>
      <c r="EN49" s="254"/>
      <c r="EO49" s="254"/>
      <c r="EP49" s="254"/>
      <c r="EQ49" s="254"/>
      <c r="ER49" s="254"/>
      <c r="ES49" s="254"/>
      <c r="ET49" s="254"/>
      <c r="EU49" s="254"/>
      <c r="EV49" s="254"/>
      <c r="EW49" s="254"/>
      <c r="EX49" s="254"/>
      <c r="EY49" s="254"/>
      <c r="EZ49" s="254"/>
      <c r="FA49" s="254"/>
      <c r="FB49" s="254"/>
      <c r="FC49" s="254"/>
      <c r="FD49" s="254"/>
      <c r="FE49" s="254"/>
      <c r="FF49" s="254"/>
      <c r="FG49" s="254"/>
      <c r="FH49" s="254"/>
      <c r="FI49" s="254"/>
      <c r="FJ49" s="254"/>
      <c r="FK49" s="254"/>
      <c r="FL49" s="254"/>
      <c r="FM49" s="254"/>
      <c r="FN49" s="254"/>
      <c r="FO49" s="254"/>
      <c r="FP49" s="254"/>
      <c r="FQ49" s="254"/>
      <c r="FR49" s="254"/>
      <c r="FS49" s="254"/>
      <c r="FT49" s="254"/>
      <c r="FU49" s="254"/>
      <c r="FV49" s="254"/>
      <c r="FW49" s="254"/>
      <c r="FX49" s="254"/>
      <c r="FY49" s="254"/>
      <c r="FZ49" s="254"/>
      <c r="GA49" s="254"/>
      <c r="GB49" s="254"/>
      <c r="GC49" s="254"/>
      <c r="GD49" s="254"/>
      <c r="GE49" s="254"/>
      <c r="GF49" s="254"/>
      <c r="GG49" s="254"/>
      <c r="GH49" s="254"/>
      <c r="GI49" s="254"/>
      <c r="GJ49" s="254"/>
      <c r="GK49" s="254"/>
      <c r="GL49" s="254"/>
      <c r="GM49" s="254"/>
      <c r="GN49" s="254"/>
      <c r="GO49" s="254"/>
      <c r="GP49" s="254"/>
      <c r="GQ49" s="254"/>
      <c r="GR49" s="254"/>
      <c r="GS49" s="254"/>
      <c r="GT49" s="254"/>
      <c r="GU49" s="254"/>
      <c r="GV49" s="254"/>
      <c r="GW49" s="254"/>
      <c r="GX49" s="254"/>
      <c r="GY49" s="254"/>
      <c r="GZ49" s="254"/>
      <c r="HA49" s="254"/>
      <c r="HB49" s="254"/>
      <c r="HC49" s="254"/>
      <c r="HD49" s="254"/>
      <c r="HE49" s="254"/>
      <c r="HF49" s="254"/>
      <c r="HG49" s="254"/>
      <c r="HH49" s="254"/>
      <c r="HI49" s="254"/>
      <c r="HJ49" s="254"/>
      <c r="HK49" s="254"/>
    </row>
    <row r="50" spans="1:219" s="259" customFormat="1" ht="15">
      <c r="A50" s="260">
        <v>481</v>
      </c>
      <c r="B50" s="259" t="s">
        <v>855</v>
      </c>
      <c r="C50" s="259" t="s">
        <v>1260</v>
      </c>
      <c r="D50" s="351">
        <v>39417</v>
      </c>
      <c r="E50" s="351">
        <v>39508</v>
      </c>
      <c r="F50" s="259" t="s">
        <v>5</v>
      </c>
      <c r="G50" s="259" t="s">
        <v>1451</v>
      </c>
      <c r="H50" s="259" t="s">
        <v>1815</v>
      </c>
      <c r="I50" s="254" t="s">
        <v>2331</v>
      </c>
      <c r="J50" s="298">
        <v>1086</v>
      </c>
      <c r="K50" s="298">
        <v>62578</v>
      </c>
      <c r="L50" s="298">
        <v>62578</v>
      </c>
      <c r="M50" s="298">
        <v>62417</v>
      </c>
      <c r="N50" s="256">
        <v>57.474217311233886</v>
      </c>
      <c r="O50" s="298">
        <v>100</v>
      </c>
      <c r="P50" s="298">
        <v>1086</v>
      </c>
      <c r="Q50" s="298">
        <v>1086</v>
      </c>
      <c r="R50" s="256">
        <v>1086</v>
      </c>
      <c r="S50" s="298"/>
      <c r="T50" s="298"/>
      <c r="U50" s="298">
        <v>1086</v>
      </c>
      <c r="V50" s="298">
        <v>2146</v>
      </c>
      <c r="W50" s="298">
        <v>2146</v>
      </c>
      <c r="X50" s="349">
        <v>1.9760589318600368</v>
      </c>
      <c r="Y50" s="298"/>
      <c r="Z50" s="298"/>
      <c r="AA50" s="298"/>
      <c r="AB50" s="298"/>
      <c r="AC50" s="298"/>
      <c r="AD50" s="298"/>
      <c r="AE50" s="298"/>
      <c r="AF50" s="298"/>
      <c r="AG50" s="298"/>
      <c r="AH50" s="298"/>
      <c r="AI50" s="298"/>
      <c r="AJ50" s="301">
        <v>0</v>
      </c>
      <c r="AK50" s="298"/>
      <c r="AL50" s="298"/>
      <c r="AM50" s="298"/>
      <c r="AN50" s="301"/>
      <c r="AO50" s="301"/>
      <c r="AP50" s="301"/>
      <c r="AQ50" s="301"/>
      <c r="AR50" s="301"/>
      <c r="AS50" s="301"/>
      <c r="AT50" s="301"/>
      <c r="AU50" s="301"/>
      <c r="AV50" s="259" t="s">
        <v>1814</v>
      </c>
      <c r="BN50" s="254"/>
      <c r="BO50" s="254"/>
      <c r="BP50" s="254"/>
      <c r="BQ50" s="254"/>
      <c r="BR50" s="254"/>
      <c r="BS50" s="254"/>
      <c r="BT50" s="254"/>
      <c r="BU50" s="254"/>
      <c r="BV50" s="254"/>
      <c r="BW50" s="254"/>
      <c r="BX50" s="254"/>
      <c r="BY50" s="254"/>
      <c r="BZ50" s="254"/>
      <c r="CA50" s="254"/>
      <c r="CB50" s="254"/>
      <c r="CC50" s="254"/>
      <c r="CD50" s="254"/>
      <c r="CE50" s="254"/>
      <c r="CF50" s="254"/>
      <c r="CG50" s="254"/>
      <c r="CH50" s="254"/>
      <c r="CI50" s="254"/>
      <c r="CJ50" s="254"/>
      <c r="CK50" s="254"/>
      <c r="CL50" s="254"/>
      <c r="CM50" s="254"/>
      <c r="CN50" s="254"/>
      <c r="CO50" s="254"/>
      <c r="CP50" s="254"/>
      <c r="CQ50" s="254"/>
      <c r="CR50" s="254"/>
      <c r="CS50" s="254"/>
      <c r="CT50" s="254"/>
      <c r="CU50" s="254"/>
      <c r="CV50" s="254"/>
      <c r="CW50" s="254"/>
      <c r="CX50" s="254"/>
      <c r="CY50" s="254"/>
      <c r="CZ50" s="254"/>
      <c r="DA50" s="254"/>
      <c r="DB50" s="254"/>
      <c r="DC50" s="254"/>
      <c r="DD50" s="254"/>
      <c r="DE50" s="254"/>
      <c r="DF50" s="254"/>
      <c r="DG50" s="254"/>
      <c r="DH50" s="254"/>
      <c r="DI50" s="254"/>
      <c r="DJ50" s="254"/>
      <c r="DK50" s="254"/>
      <c r="DL50" s="254"/>
      <c r="DM50" s="254"/>
      <c r="DN50" s="254"/>
      <c r="DO50" s="254"/>
      <c r="DP50" s="254"/>
      <c r="DQ50" s="254"/>
      <c r="DR50" s="254"/>
      <c r="DS50" s="254"/>
      <c r="DT50" s="254"/>
      <c r="DU50" s="254"/>
      <c r="DV50" s="254"/>
      <c r="DW50" s="254"/>
      <c r="DX50" s="254"/>
      <c r="DY50" s="254"/>
      <c r="DZ50" s="254"/>
      <c r="EA50" s="254"/>
      <c r="EB50" s="254"/>
      <c r="EC50" s="254"/>
      <c r="ED50" s="254"/>
      <c r="EE50" s="254"/>
      <c r="EF50" s="254"/>
      <c r="EG50" s="254"/>
      <c r="EH50" s="254"/>
      <c r="EI50" s="254"/>
      <c r="EJ50" s="254"/>
      <c r="EK50" s="254"/>
      <c r="EL50" s="254"/>
      <c r="EM50" s="254"/>
      <c r="EN50" s="254"/>
      <c r="EO50" s="254"/>
      <c r="EP50" s="254"/>
      <c r="EQ50" s="254"/>
      <c r="ER50" s="254"/>
      <c r="ES50" s="254"/>
      <c r="ET50" s="254"/>
      <c r="EU50" s="254"/>
      <c r="EV50" s="254"/>
      <c r="EW50" s="254"/>
      <c r="EX50" s="254"/>
      <c r="EY50" s="254"/>
      <c r="EZ50" s="254"/>
      <c r="FA50" s="254"/>
      <c r="FB50" s="254"/>
      <c r="FC50" s="254"/>
      <c r="FD50" s="254"/>
      <c r="FE50" s="254"/>
      <c r="FF50" s="254"/>
      <c r="FG50" s="254"/>
      <c r="FH50" s="254"/>
      <c r="FI50" s="254"/>
      <c r="FJ50" s="254"/>
      <c r="FK50" s="254"/>
      <c r="FL50" s="254"/>
      <c r="FM50" s="254"/>
      <c r="FN50" s="254"/>
      <c r="FO50" s="254"/>
      <c r="FP50" s="254"/>
      <c r="FQ50" s="254"/>
      <c r="FR50" s="254"/>
      <c r="FS50" s="254"/>
      <c r="FT50" s="254"/>
      <c r="FU50" s="254"/>
      <c r="FV50" s="254"/>
      <c r="FW50" s="254"/>
      <c r="FX50" s="254"/>
      <c r="FY50" s="254"/>
      <c r="FZ50" s="254"/>
      <c r="GA50" s="254"/>
      <c r="GB50" s="254"/>
      <c r="GC50" s="254"/>
      <c r="GD50" s="254"/>
      <c r="GE50" s="254"/>
      <c r="GF50" s="254"/>
      <c r="GG50" s="254"/>
      <c r="GH50" s="254"/>
      <c r="GI50" s="254"/>
      <c r="GJ50" s="254"/>
      <c r="GK50" s="254"/>
      <c r="GL50" s="254"/>
      <c r="GM50" s="254"/>
      <c r="GN50" s="254"/>
      <c r="GO50" s="254"/>
      <c r="GP50" s="254"/>
      <c r="GQ50" s="254"/>
      <c r="GR50" s="254"/>
      <c r="GS50" s="254"/>
      <c r="GT50" s="254"/>
      <c r="GU50" s="254"/>
      <c r="GV50" s="254"/>
      <c r="GW50" s="254"/>
      <c r="GX50" s="254"/>
      <c r="GY50" s="254"/>
      <c r="GZ50" s="254"/>
      <c r="HA50" s="254"/>
      <c r="HB50" s="254"/>
      <c r="HC50" s="254"/>
      <c r="HD50" s="254"/>
      <c r="HE50" s="254"/>
      <c r="HF50" s="254"/>
      <c r="HG50" s="254"/>
      <c r="HH50" s="254"/>
      <c r="HI50" s="254"/>
      <c r="HJ50" s="254"/>
      <c r="HK50" s="254"/>
    </row>
    <row r="51" spans="1:219" s="259" customFormat="1" ht="23.25" customHeight="1">
      <c r="A51" s="260">
        <v>482</v>
      </c>
      <c r="B51" s="261" t="s">
        <v>481</v>
      </c>
      <c r="C51" s="261" t="s">
        <v>1299</v>
      </c>
      <c r="D51" s="262">
        <v>39114</v>
      </c>
      <c r="E51" s="262">
        <v>39295</v>
      </c>
      <c r="F51" s="342" t="s">
        <v>590</v>
      </c>
      <c r="G51" s="259" t="s">
        <v>1458</v>
      </c>
      <c r="H51" s="261" t="s">
        <v>589</v>
      </c>
      <c r="I51" s="278" t="s">
        <v>2438</v>
      </c>
      <c r="J51" s="263">
        <v>100000</v>
      </c>
      <c r="K51" s="263">
        <v>20644994</v>
      </c>
      <c r="L51" s="263">
        <v>8545574</v>
      </c>
      <c r="M51" s="263">
        <v>8545574</v>
      </c>
      <c r="N51" s="256">
        <v>85.455740000000006</v>
      </c>
      <c r="O51" s="263">
        <v>41</v>
      </c>
      <c r="P51" s="263">
        <v>59000</v>
      </c>
      <c r="Q51" s="263">
        <v>45000</v>
      </c>
      <c r="R51" s="263">
        <v>59000</v>
      </c>
      <c r="S51" s="263" t="s">
        <v>94</v>
      </c>
      <c r="T51" s="263">
        <v>100</v>
      </c>
      <c r="U51" s="263">
        <v>45000</v>
      </c>
      <c r="V51" s="263">
        <v>1042789</v>
      </c>
      <c r="W51" s="263">
        <v>548226</v>
      </c>
      <c r="X51" s="349">
        <v>9.291966101694916</v>
      </c>
      <c r="Y51" s="263">
        <v>233748</v>
      </c>
      <c r="Z51" s="263" t="s">
        <v>339</v>
      </c>
      <c r="AA51" s="263">
        <v>219700</v>
      </c>
      <c r="AB51" s="263">
        <v>600</v>
      </c>
      <c r="AC51" s="263">
        <v>600</v>
      </c>
      <c r="AD51" s="263" t="s">
        <v>75</v>
      </c>
      <c r="AE51" s="263">
        <v>36000</v>
      </c>
      <c r="AF51" s="263" t="s">
        <v>75</v>
      </c>
      <c r="AG51" s="263">
        <v>35000</v>
      </c>
      <c r="AH51" s="263">
        <v>14500</v>
      </c>
      <c r="AI51" s="263" t="s">
        <v>75</v>
      </c>
      <c r="AJ51" s="301">
        <v>234200</v>
      </c>
      <c r="AK51" s="263">
        <v>766016</v>
      </c>
      <c r="AL51" s="263">
        <v>171808</v>
      </c>
      <c r="AM51" s="318">
        <f>AL51/AJ51</f>
        <v>0.73359521776259606</v>
      </c>
      <c r="AN51" s="264"/>
      <c r="AO51" s="264" t="s">
        <v>75</v>
      </c>
      <c r="AP51" s="264" t="s">
        <v>75</v>
      </c>
      <c r="AQ51" s="264" t="s">
        <v>75</v>
      </c>
      <c r="AR51" s="264" t="s">
        <v>75</v>
      </c>
      <c r="AS51" s="264">
        <v>1</v>
      </c>
      <c r="AT51" s="264" t="s">
        <v>75</v>
      </c>
      <c r="AU51" s="264" t="s">
        <v>75</v>
      </c>
      <c r="AV51" s="344" t="s">
        <v>588</v>
      </c>
      <c r="AW51" s="261"/>
      <c r="AX51" s="261"/>
      <c r="AY51" s="261"/>
      <c r="AZ51" s="261"/>
      <c r="BA51" s="261"/>
      <c r="BB51" s="261"/>
      <c r="BC51" s="261"/>
      <c r="BD51" s="261"/>
      <c r="BE51" s="261"/>
      <c r="BF51" s="261"/>
      <c r="BG51" s="261"/>
      <c r="BH51" s="261"/>
      <c r="BI51" s="261"/>
      <c r="BJ51" s="261"/>
      <c r="BK51" s="261"/>
      <c r="BL51" s="261"/>
      <c r="BM51" s="261"/>
      <c r="BN51" s="261"/>
      <c r="BO51" s="254"/>
      <c r="BP51" s="254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/>
      <c r="EU51" s="254"/>
      <c r="EV51" s="254"/>
      <c r="EW51" s="254"/>
      <c r="EX51" s="254"/>
      <c r="EY51" s="254"/>
      <c r="EZ51" s="254"/>
      <c r="FA51" s="254"/>
      <c r="FB51" s="254"/>
      <c r="FC51" s="254"/>
      <c r="FD51" s="254"/>
      <c r="FE51" s="254"/>
      <c r="FF51" s="254"/>
      <c r="FG51" s="254"/>
      <c r="FH51" s="254"/>
      <c r="FI51" s="254"/>
      <c r="FJ51" s="254"/>
      <c r="FK51" s="254"/>
      <c r="FL51" s="254"/>
      <c r="FM51" s="254"/>
      <c r="FN51" s="254"/>
      <c r="FO51" s="254"/>
      <c r="FP51" s="254"/>
      <c r="FQ51" s="254"/>
      <c r="FR51" s="254"/>
      <c r="FS51" s="254"/>
      <c r="FT51" s="254"/>
      <c r="FU51" s="254"/>
      <c r="FV51" s="254"/>
      <c r="FW51" s="254"/>
      <c r="FX51" s="254"/>
      <c r="FY51" s="254"/>
      <c r="FZ51" s="254"/>
      <c r="GA51" s="254"/>
      <c r="GB51" s="254"/>
      <c r="GC51" s="254"/>
      <c r="GD51" s="254"/>
      <c r="GE51" s="254"/>
      <c r="GF51" s="254"/>
      <c r="GG51" s="254"/>
      <c r="GH51" s="254"/>
      <c r="GI51" s="254"/>
      <c r="GJ51" s="254"/>
      <c r="GK51" s="254"/>
      <c r="GL51" s="254"/>
      <c r="GM51" s="254"/>
      <c r="GN51" s="254"/>
      <c r="GO51" s="254"/>
      <c r="GP51" s="254"/>
      <c r="GQ51" s="254"/>
      <c r="GR51" s="254"/>
      <c r="GS51" s="254"/>
      <c r="GT51" s="254"/>
      <c r="GU51" s="254"/>
      <c r="GV51" s="254"/>
      <c r="GW51" s="254"/>
      <c r="GX51" s="254"/>
      <c r="GY51" s="254"/>
      <c r="GZ51" s="254"/>
      <c r="HA51" s="254"/>
      <c r="HB51" s="254"/>
      <c r="HC51" s="254"/>
      <c r="HD51" s="254"/>
      <c r="HE51" s="254"/>
      <c r="HF51" s="254"/>
      <c r="HG51" s="254"/>
      <c r="HH51" s="254"/>
      <c r="HI51" s="254"/>
      <c r="HJ51" s="254"/>
      <c r="HK51" s="254"/>
    </row>
    <row r="52" spans="1:219" s="254" customFormat="1" ht="21" customHeight="1">
      <c r="A52" s="260">
        <v>483</v>
      </c>
      <c r="B52" s="342" t="s">
        <v>279</v>
      </c>
      <c r="C52" s="342" t="s">
        <v>1299</v>
      </c>
      <c r="D52" s="317">
        <v>39083</v>
      </c>
      <c r="E52" s="317">
        <v>39722</v>
      </c>
      <c r="F52" s="342" t="s">
        <v>826</v>
      </c>
      <c r="G52" s="254" t="s">
        <v>1451</v>
      </c>
      <c r="H52" s="342" t="s">
        <v>825</v>
      </c>
      <c r="I52" s="278" t="s">
        <v>2438</v>
      </c>
      <c r="J52" s="318">
        <v>15000</v>
      </c>
      <c r="K52" s="318">
        <v>877479</v>
      </c>
      <c r="L52" s="318">
        <v>434377</v>
      </c>
      <c r="M52" s="318">
        <v>434377</v>
      </c>
      <c r="N52" s="256">
        <v>28.958466666666666</v>
      </c>
      <c r="O52" s="318">
        <v>50</v>
      </c>
      <c r="P52" s="318">
        <v>15000</v>
      </c>
      <c r="Q52" s="318">
        <v>15000</v>
      </c>
      <c r="R52" s="318">
        <v>15000</v>
      </c>
      <c r="S52" s="318" t="s">
        <v>849</v>
      </c>
      <c r="T52" s="318">
        <v>20</v>
      </c>
      <c r="U52" s="318">
        <v>15000</v>
      </c>
      <c r="V52" s="318">
        <v>99965</v>
      </c>
      <c r="W52" s="318">
        <v>49983</v>
      </c>
      <c r="X52" s="349">
        <v>3.3321999999999998</v>
      </c>
      <c r="Y52" s="318">
        <v>15000</v>
      </c>
      <c r="Z52" s="318" t="s">
        <v>75</v>
      </c>
      <c r="AA52" s="318">
        <v>15000</v>
      </c>
      <c r="AB52" s="318">
        <v>52</v>
      </c>
      <c r="AC52" s="318" t="s">
        <v>75</v>
      </c>
      <c r="AD52" s="318" t="s">
        <v>75</v>
      </c>
      <c r="AE52" s="318">
        <v>383</v>
      </c>
      <c r="AF52" s="318" t="s">
        <v>75</v>
      </c>
      <c r="AG52" s="318" t="s">
        <v>75</v>
      </c>
      <c r="AH52" s="318" t="s">
        <v>75</v>
      </c>
      <c r="AI52" s="318" t="s">
        <v>75</v>
      </c>
      <c r="AJ52" s="288">
        <v>15000</v>
      </c>
      <c r="AK52" s="318" t="s">
        <v>75</v>
      </c>
      <c r="AL52" s="318" t="s">
        <v>75</v>
      </c>
      <c r="AM52" s="318"/>
      <c r="AN52" s="319"/>
      <c r="AO52" s="319" t="s">
        <v>75</v>
      </c>
      <c r="AP52" s="319" t="s">
        <v>75</v>
      </c>
      <c r="AQ52" s="319" t="s">
        <v>75</v>
      </c>
      <c r="AR52" s="319" t="s">
        <v>75</v>
      </c>
      <c r="AS52" s="319" t="s">
        <v>75</v>
      </c>
      <c r="AT52" s="319" t="s">
        <v>2</v>
      </c>
      <c r="AU52" s="319" t="s">
        <v>75</v>
      </c>
      <c r="AV52" s="359" t="s">
        <v>824</v>
      </c>
      <c r="AW52" s="342"/>
      <c r="AX52" s="342"/>
      <c r="AY52" s="342"/>
      <c r="AZ52" s="342"/>
      <c r="BA52" s="342"/>
      <c r="BB52" s="342"/>
      <c r="BC52" s="342"/>
      <c r="BD52" s="342"/>
      <c r="BE52" s="342"/>
      <c r="BF52" s="342"/>
      <c r="BG52" s="342"/>
      <c r="BH52" s="342"/>
      <c r="BI52" s="342"/>
      <c r="BJ52" s="342"/>
      <c r="BK52" s="342"/>
      <c r="BL52" s="342"/>
      <c r="BM52" s="342"/>
      <c r="BN52" s="342"/>
    </row>
    <row r="53" spans="1:219" s="389" customFormat="1" ht="45">
      <c r="A53" s="260">
        <v>484</v>
      </c>
      <c r="B53" s="261" t="s">
        <v>446</v>
      </c>
      <c r="C53" s="261" t="s">
        <v>1261</v>
      </c>
      <c r="D53" s="262">
        <v>39323</v>
      </c>
      <c r="E53" s="262">
        <v>39847</v>
      </c>
      <c r="F53" s="342" t="s">
        <v>599</v>
      </c>
      <c r="G53" s="254" t="s">
        <v>1451</v>
      </c>
      <c r="H53" s="261" t="s">
        <v>598</v>
      </c>
      <c r="I53" s="278" t="s">
        <v>2438</v>
      </c>
      <c r="J53" s="263">
        <v>150000</v>
      </c>
      <c r="K53" s="263">
        <v>2344464</v>
      </c>
      <c r="L53" s="263">
        <v>2171171</v>
      </c>
      <c r="M53" s="263">
        <v>2171171</v>
      </c>
      <c r="N53" s="256">
        <v>14.474473333333334</v>
      </c>
      <c r="O53" s="263">
        <v>93</v>
      </c>
      <c r="P53" s="263">
        <v>36755</v>
      </c>
      <c r="Q53" s="318">
        <v>35000</v>
      </c>
      <c r="R53" s="263">
        <v>36755</v>
      </c>
      <c r="S53" s="263" t="s">
        <v>95</v>
      </c>
      <c r="T53" s="263">
        <v>447</v>
      </c>
      <c r="U53" s="318">
        <v>35000</v>
      </c>
      <c r="V53" s="263" t="s">
        <v>75</v>
      </c>
      <c r="W53" s="263" t="s">
        <v>75</v>
      </c>
      <c r="X53" s="349"/>
      <c r="Y53" s="263" t="s">
        <v>75</v>
      </c>
      <c r="Z53" s="263" t="s">
        <v>75</v>
      </c>
      <c r="AA53" s="263" t="s">
        <v>75</v>
      </c>
      <c r="AB53" s="263">
        <v>250</v>
      </c>
      <c r="AC53" s="263" t="s">
        <v>75</v>
      </c>
      <c r="AD53" s="263" t="s">
        <v>75</v>
      </c>
      <c r="AE53" s="263" t="s">
        <v>75</v>
      </c>
      <c r="AF53" s="263" t="s">
        <v>75</v>
      </c>
      <c r="AG53" s="263" t="s">
        <v>75</v>
      </c>
      <c r="AH53" s="263" t="s">
        <v>75</v>
      </c>
      <c r="AI53" s="263" t="s">
        <v>75</v>
      </c>
      <c r="AJ53" s="301">
        <v>0</v>
      </c>
      <c r="AK53" s="263" t="s">
        <v>75</v>
      </c>
      <c r="AL53" s="263" t="s">
        <v>75</v>
      </c>
      <c r="AM53" s="263"/>
      <c r="AN53" s="264"/>
      <c r="AO53" s="264" t="s">
        <v>75</v>
      </c>
      <c r="AP53" s="264" t="s">
        <v>75</v>
      </c>
      <c r="AQ53" s="264" t="s">
        <v>75</v>
      </c>
      <c r="AR53" s="264" t="s">
        <v>75</v>
      </c>
      <c r="AS53" s="264" t="s">
        <v>75</v>
      </c>
      <c r="AT53" s="264" t="s">
        <v>75</v>
      </c>
      <c r="AU53" s="264" t="s">
        <v>75</v>
      </c>
      <c r="AV53" s="276" t="s">
        <v>642</v>
      </c>
      <c r="AW53" s="261"/>
      <c r="AX53" s="261"/>
      <c r="AY53" s="261"/>
      <c r="AZ53" s="261"/>
      <c r="BA53" s="261"/>
      <c r="BB53" s="261"/>
      <c r="BC53" s="261"/>
      <c r="BD53" s="261"/>
      <c r="BE53" s="261"/>
      <c r="BF53" s="261"/>
      <c r="BG53" s="261"/>
      <c r="BH53" s="261"/>
      <c r="BI53" s="261"/>
      <c r="BJ53" s="261"/>
      <c r="BK53" s="261"/>
      <c r="BL53" s="261"/>
      <c r="BM53" s="261"/>
      <c r="BN53" s="261"/>
      <c r="BO53" s="254"/>
      <c r="BP53" s="254"/>
      <c r="BQ53" s="254"/>
      <c r="BR53" s="254"/>
      <c r="BS53" s="254"/>
      <c r="BT53" s="254"/>
      <c r="BU53" s="254"/>
      <c r="BV53" s="254"/>
      <c r="BW53" s="254"/>
      <c r="BX53" s="254"/>
      <c r="BY53" s="254"/>
      <c r="BZ53" s="254"/>
      <c r="CA53" s="254"/>
      <c r="CB53" s="254"/>
      <c r="CC53" s="254"/>
      <c r="CD53" s="254"/>
      <c r="CE53" s="254"/>
      <c r="CF53" s="254"/>
      <c r="CG53" s="254"/>
      <c r="CH53" s="254"/>
      <c r="CI53" s="254"/>
      <c r="CJ53" s="254"/>
      <c r="CK53" s="254"/>
      <c r="CL53" s="254"/>
      <c r="CM53" s="254"/>
      <c r="CN53" s="254"/>
      <c r="CO53" s="254"/>
      <c r="CP53" s="254"/>
      <c r="CQ53" s="254"/>
      <c r="CR53" s="254"/>
      <c r="CS53" s="254"/>
      <c r="CT53" s="254"/>
      <c r="CU53" s="254"/>
      <c r="CV53" s="254"/>
      <c r="CW53" s="254"/>
      <c r="CX53" s="254"/>
      <c r="CY53" s="254"/>
      <c r="CZ53" s="254"/>
      <c r="DA53" s="254"/>
      <c r="DB53" s="254"/>
      <c r="DC53" s="254"/>
      <c r="DD53" s="254"/>
      <c r="DE53" s="254"/>
      <c r="DF53" s="254"/>
      <c r="DG53" s="254"/>
      <c r="DH53" s="254"/>
      <c r="DI53" s="254"/>
      <c r="DJ53" s="254"/>
      <c r="DK53" s="254"/>
      <c r="DL53" s="254"/>
      <c r="DM53" s="254"/>
      <c r="DN53" s="254"/>
      <c r="DO53" s="254"/>
      <c r="DP53" s="254"/>
      <c r="DQ53" s="254"/>
      <c r="DR53" s="254"/>
      <c r="DS53" s="254"/>
      <c r="DT53" s="254"/>
      <c r="DU53" s="254"/>
      <c r="DV53" s="254"/>
      <c r="DW53" s="254"/>
      <c r="DX53" s="254"/>
      <c r="DY53" s="254"/>
      <c r="DZ53" s="254"/>
      <c r="EA53" s="254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4"/>
      <c r="EU53" s="254"/>
      <c r="EV53" s="254"/>
      <c r="EW53" s="254"/>
      <c r="EX53" s="254"/>
      <c r="EY53" s="254"/>
      <c r="EZ53" s="254"/>
      <c r="FA53" s="254"/>
      <c r="FB53" s="254"/>
      <c r="FC53" s="254"/>
      <c r="FD53" s="254"/>
      <c r="FE53" s="254"/>
      <c r="FF53" s="254"/>
      <c r="FG53" s="254"/>
      <c r="FH53" s="254"/>
      <c r="FI53" s="254"/>
      <c r="FJ53" s="254"/>
      <c r="FK53" s="254"/>
      <c r="FL53" s="254"/>
      <c r="FM53" s="254"/>
      <c r="FN53" s="254"/>
      <c r="FO53" s="254"/>
      <c r="FP53" s="254"/>
      <c r="FQ53" s="254"/>
      <c r="FR53" s="254"/>
      <c r="FS53" s="254"/>
      <c r="FT53" s="254"/>
      <c r="FU53" s="254"/>
      <c r="FV53" s="254"/>
      <c r="FW53" s="254"/>
      <c r="FX53" s="254"/>
      <c r="FY53" s="254"/>
      <c r="FZ53" s="254"/>
      <c r="GA53" s="254"/>
      <c r="GB53" s="254"/>
      <c r="GC53" s="254"/>
      <c r="GD53" s="254"/>
      <c r="GE53" s="254"/>
      <c r="GF53" s="254"/>
      <c r="GG53" s="254"/>
      <c r="GH53" s="254"/>
      <c r="GI53" s="254"/>
      <c r="GJ53" s="254"/>
      <c r="GK53" s="254"/>
      <c r="GL53" s="254"/>
      <c r="GM53" s="254"/>
      <c r="GN53" s="254"/>
      <c r="GO53" s="254"/>
      <c r="GP53" s="254"/>
      <c r="GQ53" s="254"/>
      <c r="GR53" s="254"/>
      <c r="GS53" s="254"/>
      <c r="GT53" s="254"/>
      <c r="GU53" s="254"/>
      <c r="GV53" s="254"/>
      <c r="GW53" s="254"/>
      <c r="GX53" s="254"/>
      <c r="GY53" s="254"/>
      <c r="GZ53" s="254"/>
      <c r="HA53" s="254"/>
      <c r="HB53" s="254"/>
      <c r="HC53" s="254"/>
      <c r="HD53" s="254"/>
      <c r="HE53" s="254"/>
      <c r="HF53" s="254"/>
      <c r="HG53" s="254"/>
      <c r="HH53" s="254"/>
      <c r="HI53" s="254"/>
      <c r="HJ53" s="254"/>
      <c r="HK53" s="254"/>
    </row>
    <row r="54" spans="1:219" s="259" customFormat="1" ht="24" customHeight="1">
      <c r="A54" s="260">
        <v>485</v>
      </c>
      <c r="B54" s="342" t="s">
        <v>97</v>
      </c>
      <c r="C54" s="342" t="s">
        <v>1299</v>
      </c>
      <c r="D54" s="317">
        <v>39114</v>
      </c>
      <c r="E54" s="317">
        <v>39539</v>
      </c>
      <c r="F54" s="342" t="s">
        <v>1470</v>
      </c>
      <c r="G54" s="254" t="s">
        <v>1453</v>
      </c>
      <c r="H54" s="342" t="s">
        <v>770</v>
      </c>
      <c r="I54" s="254" t="s">
        <v>2331</v>
      </c>
      <c r="J54" s="318">
        <v>3000</v>
      </c>
      <c r="K54" s="318">
        <v>48800</v>
      </c>
      <c r="L54" s="318">
        <v>44877</v>
      </c>
      <c r="M54" s="318">
        <v>44877</v>
      </c>
      <c r="N54" s="256">
        <v>14.959</v>
      </c>
      <c r="O54" s="318">
        <v>92</v>
      </c>
      <c r="P54" s="318" t="s">
        <v>75</v>
      </c>
      <c r="Q54" s="318" t="s">
        <v>75</v>
      </c>
      <c r="R54" s="318" t="s">
        <v>75</v>
      </c>
      <c r="S54" s="318" t="s">
        <v>849</v>
      </c>
      <c r="T54" s="318" t="s">
        <v>75</v>
      </c>
      <c r="U54" s="318" t="s">
        <v>75</v>
      </c>
      <c r="V54" s="318">
        <v>4400</v>
      </c>
      <c r="W54" s="318">
        <v>4048</v>
      </c>
      <c r="X54" s="318"/>
      <c r="Y54" s="318" t="s">
        <v>75</v>
      </c>
      <c r="Z54" s="318" t="s">
        <v>75</v>
      </c>
      <c r="AA54" s="318" t="s">
        <v>75</v>
      </c>
      <c r="AB54" s="318">
        <v>20</v>
      </c>
      <c r="AC54" s="318">
        <v>20</v>
      </c>
      <c r="AD54" s="318" t="s">
        <v>75</v>
      </c>
      <c r="AE54" s="318" t="s">
        <v>75</v>
      </c>
      <c r="AF54" s="318" t="s">
        <v>75</v>
      </c>
      <c r="AG54" s="318" t="s">
        <v>75</v>
      </c>
      <c r="AH54" s="318" t="s">
        <v>75</v>
      </c>
      <c r="AI54" s="318" t="s">
        <v>75</v>
      </c>
      <c r="AJ54" s="301">
        <v>0</v>
      </c>
      <c r="AK54" s="318">
        <v>200</v>
      </c>
      <c r="AL54" s="318">
        <v>184</v>
      </c>
      <c r="AM54" s="318"/>
      <c r="AN54" s="319"/>
      <c r="AO54" s="319" t="s">
        <v>75</v>
      </c>
      <c r="AP54" s="319" t="s">
        <v>75</v>
      </c>
      <c r="AQ54" s="319" t="s">
        <v>75</v>
      </c>
      <c r="AR54" s="319" t="s">
        <v>75</v>
      </c>
      <c r="AS54" s="319" t="s">
        <v>75</v>
      </c>
      <c r="AT54" s="319" t="s">
        <v>75</v>
      </c>
      <c r="AU54" s="319" t="s">
        <v>75</v>
      </c>
      <c r="AV54" s="359" t="s">
        <v>769</v>
      </c>
      <c r="AW54" s="342"/>
      <c r="AX54" s="342"/>
      <c r="AY54" s="342"/>
      <c r="AZ54" s="342"/>
      <c r="BA54" s="342"/>
      <c r="BB54" s="342"/>
      <c r="BC54" s="342"/>
      <c r="BD54" s="342"/>
      <c r="BE54" s="342"/>
      <c r="BF54" s="342"/>
      <c r="BG54" s="342"/>
      <c r="BH54" s="342"/>
      <c r="BI54" s="342"/>
      <c r="BJ54" s="342"/>
      <c r="BK54" s="342"/>
      <c r="BL54" s="342"/>
      <c r="BM54" s="342"/>
      <c r="BN54" s="342"/>
      <c r="BO54" s="254"/>
      <c r="BP54" s="254"/>
      <c r="BQ54" s="254"/>
      <c r="BR54" s="254"/>
      <c r="BS54" s="254"/>
      <c r="BT54" s="254"/>
      <c r="BU54" s="254"/>
      <c r="BV54" s="254"/>
      <c r="BW54" s="254"/>
      <c r="BX54" s="254"/>
      <c r="BY54" s="254"/>
      <c r="BZ54" s="254"/>
      <c r="CA54" s="254"/>
      <c r="CB54" s="254"/>
      <c r="CC54" s="254"/>
      <c r="CD54" s="254"/>
      <c r="CE54" s="254"/>
      <c r="CF54" s="254"/>
      <c r="CG54" s="254"/>
      <c r="CH54" s="254"/>
      <c r="CI54" s="254"/>
      <c r="CJ54" s="254"/>
      <c r="CK54" s="254"/>
      <c r="CL54" s="254"/>
      <c r="CM54" s="254"/>
      <c r="CN54" s="254"/>
      <c r="CO54" s="254"/>
      <c r="CP54" s="254"/>
      <c r="CQ54" s="254"/>
      <c r="CR54" s="254"/>
      <c r="CS54" s="254"/>
      <c r="CT54" s="254"/>
      <c r="CU54" s="254"/>
      <c r="CV54" s="254"/>
      <c r="CW54" s="254"/>
      <c r="CX54" s="254"/>
      <c r="CY54" s="254"/>
      <c r="CZ54" s="254"/>
      <c r="DA54" s="254"/>
      <c r="DB54" s="254"/>
      <c r="DC54" s="254"/>
      <c r="DD54" s="254"/>
      <c r="DE54" s="254"/>
      <c r="DF54" s="254"/>
      <c r="DG54" s="254"/>
      <c r="DH54" s="254"/>
      <c r="DI54" s="254"/>
      <c r="DJ54" s="254"/>
      <c r="DK54" s="254"/>
      <c r="DL54" s="254"/>
      <c r="DM54" s="254"/>
      <c r="DN54" s="254"/>
      <c r="DO54" s="254"/>
      <c r="DP54" s="254"/>
      <c r="DQ54" s="254"/>
      <c r="DR54" s="254"/>
      <c r="DS54" s="254"/>
      <c r="DT54" s="254"/>
      <c r="DU54" s="254"/>
      <c r="DV54" s="254"/>
      <c r="DW54" s="254"/>
      <c r="DX54" s="254"/>
      <c r="DY54" s="254"/>
      <c r="DZ54" s="254"/>
      <c r="EA54" s="254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4"/>
      <c r="EU54" s="254"/>
      <c r="EV54" s="254"/>
      <c r="EW54" s="254"/>
      <c r="EX54" s="254"/>
      <c r="EY54" s="254"/>
      <c r="EZ54" s="254"/>
      <c r="FA54" s="254"/>
      <c r="FB54" s="254"/>
      <c r="FC54" s="254"/>
      <c r="FD54" s="254"/>
      <c r="FE54" s="254"/>
      <c r="FF54" s="254"/>
      <c r="FG54" s="254"/>
      <c r="FH54" s="254"/>
      <c r="FI54" s="254"/>
      <c r="FJ54" s="254"/>
      <c r="FK54" s="254"/>
      <c r="FL54" s="254"/>
      <c r="FM54" s="254"/>
      <c r="FN54" s="254"/>
      <c r="FO54" s="254"/>
      <c r="FP54" s="254"/>
      <c r="FQ54" s="254"/>
      <c r="FR54" s="254"/>
      <c r="FS54" s="254"/>
      <c r="FT54" s="254"/>
      <c r="FU54" s="254"/>
      <c r="FV54" s="254"/>
      <c r="FW54" s="254"/>
      <c r="FX54" s="254"/>
      <c r="FY54" s="254"/>
      <c r="FZ54" s="254"/>
      <c r="GA54" s="254"/>
      <c r="GB54" s="254"/>
      <c r="GC54" s="254"/>
      <c r="GD54" s="254"/>
      <c r="GE54" s="254"/>
      <c r="GF54" s="254"/>
      <c r="GG54" s="254"/>
      <c r="GH54" s="254"/>
      <c r="GI54" s="254"/>
      <c r="GJ54" s="254"/>
      <c r="GK54" s="254"/>
      <c r="GL54" s="254"/>
      <c r="GM54" s="254"/>
      <c r="GN54" s="254"/>
      <c r="GO54" s="254"/>
      <c r="GP54" s="254"/>
      <c r="GQ54" s="254"/>
      <c r="GR54" s="254"/>
      <c r="GS54" s="254"/>
      <c r="GT54" s="254"/>
      <c r="GU54" s="254"/>
      <c r="GV54" s="254"/>
      <c r="GW54" s="254"/>
      <c r="GX54" s="254"/>
      <c r="GY54" s="254"/>
      <c r="GZ54" s="254"/>
      <c r="HA54" s="254"/>
      <c r="HB54" s="254"/>
      <c r="HC54" s="254"/>
      <c r="HD54" s="254"/>
      <c r="HE54" s="254"/>
      <c r="HF54" s="254"/>
      <c r="HG54" s="254"/>
      <c r="HH54" s="254"/>
      <c r="HI54" s="254"/>
      <c r="HJ54" s="254"/>
      <c r="HK54" s="254"/>
    </row>
    <row r="55" spans="1:219" s="389" customFormat="1" ht="15">
      <c r="A55" s="260">
        <v>486</v>
      </c>
      <c r="B55" s="259" t="s">
        <v>1816</v>
      </c>
      <c r="C55" s="254" t="s">
        <v>1299</v>
      </c>
      <c r="D55" s="351">
        <v>39295</v>
      </c>
      <c r="E55" s="351">
        <v>39539</v>
      </c>
      <c r="F55" s="259" t="s">
        <v>5</v>
      </c>
      <c r="G55" s="259" t="s">
        <v>1451</v>
      </c>
      <c r="H55" s="259" t="s">
        <v>1857</v>
      </c>
      <c r="I55" s="254" t="s">
        <v>2331</v>
      </c>
      <c r="J55" s="298">
        <v>2500</v>
      </c>
      <c r="K55" s="298">
        <v>69941</v>
      </c>
      <c r="L55" s="298">
        <v>54222</v>
      </c>
      <c r="M55" s="298">
        <v>54222</v>
      </c>
      <c r="N55" s="256">
        <v>21.688800000000001</v>
      </c>
      <c r="O55" s="298">
        <v>78</v>
      </c>
      <c r="P55" s="298"/>
      <c r="Q55" s="298"/>
      <c r="R55" s="256"/>
      <c r="S55" s="298"/>
      <c r="T55" s="298"/>
      <c r="U55" s="298"/>
      <c r="V55" s="298">
        <v>1250</v>
      </c>
      <c r="W55" s="298">
        <v>975</v>
      </c>
      <c r="X55" s="256"/>
      <c r="Y55" s="298"/>
      <c r="Z55" s="298"/>
      <c r="AA55" s="298"/>
      <c r="AB55" s="298"/>
      <c r="AC55" s="298"/>
      <c r="AD55" s="298"/>
      <c r="AE55" s="298">
        <v>1500</v>
      </c>
      <c r="AF55" s="298"/>
      <c r="AG55" s="298"/>
      <c r="AH55" s="298"/>
      <c r="AI55" s="298"/>
      <c r="AJ55" s="301">
        <v>0</v>
      </c>
      <c r="AK55" s="298" t="s">
        <v>66</v>
      </c>
      <c r="AL55" s="298" t="s">
        <v>66</v>
      </c>
      <c r="AM55" s="298"/>
      <c r="AN55" s="301"/>
      <c r="AO55" s="301"/>
      <c r="AP55" s="301"/>
      <c r="AQ55" s="301"/>
      <c r="AR55" s="301"/>
      <c r="AS55" s="301"/>
      <c r="AT55" s="301"/>
      <c r="AU55" s="301"/>
      <c r="AV55" s="259" t="s">
        <v>1856</v>
      </c>
      <c r="AW55" s="259"/>
      <c r="AX55" s="259"/>
      <c r="AY55" s="259"/>
      <c r="AZ55" s="259"/>
      <c r="BA55" s="259"/>
      <c r="BB55" s="259"/>
      <c r="BC55" s="259"/>
      <c r="BD55" s="259"/>
      <c r="BE55" s="259"/>
      <c r="BF55" s="259"/>
      <c r="BG55" s="259"/>
      <c r="BH55" s="259"/>
      <c r="BI55" s="259"/>
      <c r="BJ55" s="259"/>
      <c r="BK55" s="259"/>
      <c r="BL55" s="259"/>
      <c r="BM55" s="259"/>
      <c r="BN55" s="254"/>
      <c r="BO55" s="254"/>
      <c r="BP55" s="254"/>
      <c r="BQ55" s="254"/>
      <c r="BR55" s="254"/>
      <c r="BS55" s="254"/>
      <c r="BT55" s="254"/>
      <c r="BU55" s="254"/>
      <c r="BV55" s="254"/>
      <c r="BW55" s="254"/>
      <c r="BX55" s="254"/>
      <c r="BY55" s="254"/>
      <c r="BZ55" s="254"/>
      <c r="CA55" s="254"/>
      <c r="CB55" s="254"/>
      <c r="CC55" s="254"/>
      <c r="CD55" s="254"/>
      <c r="CE55" s="254"/>
      <c r="CF55" s="254"/>
      <c r="CG55" s="254"/>
      <c r="CH55" s="254"/>
      <c r="CI55" s="254"/>
      <c r="CJ55" s="254"/>
      <c r="CK55" s="254"/>
      <c r="CL55" s="254"/>
      <c r="CM55" s="254"/>
      <c r="CN55" s="254"/>
      <c r="CO55" s="254"/>
      <c r="CP55" s="254"/>
      <c r="CQ55" s="254"/>
      <c r="CR55" s="254"/>
      <c r="CS55" s="254"/>
      <c r="CT55" s="254"/>
      <c r="CU55" s="254"/>
      <c r="CV55" s="254"/>
      <c r="CW55" s="254"/>
      <c r="CX55" s="254"/>
      <c r="CY55" s="254"/>
      <c r="CZ55" s="254"/>
      <c r="DA55" s="254"/>
      <c r="DB55" s="254"/>
      <c r="DC55" s="254"/>
      <c r="DD55" s="254"/>
      <c r="DE55" s="254"/>
      <c r="DF55" s="254"/>
      <c r="DG55" s="254"/>
      <c r="DH55" s="254"/>
      <c r="DI55" s="254"/>
      <c r="DJ55" s="254"/>
      <c r="DK55" s="254"/>
      <c r="DL55" s="254"/>
      <c r="DM55" s="254"/>
      <c r="DN55" s="254"/>
      <c r="DO55" s="254"/>
      <c r="DP55" s="254"/>
      <c r="DQ55" s="254"/>
      <c r="DR55" s="254"/>
      <c r="DS55" s="254"/>
      <c r="DT55" s="254"/>
      <c r="DU55" s="254"/>
      <c r="DV55" s="254"/>
      <c r="DW55" s="254"/>
      <c r="DX55" s="254"/>
      <c r="DY55" s="254"/>
      <c r="DZ55" s="254"/>
      <c r="EA55" s="254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4"/>
      <c r="EU55" s="254"/>
      <c r="EV55" s="254"/>
      <c r="EW55" s="254"/>
      <c r="EX55" s="254"/>
      <c r="EY55" s="254"/>
      <c r="EZ55" s="254"/>
      <c r="FA55" s="254"/>
      <c r="FB55" s="254"/>
      <c r="FC55" s="254"/>
      <c r="FD55" s="254"/>
      <c r="FE55" s="254"/>
      <c r="FF55" s="254"/>
      <c r="FG55" s="254"/>
      <c r="FH55" s="254"/>
      <c r="FI55" s="254"/>
      <c r="FJ55" s="254"/>
      <c r="FK55" s="254"/>
      <c r="FL55" s="254"/>
      <c r="FM55" s="254"/>
      <c r="FN55" s="254"/>
      <c r="FO55" s="254"/>
      <c r="FP55" s="254"/>
      <c r="FQ55" s="254"/>
      <c r="FR55" s="254"/>
      <c r="FS55" s="254"/>
      <c r="FT55" s="254"/>
      <c r="FU55" s="254"/>
      <c r="FV55" s="254"/>
      <c r="FW55" s="254"/>
      <c r="FX55" s="254"/>
      <c r="FY55" s="254"/>
      <c r="FZ55" s="254"/>
      <c r="GA55" s="254"/>
      <c r="GB55" s="254"/>
      <c r="GC55" s="254"/>
      <c r="GD55" s="254"/>
      <c r="GE55" s="254"/>
      <c r="GF55" s="254"/>
      <c r="GG55" s="254"/>
      <c r="GH55" s="254"/>
      <c r="GI55" s="254"/>
      <c r="GJ55" s="254"/>
      <c r="GK55" s="254"/>
      <c r="GL55" s="254"/>
      <c r="GM55" s="254"/>
      <c r="GN55" s="254"/>
      <c r="GO55" s="254"/>
      <c r="GP55" s="254"/>
      <c r="GQ55" s="254"/>
      <c r="GR55" s="254"/>
      <c r="GS55" s="254"/>
      <c r="GT55" s="254"/>
      <c r="GU55" s="254"/>
      <c r="GV55" s="254"/>
      <c r="GW55" s="254"/>
      <c r="GX55" s="254"/>
      <c r="GY55" s="254"/>
      <c r="GZ55" s="254"/>
      <c r="HA55" s="254"/>
      <c r="HB55" s="254"/>
      <c r="HC55" s="254"/>
      <c r="HD55" s="254"/>
      <c r="HE55" s="254"/>
      <c r="HF55" s="254"/>
      <c r="HG55" s="254"/>
      <c r="HH55" s="254"/>
      <c r="HI55" s="254"/>
      <c r="HJ55" s="254"/>
      <c r="HK55" s="254"/>
    </row>
    <row r="56" spans="1:219" s="259" customFormat="1" ht="21" customHeight="1">
      <c r="A56" s="260">
        <v>487</v>
      </c>
      <c r="B56" s="342" t="s">
        <v>145</v>
      </c>
      <c r="C56" s="342" t="s">
        <v>1299</v>
      </c>
      <c r="D56" s="317">
        <v>39234</v>
      </c>
      <c r="E56" s="317">
        <v>39539</v>
      </c>
      <c r="F56" s="342" t="s">
        <v>5</v>
      </c>
      <c r="G56" s="259" t="s">
        <v>1451</v>
      </c>
      <c r="H56" s="342" t="s">
        <v>754</v>
      </c>
      <c r="I56" s="254" t="s">
        <v>2331</v>
      </c>
      <c r="J56" s="318">
        <v>3045</v>
      </c>
      <c r="K56" s="318">
        <v>200035</v>
      </c>
      <c r="L56" s="318">
        <v>200000</v>
      </c>
      <c r="M56" s="318">
        <v>165853</v>
      </c>
      <c r="N56" s="256">
        <v>54.467323481116587</v>
      </c>
      <c r="O56" s="318">
        <v>100</v>
      </c>
      <c r="P56" s="318" t="s">
        <v>75</v>
      </c>
      <c r="Q56" s="318" t="s">
        <v>75</v>
      </c>
      <c r="R56" s="318">
        <v>3000</v>
      </c>
      <c r="S56" s="318" t="s">
        <v>849</v>
      </c>
      <c r="T56" s="318" t="s">
        <v>75</v>
      </c>
      <c r="U56" s="318">
        <v>3000</v>
      </c>
      <c r="V56" s="318">
        <v>54988</v>
      </c>
      <c r="W56" s="318">
        <v>54988</v>
      </c>
      <c r="X56" s="349">
        <v>18.329333333333334</v>
      </c>
      <c r="Y56" s="330" t="s">
        <v>339</v>
      </c>
      <c r="Z56" s="318" t="s">
        <v>75</v>
      </c>
      <c r="AA56" s="318">
        <v>3000</v>
      </c>
      <c r="AB56" s="318">
        <v>238</v>
      </c>
      <c r="AC56" s="318" t="s">
        <v>75</v>
      </c>
      <c r="AD56" s="318" t="s">
        <v>75</v>
      </c>
      <c r="AE56" s="318">
        <v>600</v>
      </c>
      <c r="AF56" s="318" t="s">
        <v>75</v>
      </c>
      <c r="AG56" s="318" t="s">
        <v>75</v>
      </c>
      <c r="AH56" s="318" t="s">
        <v>75</v>
      </c>
      <c r="AI56" s="318" t="s">
        <v>75</v>
      </c>
      <c r="AJ56" s="301">
        <v>3000</v>
      </c>
      <c r="AK56" s="318" t="s">
        <v>75</v>
      </c>
      <c r="AL56" s="318" t="s">
        <v>75</v>
      </c>
      <c r="AM56" s="318"/>
      <c r="AN56" s="319"/>
      <c r="AO56" s="319" t="s">
        <v>75</v>
      </c>
      <c r="AP56" s="319" t="s">
        <v>75</v>
      </c>
      <c r="AQ56" s="319" t="s">
        <v>75</v>
      </c>
      <c r="AR56" s="319" t="s">
        <v>75</v>
      </c>
      <c r="AS56" s="319" t="s">
        <v>75</v>
      </c>
      <c r="AT56" s="319" t="s">
        <v>75</v>
      </c>
      <c r="AU56" s="319" t="s">
        <v>75</v>
      </c>
      <c r="AV56" s="359" t="s">
        <v>753</v>
      </c>
      <c r="AW56" s="342"/>
      <c r="AX56" s="342"/>
      <c r="AY56" s="342"/>
      <c r="AZ56" s="342"/>
      <c r="BA56" s="342"/>
      <c r="BB56" s="342"/>
      <c r="BC56" s="342"/>
      <c r="BD56" s="342"/>
      <c r="BE56" s="342"/>
      <c r="BF56" s="342"/>
      <c r="BG56" s="342"/>
      <c r="BH56" s="342"/>
      <c r="BI56" s="342"/>
      <c r="BJ56" s="342"/>
      <c r="BK56" s="342"/>
      <c r="BL56" s="342"/>
      <c r="BM56" s="342"/>
      <c r="BN56" s="342"/>
      <c r="BO56" s="254"/>
      <c r="BP56" s="254"/>
      <c r="BQ56" s="254"/>
      <c r="BR56" s="254"/>
      <c r="BS56" s="254"/>
      <c r="BT56" s="254"/>
      <c r="BU56" s="254"/>
      <c r="BV56" s="254"/>
      <c r="BW56" s="254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4"/>
      <c r="CW56" s="254"/>
      <c r="CX56" s="254"/>
      <c r="CY56" s="254"/>
      <c r="CZ56" s="254"/>
      <c r="DA56" s="254"/>
      <c r="DB56" s="254"/>
      <c r="DC56" s="254"/>
      <c r="DD56" s="254"/>
      <c r="DE56" s="254"/>
      <c r="DF56" s="254"/>
      <c r="DG56" s="254"/>
      <c r="DH56" s="254"/>
      <c r="DI56" s="254"/>
      <c r="DJ56" s="254"/>
      <c r="DK56" s="254"/>
      <c r="DL56" s="254"/>
      <c r="DM56" s="254"/>
      <c r="DN56" s="254"/>
      <c r="DO56" s="254"/>
      <c r="DP56" s="254"/>
      <c r="DQ56" s="254"/>
      <c r="DR56" s="254"/>
      <c r="DS56" s="254"/>
      <c r="DT56" s="254"/>
      <c r="DU56" s="254"/>
      <c r="DV56" s="254"/>
      <c r="DW56" s="254"/>
      <c r="DX56" s="254"/>
      <c r="DY56" s="254"/>
      <c r="DZ56" s="254"/>
      <c r="EA56" s="254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4"/>
      <c r="EU56" s="254"/>
      <c r="EV56" s="254"/>
      <c r="EW56" s="254"/>
      <c r="EX56" s="254"/>
      <c r="EY56" s="254"/>
      <c r="EZ56" s="254"/>
      <c r="FA56" s="254"/>
      <c r="FB56" s="254"/>
      <c r="FC56" s="254"/>
      <c r="FD56" s="254"/>
      <c r="FE56" s="254"/>
      <c r="FF56" s="254"/>
      <c r="FG56" s="254"/>
      <c r="FH56" s="254"/>
      <c r="FI56" s="254"/>
      <c r="FJ56" s="254"/>
      <c r="FK56" s="254"/>
      <c r="FL56" s="254"/>
      <c r="FM56" s="254"/>
      <c r="FN56" s="254"/>
      <c r="FO56" s="254"/>
      <c r="FP56" s="254"/>
      <c r="FQ56" s="254"/>
      <c r="FR56" s="254"/>
      <c r="FS56" s="254"/>
      <c r="FT56" s="254"/>
      <c r="FU56" s="254"/>
      <c r="FV56" s="254"/>
      <c r="FW56" s="254"/>
      <c r="FX56" s="254"/>
      <c r="FY56" s="254"/>
      <c r="FZ56" s="254"/>
      <c r="GA56" s="254"/>
      <c r="GB56" s="254"/>
      <c r="GC56" s="254"/>
      <c r="GD56" s="254"/>
      <c r="GE56" s="254"/>
      <c r="GF56" s="254"/>
      <c r="GG56" s="254"/>
      <c r="GH56" s="254"/>
      <c r="GI56" s="254"/>
      <c r="GJ56" s="254"/>
      <c r="GK56" s="254"/>
      <c r="GL56" s="254"/>
      <c r="GM56" s="254"/>
      <c r="GN56" s="254"/>
      <c r="GO56" s="254"/>
      <c r="GP56" s="254"/>
      <c r="GQ56" s="254"/>
      <c r="GR56" s="254"/>
      <c r="GS56" s="254"/>
      <c r="GT56" s="254"/>
      <c r="GU56" s="254"/>
      <c r="GV56" s="254"/>
      <c r="GW56" s="254"/>
      <c r="GX56" s="254"/>
      <c r="GY56" s="254"/>
      <c r="GZ56" s="254"/>
      <c r="HA56" s="254"/>
      <c r="HB56" s="254"/>
      <c r="HC56" s="254"/>
      <c r="HD56" s="254"/>
      <c r="HE56" s="254"/>
      <c r="HF56" s="254"/>
      <c r="HG56" s="254"/>
      <c r="HH56" s="254"/>
      <c r="HI56" s="254"/>
      <c r="HJ56" s="254"/>
      <c r="HK56" s="254"/>
    </row>
    <row r="57" spans="1:219" s="259" customFormat="1" ht="12" customHeight="1">
      <c r="A57" s="260">
        <v>488</v>
      </c>
      <c r="B57" s="342" t="s">
        <v>145</v>
      </c>
      <c r="C57" s="342" t="s">
        <v>1299</v>
      </c>
      <c r="D57" s="317">
        <v>39417</v>
      </c>
      <c r="E57" s="317">
        <v>39753</v>
      </c>
      <c r="F57" s="342" t="s">
        <v>846</v>
      </c>
      <c r="G57" s="259" t="s">
        <v>1449</v>
      </c>
      <c r="H57" s="342" t="s">
        <v>845</v>
      </c>
      <c r="I57" s="254" t="s">
        <v>2331</v>
      </c>
      <c r="J57" s="318">
        <v>1500000</v>
      </c>
      <c r="K57" s="318">
        <v>153189</v>
      </c>
      <c r="L57" s="318">
        <v>151915</v>
      </c>
      <c r="M57" s="318">
        <v>151915</v>
      </c>
      <c r="N57" s="256">
        <v>0.10127666666666667</v>
      </c>
      <c r="O57" s="318">
        <v>99</v>
      </c>
      <c r="P57" s="318" t="s">
        <v>75</v>
      </c>
      <c r="Q57" s="318" t="s">
        <v>75</v>
      </c>
      <c r="R57" s="318" t="s">
        <v>75</v>
      </c>
      <c r="S57" s="318" t="s">
        <v>849</v>
      </c>
      <c r="T57" s="318" t="s">
        <v>75</v>
      </c>
      <c r="U57" s="318" t="s">
        <v>75</v>
      </c>
      <c r="V57" s="318" t="s">
        <v>75</v>
      </c>
      <c r="W57" s="318" t="s">
        <v>75</v>
      </c>
      <c r="X57" s="318"/>
      <c r="Y57" s="330" t="s">
        <v>339</v>
      </c>
      <c r="Z57" s="318" t="s">
        <v>75</v>
      </c>
      <c r="AA57" s="318">
        <v>1500000</v>
      </c>
      <c r="AB57" s="318">
        <v>500</v>
      </c>
      <c r="AC57" s="318" t="s">
        <v>75</v>
      </c>
      <c r="AD57" s="318" t="s">
        <v>75</v>
      </c>
      <c r="AE57" s="318" t="s">
        <v>75</v>
      </c>
      <c r="AF57" s="318" t="s">
        <v>75</v>
      </c>
      <c r="AG57" s="318" t="s">
        <v>75</v>
      </c>
      <c r="AH57" s="318" t="s">
        <v>75</v>
      </c>
      <c r="AI57" s="318" t="s">
        <v>75</v>
      </c>
      <c r="AJ57" s="301">
        <v>1500000</v>
      </c>
      <c r="AK57" s="318" t="s">
        <v>75</v>
      </c>
      <c r="AL57" s="318" t="s">
        <v>75</v>
      </c>
      <c r="AM57" s="318"/>
      <c r="AN57" s="319"/>
      <c r="AO57" s="319" t="s">
        <v>75</v>
      </c>
      <c r="AP57" s="319" t="s">
        <v>75</v>
      </c>
      <c r="AQ57" s="319" t="s">
        <v>75</v>
      </c>
      <c r="AR57" s="319" t="s">
        <v>75</v>
      </c>
      <c r="AS57" s="319" t="s">
        <v>75</v>
      </c>
      <c r="AT57" s="319" t="s">
        <v>75</v>
      </c>
      <c r="AU57" s="319" t="s">
        <v>75</v>
      </c>
      <c r="AV57" s="359" t="s">
        <v>844</v>
      </c>
      <c r="AW57" s="342"/>
      <c r="AX57" s="342"/>
      <c r="AY57" s="342"/>
      <c r="AZ57" s="342"/>
      <c r="BA57" s="342"/>
      <c r="BB57" s="342"/>
      <c r="BC57" s="342"/>
      <c r="BD57" s="342"/>
      <c r="BE57" s="342"/>
      <c r="BF57" s="342"/>
      <c r="BG57" s="342"/>
      <c r="BH57" s="342"/>
      <c r="BI57" s="342"/>
      <c r="BJ57" s="342"/>
      <c r="BK57" s="342"/>
      <c r="BL57" s="342"/>
      <c r="BM57" s="342"/>
      <c r="BN57" s="342"/>
      <c r="BO57" s="254"/>
      <c r="BP57" s="254"/>
      <c r="BQ57" s="254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  <c r="EK57" s="254"/>
      <c r="EL57" s="254"/>
      <c r="EM57" s="254"/>
      <c r="EN57" s="254"/>
      <c r="EO57" s="254"/>
      <c r="EP57" s="254"/>
      <c r="EQ57" s="254"/>
      <c r="ER57" s="254"/>
      <c r="ES57" s="254"/>
      <c r="ET57" s="254"/>
      <c r="EU57" s="254"/>
      <c r="EV57" s="254"/>
      <c r="EW57" s="254"/>
      <c r="EX57" s="254"/>
      <c r="EY57" s="254"/>
      <c r="EZ57" s="254"/>
      <c r="FA57" s="254"/>
      <c r="FB57" s="254"/>
      <c r="FC57" s="254"/>
      <c r="FD57" s="254"/>
      <c r="FE57" s="254"/>
      <c r="FF57" s="254"/>
      <c r="FG57" s="254"/>
      <c r="FH57" s="254"/>
      <c r="FI57" s="254"/>
      <c r="FJ57" s="254"/>
      <c r="FK57" s="254"/>
      <c r="FL57" s="254"/>
      <c r="FM57" s="254"/>
      <c r="FN57" s="254"/>
      <c r="FO57" s="254"/>
      <c r="FP57" s="254"/>
      <c r="FQ57" s="254"/>
      <c r="FR57" s="254"/>
      <c r="FS57" s="254"/>
      <c r="FT57" s="254"/>
      <c r="FU57" s="254"/>
      <c r="FV57" s="254"/>
      <c r="FW57" s="254"/>
      <c r="FX57" s="254"/>
      <c r="FY57" s="254"/>
      <c r="FZ57" s="254"/>
      <c r="GA57" s="254"/>
      <c r="GB57" s="254"/>
      <c r="GC57" s="254"/>
      <c r="GD57" s="254"/>
      <c r="GE57" s="254"/>
      <c r="GF57" s="254"/>
      <c r="GG57" s="254"/>
      <c r="GH57" s="254"/>
      <c r="GI57" s="254"/>
      <c r="GJ57" s="254"/>
      <c r="GK57" s="254"/>
      <c r="GL57" s="254"/>
      <c r="GM57" s="254"/>
      <c r="GN57" s="254"/>
      <c r="GO57" s="254"/>
      <c r="GP57" s="254"/>
      <c r="GQ57" s="254"/>
      <c r="GR57" s="254"/>
      <c r="GS57" s="254"/>
      <c r="GT57" s="254"/>
      <c r="GU57" s="254"/>
      <c r="GV57" s="254"/>
      <c r="GW57" s="254"/>
      <c r="GX57" s="254"/>
      <c r="GY57" s="254"/>
      <c r="GZ57" s="254"/>
      <c r="HA57" s="254"/>
      <c r="HB57" s="254"/>
      <c r="HC57" s="254"/>
      <c r="HD57" s="254"/>
      <c r="HE57" s="254"/>
      <c r="HF57" s="254"/>
      <c r="HG57" s="254"/>
      <c r="HH57" s="254"/>
      <c r="HI57" s="254"/>
      <c r="HJ57" s="254"/>
      <c r="HK57" s="254"/>
    </row>
    <row r="58" spans="1:219" s="259" customFormat="1" ht="17.25" customHeight="1">
      <c r="A58" s="260">
        <v>489</v>
      </c>
      <c r="B58" s="259" t="s">
        <v>145</v>
      </c>
      <c r="C58" s="254" t="s">
        <v>1299</v>
      </c>
      <c r="D58" s="351">
        <v>39142</v>
      </c>
      <c r="E58" s="351">
        <v>39539</v>
      </c>
      <c r="F58" s="259" t="s">
        <v>1860</v>
      </c>
      <c r="G58" s="259" t="s">
        <v>1452</v>
      </c>
      <c r="H58" s="259" t="s">
        <v>1859</v>
      </c>
      <c r="I58" s="254" t="s">
        <v>2331</v>
      </c>
      <c r="J58" s="298">
        <v>90000</v>
      </c>
      <c r="K58" s="298">
        <v>100000</v>
      </c>
      <c r="L58" s="298">
        <v>99985</v>
      </c>
      <c r="M58" s="298">
        <v>99985</v>
      </c>
      <c r="N58" s="256">
        <v>1.1109444444444445</v>
      </c>
      <c r="O58" s="298">
        <v>100</v>
      </c>
      <c r="P58" s="298"/>
      <c r="Q58" s="298"/>
      <c r="R58" s="256"/>
      <c r="S58" s="298"/>
      <c r="T58" s="298"/>
      <c r="U58" s="298"/>
      <c r="V58" s="298"/>
      <c r="W58" s="298"/>
      <c r="X58" s="256"/>
      <c r="Y58" s="298"/>
      <c r="Z58" s="298"/>
      <c r="AA58" s="298"/>
      <c r="AB58" s="390">
        <v>480</v>
      </c>
      <c r="AC58" s="298"/>
      <c r="AD58" s="298"/>
      <c r="AE58" s="298"/>
      <c r="AF58" s="298"/>
      <c r="AG58" s="298"/>
      <c r="AH58" s="298"/>
      <c r="AI58" s="298"/>
      <c r="AJ58" s="301">
        <v>0</v>
      </c>
      <c r="AK58" s="298">
        <v>22500</v>
      </c>
      <c r="AL58" s="298">
        <v>36000</v>
      </c>
      <c r="AM58" s="318"/>
      <c r="AN58" s="301"/>
      <c r="AO58" s="301"/>
      <c r="AP58" s="301"/>
      <c r="AQ58" s="301"/>
      <c r="AR58" s="301"/>
      <c r="AS58" s="301"/>
      <c r="AT58" s="301"/>
      <c r="AU58" s="301"/>
      <c r="AV58" s="259" t="s">
        <v>1858</v>
      </c>
      <c r="BN58" s="254"/>
      <c r="BO58" s="254"/>
      <c r="BP58" s="254"/>
      <c r="BQ58" s="254"/>
      <c r="BR58" s="254"/>
      <c r="BS58" s="254"/>
      <c r="BT58" s="254"/>
      <c r="BU58" s="254"/>
      <c r="BV58" s="254"/>
      <c r="BW58" s="254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254"/>
      <c r="EG58" s="254"/>
      <c r="EH58" s="254"/>
      <c r="EI58" s="254"/>
      <c r="EJ58" s="254"/>
      <c r="EK58" s="254"/>
      <c r="EL58" s="254"/>
      <c r="EM58" s="254"/>
      <c r="EN58" s="254"/>
      <c r="EO58" s="254"/>
      <c r="EP58" s="254"/>
      <c r="EQ58" s="254"/>
      <c r="ER58" s="254"/>
      <c r="ES58" s="254"/>
      <c r="ET58" s="254"/>
      <c r="EU58" s="254"/>
      <c r="EV58" s="254"/>
      <c r="EW58" s="254"/>
      <c r="EX58" s="254"/>
      <c r="EY58" s="254"/>
      <c r="EZ58" s="254"/>
      <c r="FA58" s="254"/>
      <c r="FB58" s="254"/>
      <c r="FC58" s="254"/>
      <c r="FD58" s="254"/>
      <c r="FE58" s="254"/>
      <c r="FF58" s="254"/>
      <c r="FG58" s="254"/>
      <c r="FH58" s="254"/>
      <c r="FI58" s="254"/>
      <c r="FJ58" s="254"/>
      <c r="FK58" s="254"/>
      <c r="FL58" s="254"/>
      <c r="FM58" s="254"/>
      <c r="FN58" s="254"/>
      <c r="FO58" s="254"/>
      <c r="FP58" s="254"/>
      <c r="FQ58" s="254"/>
      <c r="FR58" s="254"/>
      <c r="FS58" s="254"/>
      <c r="FT58" s="254"/>
      <c r="FU58" s="254"/>
      <c r="FV58" s="254"/>
      <c r="FW58" s="254"/>
      <c r="FX58" s="254"/>
      <c r="FY58" s="254"/>
      <c r="FZ58" s="254"/>
      <c r="GA58" s="254"/>
      <c r="GB58" s="254"/>
      <c r="GC58" s="254"/>
      <c r="GD58" s="254"/>
      <c r="GE58" s="254"/>
      <c r="GF58" s="254"/>
      <c r="GG58" s="254"/>
      <c r="GH58" s="254"/>
      <c r="GI58" s="254"/>
      <c r="GJ58" s="254"/>
      <c r="GK58" s="254"/>
      <c r="GL58" s="254"/>
      <c r="GM58" s="254"/>
      <c r="GN58" s="254"/>
      <c r="GO58" s="254"/>
      <c r="GP58" s="254"/>
      <c r="GQ58" s="254"/>
      <c r="GR58" s="254"/>
      <c r="GS58" s="254"/>
      <c r="GT58" s="254"/>
      <c r="GU58" s="254"/>
      <c r="GV58" s="254"/>
      <c r="GW58" s="254"/>
      <c r="GX58" s="254"/>
      <c r="GY58" s="254"/>
      <c r="GZ58" s="254"/>
      <c r="HA58" s="254"/>
      <c r="HB58" s="254"/>
      <c r="HC58" s="254"/>
      <c r="HD58" s="254"/>
      <c r="HE58" s="254"/>
      <c r="HF58" s="254"/>
      <c r="HG58" s="254"/>
      <c r="HH58" s="254"/>
      <c r="HI58" s="254"/>
      <c r="HJ58" s="254"/>
      <c r="HK58" s="254"/>
    </row>
    <row r="59" spans="1:219" s="254" customFormat="1" ht="19.5" customHeight="1">
      <c r="A59" s="260">
        <v>490</v>
      </c>
      <c r="B59" s="353" t="s">
        <v>1445</v>
      </c>
      <c r="C59" s="353" t="s">
        <v>1261</v>
      </c>
      <c r="D59" s="391">
        <v>39264</v>
      </c>
      <c r="E59" s="391">
        <v>40878</v>
      </c>
      <c r="F59" s="353" t="s">
        <v>1446</v>
      </c>
      <c r="G59" s="254" t="s">
        <v>1458</v>
      </c>
      <c r="H59" s="353" t="s">
        <v>1949</v>
      </c>
      <c r="I59" s="278" t="s">
        <v>2438</v>
      </c>
      <c r="J59" s="392">
        <v>360500</v>
      </c>
      <c r="K59" s="392">
        <v>14105138</v>
      </c>
      <c r="L59" s="263">
        <v>7999558</v>
      </c>
      <c r="M59" s="392">
        <v>7548375</v>
      </c>
      <c r="N59" s="256">
        <v>20.938626907073509</v>
      </c>
      <c r="O59" s="392">
        <v>57</v>
      </c>
      <c r="P59" s="392"/>
      <c r="Q59" s="392"/>
      <c r="R59" s="392">
        <v>160000</v>
      </c>
      <c r="S59" s="392"/>
      <c r="T59" s="392"/>
      <c r="U59" s="392"/>
      <c r="V59" s="392">
        <v>116630</v>
      </c>
      <c r="W59" s="392">
        <v>695716</v>
      </c>
      <c r="X59" s="349">
        <v>4.3482250000000002</v>
      </c>
      <c r="Y59" s="392">
        <v>160000</v>
      </c>
      <c r="Z59" s="392"/>
      <c r="AA59" s="392"/>
      <c r="AB59" s="392"/>
      <c r="AC59" s="392">
        <v>100</v>
      </c>
      <c r="AD59" s="392"/>
      <c r="AE59" s="392"/>
      <c r="AF59" s="392"/>
      <c r="AG59" s="392"/>
      <c r="AH59" s="392">
        <v>67228</v>
      </c>
      <c r="AI59" s="392"/>
      <c r="AJ59" s="288">
        <v>67228</v>
      </c>
      <c r="AK59" s="392">
        <v>157308</v>
      </c>
      <c r="AL59" s="392">
        <v>148539</v>
      </c>
      <c r="AM59" s="318">
        <f t="shared" ref="AM59" si="5">AL59/AJ59</f>
        <v>2.209481168560719</v>
      </c>
      <c r="AN59" s="393"/>
      <c r="AO59" s="393">
        <v>1</v>
      </c>
      <c r="AP59" s="393">
        <v>1</v>
      </c>
      <c r="AQ59" s="393">
        <v>1</v>
      </c>
      <c r="AR59" s="393"/>
      <c r="AS59" s="393">
        <v>1</v>
      </c>
      <c r="AT59" s="393"/>
      <c r="AU59" s="393"/>
      <c r="AV59" s="356" t="s">
        <v>1948</v>
      </c>
      <c r="AW59" s="353"/>
      <c r="AX59" s="353"/>
      <c r="AY59" s="353"/>
      <c r="AZ59" s="353"/>
      <c r="BA59" s="353"/>
      <c r="BB59" s="353"/>
      <c r="BC59" s="353"/>
      <c r="BD59" s="353"/>
      <c r="BE59" s="353"/>
      <c r="BF59" s="353"/>
      <c r="BG59" s="353"/>
      <c r="BH59" s="353"/>
      <c r="BI59" s="353"/>
      <c r="BJ59" s="353"/>
      <c r="BK59" s="353"/>
      <c r="BL59" s="353"/>
      <c r="BM59" s="353"/>
      <c r="BN59" s="353"/>
    </row>
    <row r="60" spans="1:219" s="259" customFormat="1" ht="21.75" customHeight="1">
      <c r="A60" s="260">
        <v>491</v>
      </c>
      <c r="B60" s="342" t="s">
        <v>124</v>
      </c>
      <c r="C60" s="342" t="s">
        <v>1278</v>
      </c>
      <c r="D60" s="317">
        <v>39203</v>
      </c>
      <c r="E60" s="317">
        <v>39295</v>
      </c>
      <c r="F60" s="342" t="s">
        <v>127</v>
      </c>
      <c r="G60" s="254" t="s">
        <v>1452</v>
      </c>
      <c r="H60" s="342" t="s">
        <v>230</v>
      </c>
      <c r="I60" s="254" t="s">
        <v>2331</v>
      </c>
      <c r="J60" s="318">
        <v>42642</v>
      </c>
      <c r="K60" s="318">
        <v>67597</v>
      </c>
      <c r="L60" s="318">
        <v>67597</v>
      </c>
      <c r="M60" s="318">
        <v>67597</v>
      </c>
      <c r="N60" s="256">
        <v>1.5852211434735706</v>
      </c>
      <c r="O60" s="318">
        <v>100</v>
      </c>
      <c r="P60" s="318" t="s">
        <v>75</v>
      </c>
      <c r="Q60" s="318" t="s">
        <v>75</v>
      </c>
      <c r="R60" s="318" t="s">
        <v>75</v>
      </c>
      <c r="S60" s="318" t="s">
        <v>233</v>
      </c>
      <c r="T60" s="318"/>
      <c r="U60" s="318" t="s">
        <v>134</v>
      </c>
      <c r="V60" s="318" t="s">
        <v>66</v>
      </c>
      <c r="W60" s="318" t="s">
        <v>66</v>
      </c>
      <c r="X60" s="318"/>
      <c r="Y60" s="318" t="s">
        <v>911</v>
      </c>
      <c r="Z60" s="318">
        <v>50</v>
      </c>
      <c r="AA60" s="318"/>
      <c r="AB60" s="318"/>
      <c r="AC60" s="318">
        <v>23</v>
      </c>
      <c r="AD60" s="318"/>
      <c r="AE60" s="318"/>
      <c r="AF60" s="318" t="s">
        <v>75</v>
      </c>
      <c r="AG60" s="318" t="s">
        <v>75</v>
      </c>
      <c r="AH60" s="318"/>
      <c r="AI60" s="318">
        <v>1473</v>
      </c>
      <c r="AJ60" s="301">
        <v>50</v>
      </c>
      <c r="AK60" s="318" t="s">
        <v>66</v>
      </c>
      <c r="AL60" s="318" t="s">
        <v>66</v>
      </c>
      <c r="AM60" s="318"/>
      <c r="AN60" s="319"/>
      <c r="AO60" s="319" t="s">
        <v>75</v>
      </c>
      <c r="AP60" s="319" t="s">
        <v>75</v>
      </c>
      <c r="AQ60" s="319" t="s">
        <v>75</v>
      </c>
      <c r="AR60" s="319" t="s">
        <v>75</v>
      </c>
      <c r="AS60" s="319" t="s">
        <v>75</v>
      </c>
      <c r="AT60" s="319" t="s">
        <v>75</v>
      </c>
      <c r="AU60" s="319" t="s">
        <v>75</v>
      </c>
      <c r="AV60" s="363" t="s">
        <v>125</v>
      </c>
      <c r="AW60" s="342"/>
      <c r="AX60" s="342"/>
      <c r="AY60" s="342"/>
      <c r="AZ60" s="342"/>
      <c r="BA60" s="342"/>
      <c r="BB60" s="342"/>
      <c r="BC60" s="342"/>
      <c r="BD60" s="342"/>
      <c r="BE60" s="342"/>
      <c r="BF60" s="342"/>
      <c r="BG60" s="342"/>
      <c r="BH60" s="342"/>
      <c r="BI60" s="342"/>
      <c r="BJ60" s="342"/>
      <c r="BK60" s="342"/>
      <c r="BL60" s="342"/>
      <c r="BM60" s="342"/>
      <c r="BN60" s="342"/>
      <c r="BO60" s="254"/>
      <c r="BP60" s="254"/>
      <c r="BQ60" s="254"/>
      <c r="BR60" s="254"/>
      <c r="BS60" s="254"/>
      <c r="BT60" s="254"/>
      <c r="BU60" s="254"/>
      <c r="BV60" s="254"/>
      <c r="BW60" s="254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254"/>
      <c r="DK60" s="254"/>
      <c r="DL60" s="254"/>
      <c r="DM60" s="254"/>
      <c r="DN60" s="254"/>
      <c r="DO60" s="254"/>
      <c r="DP60" s="254"/>
      <c r="DQ60" s="254"/>
      <c r="DR60" s="254"/>
      <c r="DS60" s="254"/>
      <c r="DT60" s="254"/>
      <c r="DU60" s="254"/>
      <c r="DV60" s="254"/>
      <c r="DW60" s="254"/>
      <c r="DX60" s="254"/>
      <c r="DY60" s="254"/>
      <c r="DZ60" s="254"/>
      <c r="EA60" s="254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4"/>
      <c r="EU60" s="254"/>
      <c r="EV60" s="254"/>
      <c r="EW60" s="254"/>
      <c r="EX60" s="254"/>
      <c r="EY60" s="254"/>
      <c r="EZ60" s="254"/>
      <c r="FA60" s="254"/>
      <c r="FB60" s="254"/>
      <c r="FC60" s="254"/>
      <c r="FD60" s="254"/>
      <c r="FE60" s="254"/>
      <c r="FF60" s="254"/>
      <c r="FG60" s="254"/>
      <c r="FH60" s="254"/>
      <c r="FI60" s="254"/>
      <c r="FJ60" s="254"/>
      <c r="FK60" s="254"/>
      <c r="FL60" s="254"/>
      <c r="FM60" s="254"/>
      <c r="FN60" s="254"/>
      <c r="FO60" s="254"/>
      <c r="FP60" s="254"/>
      <c r="FQ60" s="254"/>
      <c r="FR60" s="254"/>
      <c r="FS60" s="254"/>
      <c r="FT60" s="254"/>
      <c r="FU60" s="254"/>
      <c r="FV60" s="254"/>
      <c r="FW60" s="254"/>
      <c r="FX60" s="254"/>
      <c r="FY60" s="254"/>
      <c r="FZ60" s="254"/>
      <c r="GA60" s="254"/>
      <c r="GB60" s="254"/>
      <c r="GC60" s="254"/>
      <c r="GD60" s="254"/>
      <c r="GE60" s="254"/>
      <c r="GF60" s="254"/>
      <c r="GG60" s="254"/>
      <c r="GH60" s="254"/>
      <c r="GI60" s="254"/>
      <c r="GJ60" s="254"/>
      <c r="GK60" s="254"/>
      <c r="GL60" s="254"/>
      <c r="GM60" s="254"/>
      <c r="GN60" s="254"/>
      <c r="GO60" s="254"/>
      <c r="GP60" s="254"/>
      <c r="GQ60" s="254"/>
      <c r="GR60" s="254"/>
      <c r="GS60" s="254"/>
      <c r="GT60" s="254"/>
      <c r="GU60" s="254"/>
      <c r="GV60" s="254"/>
      <c r="GW60" s="254"/>
      <c r="GX60" s="254"/>
      <c r="GY60" s="254"/>
      <c r="GZ60" s="254"/>
      <c r="HA60" s="254"/>
      <c r="HB60" s="254"/>
      <c r="HC60" s="254"/>
      <c r="HD60" s="254"/>
      <c r="HE60" s="254"/>
      <c r="HF60" s="254"/>
      <c r="HG60" s="254"/>
      <c r="HH60" s="254"/>
      <c r="HI60" s="254"/>
      <c r="HJ60" s="254"/>
      <c r="HK60" s="254"/>
    </row>
    <row r="61" spans="1:219" s="254" customFormat="1" ht="15">
      <c r="A61" s="260">
        <v>492</v>
      </c>
      <c r="B61" s="254" t="s">
        <v>1817</v>
      </c>
      <c r="C61" s="254" t="s">
        <v>1286</v>
      </c>
      <c r="D61" s="255">
        <v>39142</v>
      </c>
      <c r="E61" s="255">
        <v>39234</v>
      </c>
      <c r="F61" s="254" t="s">
        <v>781</v>
      </c>
      <c r="G61" s="394" t="s">
        <v>1453</v>
      </c>
      <c r="H61" s="254" t="s">
        <v>1862</v>
      </c>
      <c r="I61" s="254" t="s">
        <v>2331</v>
      </c>
      <c r="J61" s="256">
        <v>750</v>
      </c>
      <c r="K61" s="256">
        <v>7500</v>
      </c>
      <c r="L61" s="256">
        <v>7500</v>
      </c>
      <c r="M61" s="256">
        <v>5532</v>
      </c>
      <c r="N61" s="256">
        <v>7.3760000000000003</v>
      </c>
      <c r="O61" s="256">
        <v>100</v>
      </c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>
        <v>30</v>
      </c>
      <c r="AC61" s="256"/>
      <c r="AD61" s="256"/>
      <c r="AE61" s="256"/>
      <c r="AF61" s="256"/>
      <c r="AG61" s="256"/>
      <c r="AH61" s="256"/>
      <c r="AI61" s="256"/>
      <c r="AJ61" s="288">
        <v>0</v>
      </c>
      <c r="AK61" s="256"/>
      <c r="AL61" s="256"/>
      <c r="AM61" s="256"/>
      <c r="AN61" s="288"/>
      <c r="AO61" s="288"/>
      <c r="AP61" s="288"/>
      <c r="AQ61" s="288"/>
      <c r="AR61" s="288"/>
      <c r="AS61" s="288"/>
      <c r="AT61" s="288"/>
      <c r="AU61" s="288"/>
      <c r="AV61" s="254" t="s">
        <v>1861</v>
      </c>
    </row>
    <row r="62" spans="1:219" s="259" customFormat="1" ht="22.5" customHeight="1">
      <c r="A62" s="260">
        <v>493</v>
      </c>
      <c r="B62" s="261" t="s">
        <v>649</v>
      </c>
      <c r="C62" s="261" t="s">
        <v>1261</v>
      </c>
      <c r="D62" s="262">
        <v>39406</v>
      </c>
      <c r="E62" s="262">
        <v>39813</v>
      </c>
      <c r="F62" s="342" t="s">
        <v>648</v>
      </c>
      <c r="G62" s="259" t="s">
        <v>1450</v>
      </c>
      <c r="H62" s="261" t="s">
        <v>647</v>
      </c>
      <c r="I62" s="278" t="s">
        <v>2438</v>
      </c>
      <c r="J62" s="263">
        <v>13000</v>
      </c>
      <c r="K62" s="263">
        <v>740642</v>
      </c>
      <c r="L62" s="263">
        <v>562566</v>
      </c>
      <c r="M62" s="263">
        <v>562566</v>
      </c>
      <c r="N62" s="256">
        <v>43.274307692307694</v>
      </c>
      <c r="O62" s="263">
        <v>76</v>
      </c>
      <c r="P62" s="263">
        <v>20000</v>
      </c>
      <c r="Q62" s="330" t="s">
        <v>339</v>
      </c>
      <c r="R62" s="263">
        <v>20000</v>
      </c>
      <c r="S62" s="263" t="s">
        <v>95</v>
      </c>
      <c r="T62" s="263">
        <v>200</v>
      </c>
      <c r="U62" s="263">
        <v>2140</v>
      </c>
      <c r="V62" s="263">
        <v>41000</v>
      </c>
      <c r="W62" s="263">
        <v>24886</v>
      </c>
      <c r="X62" s="349">
        <v>1.2443</v>
      </c>
      <c r="Y62" s="263" t="s">
        <v>75</v>
      </c>
      <c r="Z62" s="263" t="s">
        <v>75</v>
      </c>
      <c r="AA62" s="263" t="s">
        <v>75</v>
      </c>
      <c r="AB62" s="263" t="s">
        <v>75</v>
      </c>
      <c r="AC62" s="263" t="s">
        <v>75</v>
      </c>
      <c r="AD62" s="263" t="s">
        <v>75</v>
      </c>
      <c r="AE62" s="263">
        <v>12292</v>
      </c>
      <c r="AF62" s="263" t="s">
        <v>75</v>
      </c>
      <c r="AG62" s="263" t="s">
        <v>75</v>
      </c>
      <c r="AH62" s="263" t="s">
        <v>75</v>
      </c>
      <c r="AI62" s="263" t="s">
        <v>75</v>
      </c>
      <c r="AJ62" s="301">
        <v>0</v>
      </c>
      <c r="AK62" s="263" t="s">
        <v>75</v>
      </c>
      <c r="AL62" s="263" t="s">
        <v>75</v>
      </c>
      <c r="AM62" s="263"/>
      <c r="AN62" s="264"/>
      <c r="AO62" s="264" t="s">
        <v>75</v>
      </c>
      <c r="AP62" s="264" t="s">
        <v>75</v>
      </c>
      <c r="AQ62" s="264" t="s">
        <v>75</v>
      </c>
      <c r="AR62" s="264" t="s">
        <v>75</v>
      </c>
      <c r="AS62" s="264" t="s">
        <v>75</v>
      </c>
      <c r="AT62" s="264" t="s">
        <v>75</v>
      </c>
      <c r="AU62" s="264" t="s">
        <v>75</v>
      </c>
      <c r="AV62" s="344" t="s">
        <v>646</v>
      </c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1"/>
      <c r="BH62" s="261"/>
      <c r="BI62" s="261"/>
      <c r="BJ62" s="261"/>
      <c r="BK62" s="261"/>
      <c r="BL62" s="261"/>
      <c r="BM62" s="261"/>
      <c r="BN62" s="261"/>
      <c r="BO62" s="254"/>
      <c r="BP62" s="254"/>
      <c r="BQ62" s="254"/>
      <c r="BR62" s="254"/>
      <c r="BS62" s="254"/>
      <c r="BT62" s="254"/>
      <c r="BU62" s="254"/>
      <c r="BV62" s="254"/>
      <c r="BW62" s="254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4"/>
      <c r="CW62" s="254"/>
      <c r="CX62" s="254"/>
      <c r="CY62" s="254"/>
      <c r="CZ62" s="254"/>
      <c r="DA62" s="254"/>
      <c r="DB62" s="254"/>
      <c r="DC62" s="254"/>
      <c r="DD62" s="254"/>
      <c r="DE62" s="254"/>
      <c r="DF62" s="254"/>
      <c r="DG62" s="254"/>
      <c r="DH62" s="254"/>
      <c r="DI62" s="254"/>
      <c r="DJ62" s="254"/>
      <c r="DK62" s="254"/>
      <c r="DL62" s="254"/>
      <c r="DM62" s="254"/>
      <c r="DN62" s="254"/>
      <c r="DO62" s="254"/>
      <c r="DP62" s="254"/>
      <c r="DQ62" s="254"/>
      <c r="DR62" s="254"/>
      <c r="DS62" s="254"/>
      <c r="DT62" s="254"/>
      <c r="DU62" s="254"/>
      <c r="DV62" s="254"/>
      <c r="DW62" s="254"/>
      <c r="DX62" s="254"/>
      <c r="DY62" s="254"/>
      <c r="DZ62" s="254"/>
      <c r="EA62" s="254"/>
      <c r="EB62" s="254"/>
      <c r="EC62" s="254"/>
      <c r="ED62" s="254"/>
      <c r="EE62" s="254"/>
      <c r="EF62" s="254"/>
      <c r="EG62" s="254"/>
      <c r="EH62" s="254"/>
      <c r="EI62" s="254"/>
      <c r="EJ62" s="254"/>
      <c r="EK62" s="254"/>
      <c r="EL62" s="254"/>
      <c r="EM62" s="254"/>
      <c r="EN62" s="254"/>
      <c r="EO62" s="254"/>
      <c r="EP62" s="254"/>
      <c r="EQ62" s="254"/>
      <c r="ER62" s="254"/>
      <c r="ES62" s="254"/>
      <c r="ET62" s="254"/>
      <c r="EU62" s="254"/>
      <c r="EV62" s="254"/>
      <c r="EW62" s="254"/>
      <c r="EX62" s="254"/>
      <c r="EY62" s="254"/>
      <c r="EZ62" s="254"/>
      <c r="FA62" s="254"/>
      <c r="FB62" s="254"/>
      <c r="FC62" s="254"/>
      <c r="FD62" s="254"/>
      <c r="FE62" s="254"/>
      <c r="FF62" s="254"/>
      <c r="FG62" s="254"/>
      <c r="FH62" s="254"/>
      <c r="FI62" s="254"/>
      <c r="FJ62" s="254"/>
      <c r="FK62" s="254"/>
      <c r="FL62" s="254"/>
      <c r="FM62" s="254"/>
      <c r="FN62" s="254"/>
      <c r="FO62" s="254"/>
      <c r="FP62" s="254"/>
      <c r="FQ62" s="254"/>
      <c r="FR62" s="254"/>
      <c r="FS62" s="254"/>
      <c r="FT62" s="254"/>
      <c r="FU62" s="254"/>
      <c r="FV62" s="254"/>
      <c r="FW62" s="254"/>
      <c r="FX62" s="254"/>
      <c r="FY62" s="254"/>
      <c r="FZ62" s="254"/>
      <c r="GA62" s="254"/>
      <c r="GB62" s="254"/>
      <c r="GC62" s="254"/>
      <c r="GD62" s="254"/>
      <c r="GE62" s="254"/>
      <c r="GF62" s="254"/>
      <c r="GG62" s="254"/>
      <c r="GH62" s="254"/>
      <c r="GI62" s="254"/>
      <c r="GJ62" s="254"/>
      <c r="GK62" s="254"/>
      <c r="GL62" s="254"/>
      <c r="GM62" s="254"/>
      <c r="GN62" s="254"/>
      <c r="GO62" s="254"/>
      <c r="GP62" s="254"/>
      <c r="GQ62" s="254"/>
      <c r="GR62" s="254"/>
      <c r="GS62" s="254"/>
      <c r="GT62" s="254"/>
      <c r="GU62" s="254"/>
      <c r="GV62" s="254"/>
      <c r="GW62" s="254"/>
      <c r="GX62" s="254"/>
      <c r="GY62" s="254"/>
      <c r="GZ62" s="254"/>
      <c r="HA62" s="254"/>
      <c r="HB62" s="254"/>
      <c r="HC62" s="254"/>
      <c r="HD62" s="254"/>
      <c r="HE62" s="254"/>
      <c r="HF62" s="254"/>
      <c r="HG62" s="254"/>
      <c r="HH62" s="254"/>
      <c r="HI62" s="254"/>
      <c r="HJ62" s="254"/>
      <c r="HK62" s="254"/>
    </row>
    <row r="63" spans="1:219" s="389" customFormat="1" ht="15">
      <c r="A63" s="260">
        <v>494</v>
      </c>
      <c r="B63" s="259" t="s">
        <v>1475</v>
      </c>
      <c r="C63" s="254" t="s">
        <v>1286</v>
      </c>
      <c r="D63" s="351">
        <v>39083</v>
      </c>
      <c r="E63" s="351">
        <v>39173</v>
      </c>
      <c r="F63" s="259" t="s">
        <v>914</v>
      </c>
      <c r="G63" s="259" t="s">
        <v>1449</v>
      </c>
      <c r="H63" s="259" t="s">
        <v>1866</v>
      </c>
      <c r="I63" s="254" t="s">
        <v>2331</v>
      </c>
      <c r="J63" s="298">
        <v>23029</v>
      </c>
      <c r="K63" s="298">
        <v>68000</v>
      </c>
      <c r="L63" s="298">
        <v>67994</v>
      </c>
      <c r="M63" s="298">
        <v>67994</v>
      </c>
      <c r="N63" s="256">
        <v>2.9525381041295757</v>
      </c>
      <c r="O63" s="298">
        <v>100</v>
      </c>
      <c r="P63" s="298"/>
      <c r="Q63" s="298"/>
      <c r="R63" s="256"/>
      <c r="S63" s="298"/>
      <c r="T63" s="298">
        <v>608</v>
      </c>
      <c r="U63" s="298">
        <v>23029</v>
      </c>
      <c r="V63" s="298"/>
      <c r="W63" s="298"/>
      <c r="X63" s="256"/>
      <c r="Y63" s="298">
        <v>194</v>
      </c>
      <c r="Z63" s="298"/>
      <c r="AA63" s="298">
        <v>23029</v>
      </c>
      <c r="AB63" s="298">
        <v>608</v>
      </c>
      <c r="AC63" s="298"/>
      <c r="AD63" s="298"/>
      <c r="AE63" s="298">
        <v>861</v>
      </c>
      <c r="AF63" s="298"/>
      <c r="AG63" s="298"/>
      <c r="AH63" s="298"/>
      <c r="AI63" s="298"/>
      <c r="AJ63" s="301">
        <v>23029</v>
      </c>
      <c r="AK63" s="256">
        <v>9656</v>
      </c>
      <c r="AL63" s="298">
        <v>2338</v>
      </c>
      <c r="AM63" s="318">
        <f>AL63/AJ63</f>
        <v>0.10152416518303009</v>
      </c>
      <c r="AN63" s="301"/>
      <c r="AO63" s="301"/>
      <c r="AP63" s="301"/>
      <c r="AQ63" s="301"/>
      <c r="AR63" s="301"/>
      <c r="AS63" s="301"/>
      <c r="AT63" s="301"/>
      <c r="AU63" s="301" t="s">
        <v>2</v>
      </c>
      <c r="AV63" s="259" t="s">
        <v>1865</v>
      </c>
      <c r="AW63" s="259"/>
      <c r="AX63" s="259"/>
      <c r="AY63" s="259"/>
      <c r="AZ63" s="259"/>
      <c r="BA63" s="259"/>
      <c r="BB63" s="259"/>
      <c r="BC63" s="259"/>
      <c r="BD63" s="259"/>
      <c r="BE63" s="259"/>
      <c r="BF63" s="259"/>
      <c r="BG63" s="259"/>
      <c r="BH63" s="259"/>
      <c r="BI63" s="259"/>
      <c r="BJ63" s="259"/>
      <c r="BK63" s="259"/>
      <c r="BL63" s="259"/>
      <c r="BM63" s="259"/>
      <c r="BN63" s="254"/>
      <c r="BO63" s="254"/>
      <c r="BP63" s="254"/>
      <c r="BQ63" s="254"/>
      <c r="BR63" s="254"/>
      <c r="BS63" s="254"/>
      <c r="BT63" s="254"/>
      <c r="BU63" s="254"/>
      <c r="BV63" s="254"/>
      <c r="BW63" s="254"/>
      <c r="BX63" s="254"/>
      <c r="BY63" s="254"/>
      <c r="BZ63" s="254"/>
      <c r="CA63" s="254"/>
      <c r="CB63" s="254"/>
      <c r="CC63" s="254"/>
      <c r="CD63" s="254"/>
      <c r="CE63" s="254"/>
      <c r="CF63" s="254"/>
      <c r="CG63" s="254"/>
      <c r="CH63" s="254"/>
      <c r="CI63" s="254"/>
      <c r="CJ63" s="254"/>
      <c r="CK63" s="254"/>
      <c r="CL63" s="254"/>
      <c r="CM63" s="254"/>
      <c r="CN63" s="254"/>
      <c r="CO63" s="254"/>
      <c r="CP63" s="254"/>
      <c r="CQ63" s="254"/>
      <c r="CR63" s="254"/>
      <c r="CS63" s="254"/>
      <c r="CT63" s="254"/>
      <c r="CU63" s="254"/>
      <c r="CV63" s="254"/>
      <c r="CW63" s="254"/>
      <c r="CX63" s="254"/>
      <c r="CY63" s="254"/>
      <c r="CZ63" s="254"/>
      <c r="DA63" s="254"/>
      <c r="DB63" s="254"/>
      <c r="DC63" s="254"/>
      <c r="DD63" s="254"/>
      <c r="DE63" s="254"/>
      <c r="DF63" s="254"/>
      <c r="DG63" s="254"/>
      <c r="DH63" s="254"/>
      <c r="DI63" s="254"/>
      <c r="DJ63" s="254"/>
      <c r="DK63" s="254"/>
      <c r="DL63" s="254"/>
      <c r="DM63" s="254"/>
      <c r="DN63" s="254"/>
      <c r="DO63" s="254"/>
      <c r="DP63" s="254"/>
      <c r="DQ63" s="254"/>
      <c r="DR63" s="254"/>
      <c r="DS63" s="254"/>
      <c r="DT63" s="254"/>
      <c r="DU63" s="254"/>
      <c r="DV63" s="254"/>
      <c r="DW63" s="254"/>
      <c r="DX63" s="254"/>
      <c r="DY63" s="254"/>
      <c r="DZ63" s="254"/>
      <c r="EA63" s="254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4"/>
      <c r="EU63" s="254"/>
      <c r="EV63" s="254"/>
      <c r="EW63" s="254"/>
      <c r="EX63" s="254"/>
      <c r="EY63" s="254"/>
      <c r="EZ63" s="254"/>
      <c r="FA63" s="254"/>
      <c r="FB63" s="254"/>
      <c r="FC63" s="254"/>
      <c r="FD63" s="254"/>
      <c r="FE63" s="254"/>
      <c r="FF63" s="254"/>
      <c r="FG63" s="254"/>
      <c r="FH63" s="254"/>
      <c r="FI63" s="254"/>
      <c r="FJ63" s="254"/>
      <c r="FK63" s="254"/>
      <c r="FL63" s="254"/>
      <c r="FM63" s="254"/>
      <c r="FN63" s="254"/>
      <c r="FO63" s="254"/>
      <c r="FP63" s="254"/>
      <c r="FQ63" s="254"/>
      <c r="FR63" s="254"/>
      <c r="FS63" s="254"/>
      <c r="FT63" s="254"/>
      <c r="FU63" s="254"/>
      <c r="FV63" s="254"/>
      <c r="FW63" s="254"/>
      <c r="FX63" s="254"/>
      <c r="FY63" s="254"/>
      <c r="FZ63" s="254"/>
      <c r="GA63" s="254"/>
      <c r="GB63" s="254"/>
      <c r="GC63" s="254"/>
      <c r="GD63" s="254"/>
      <c r="GE63" s="254"/>
      <c r="GF63" s="254"/>
      <c r="GG63" s="254"/>
      <c r="GH63" s="254"/>
      <c r="GI63" s="254"/>
      <c r="GJ63" s="254"/>
      <c r="GK63" s="254"/>
      <c r="GL63" s="254"/>
      <c r="GM63" s="254"/>
      <c r="GN63" s="254"/>
      <c r="GO63" s="254"/>
      <c r="GP63" s="254"/>
      <c r="GQ63" s="254"/>
      <c r="GR63" s="254"/>
      <c r="GS63" s="254"/>
      <c r="GT63" s="254"/>
      <c r="GU63" s="254"/>
      <c r="GV63" s="254"/>
      <c r="GW63" s="254"/>
      <c r="GX63" s="254"/>
      <c r="GY63" s="254"/>
      <c r="GZ63" s="254"/>
      <c r="HA63" s="254"/>
      <c r="HB63" s="254"/>
      <c r="HC63" s="254"/>
      <c r="HD63" s="254"/>
      <c r="HE63" s="254"/>
      <c r="HF63" s="254"/>
      <c r="HG63" s="254"/>
      <c r="HH63" s="254"/>
      <c r="HI63" s="254"/>
      <c r="HJ63" s="254"/>
      <c r="HK63" s="254"/>
    </row>
    <row r="64" spans="1:219" s="259" customFormat="1" ht="15">
      <c r="A64" s="260">
        <v>495</v>
      </c>
      <c r="B64" s="259" t="s">
        <v>1475</v>
      </c>
      <c r="C64" s="254" t="s">
        <v>1286</v>
      </c>
      <c r="D64" s="351">
        <v>39326</v>
      </c>
      <c r="E64" s="351">
        <v>39569</v>
      </c>
      <c r="F64" s="259" t="s">
        <v>781</v>
      </c>
      <c r="G64" s="259" t="s">
        <v>1453</v>
      </c>
      <c r="H64" s="259" t="s">
        <v>1868</v>
      </c>
      <c r="I64" s="254" t="s">
        <v>2331</v>
      </c>
      <c r="J64" s="298">
        <v>11532</v>
      </c>
      <c r="K64" s="298">
        <v>120000</v>
      </c>
      <c r="L64" s="298">
        <v>115771</v>
      </c>
      <c r="M64" s="298">
        <v>115771</v>
      </c>
      <c r="N64" s="256">
        <v>10.039108567464448</v>
      </c>
      <c r="O64" s="298">
        <v>96</v>
      </c>
      <c r="P64" s="298"/>
      <c r="Q64" s="298"/>
      <c r="R64" s="256"/>
      <c r="S64" s="298"/>
      <c r="T64" s="298"/>
      <c r="U64" s="298"/>
      <c r="V64" s="298"/>
      <c r="W64" s="298"/>
      <c r="X64" s="256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/>
      <c r="AJ64" s="301">
        <v>0</v>
      </c>
      <c r="AK64" s="298"/>
      <c r="AL64" s="298"/>
      <c r="AM64" s="298"/>
      <c r="AN64" s="301"/>
      <c r="AO64" s="301"/>
      <c r="AP64" s="301"/>
      <c r="AQ64" s="301"/>
      <c r="AR64" s="301"/>
      <c r="AS64" s="301"/>
      <c r="AT64" s="301"/>
      <c r="AU64" s="301"/>
      <c r="AV64" s="259" t="s">
        <v>1867</v>
      </c>
      <c r="BN64" s="254"/>
      <c r="BO64" s="254"/>
      <c r="BP64" s="254"/>
      <c r="BQ64" s="254"/>
      <c r="BR64" s="254"/>
      <c r="BS64" s="254"/>
      <c r="BT64" s="254"/>
      <c r="BU64" s="254"/>
      <c r="BV64" s="254"/>
      <c r="BW64" s="254"/>
      <c r="BX64" s="254"/>
      <c r="BY64" s="254"/>
      <c r="BZ64" s="254"/>
      <c r="CA64" s="254"/>
      <c r="CB64" s="254"/>
      <c r="CC64" s="254"/>
      <c r="CD64" s="254"/>
      <c r="CE64" s="254"/>
      <c r="CF64" s="254"/>
      <c r="CG64" s="254"/>
      <c r="CH64" s="254"/>
      <c r="CI64" s="254"/>
      <c r="CJ64" s="254"/>
      <c r="CK64" s="254"/>
      <c r="CL64" s="254"/>
      <c r="CM64" s="254"/>
      <c r="CN64" s="254"/>
      <c r="CO64" s="254"/>
      <c r="CP64" s="254"/>
      <c r="CQ64" s="254"/>
      <c r="CR64" s="254"/>
      <c r="CS64" s="254"/>
      <c r="CT64" s="254"/>
      <c r="CU64" s="254"/>
      <c r="CV64" s="254"/>
      <c r="CW64" s="254"/>
      <c r="CX64" s="254"/>
      <c r="CY64" s="254"/>
      <c r="CZ64" s="254"/>
      <c r="DA64" s="254"/>
      <c r="DB64" s="254"/>
      <c r="DC64" s="254"/>
      <c r="DD64" s="254"/>
      <c r="DE64" s="254"/>
      <c r="DF64" s="254"/>
      <c r="DG64" s="254"/>
      <c r="DH64" s="254"/>
      <c r="DI64" s="254"/>
      <c r="DJ64" s="254"/>
      <c r="DK64" s="254"/>
      <c r="DL64" s="254"/>
      <c r="DM64" s="254"/>
      <c r="DN64" s="254"/>
      <c r="DO64" s="254"/>
      <c r="DP64" s="254"/>
      <c r="DQ64" s="254"/>
      <c r="DR64" s="254"/>
      <c r="DS64" s="254"/>
      <c r="DT64" s="254"/>
      <c r="DU64" s="254"/>
      <c r="DV64" s="254"/>
      <c r="DW64" s="254"/>
      <c r="DX64" s="254"/>
      <c r="DY64" s="254"/>
      <c r="DZ64" s="254"/>
      <c r="EA64" s="254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4"/>
      <c r="EU64" s="254"/>
      <c r="EV64" s="254"/>
      <c r="EW64" s="254"/>
      <c r="EX64" s="254"/>
      <c r="EY64" s="254"/>
      <c r="EZ64" s="254"/>
      <c r="FA64" s="254"/>
      <c r="FB64" s="254"/>
      <c r="FC64" s="254"/>
      <c r="FD64" s="254"/>
      <c r="FE64" s="254"/>
      <c r="FF64" s="254"/>
      <c r="FG64" s="254"/>
      <c r="FH64" s="254"/>
      <c r="FI64" s="254"/>
      <c r="FJ64" s="254"/>
      <c r="FK64" s="254"/>
      <c r="FL64" s="254"/>
      <c r="FM64" s="254"/>
      <c r="FN64" s="254"/>
      <c r="FO64" s="254"/>
      <c r="FP64" s="254"/>
      <c r="FQ64" s="254"/>
      <c r="FR64" s="254"/>
      <c r="FS64" s="254"/>
      <c r="FT64" s="254"/>
      <c r="FU64" s="254"/>
      <c r="FV64" s="254"/>
      <c r="FW64" s="254"/>
      <c r="FX64" s="254"/>
      <c r="FY64" s="254"/>
      <c r="FZ64" s="254"/>
      <c r="GA64" s="254"/>
      <c r="GB64" s="254"/>
      <c r="GC64" s="254"/>
      <c r="GD64" s="254"/>
      <c r="GE64" s="254"/>
      <c r="GF64" s="254"/>
      <c r="GG64" s="254"/>
      <c r="GH64" s="254"/>
      <c r="GI64" s="254"/>
      <c r="GJ64" s="254"/>
      <c r="GK64" s="254"/>
      <c r="GL64" s="254"/>
      <c r="GM64" s="254"/>
      <c r="GN64" s="254"/>
      <c r="GO64" s="254"/>
      <c r="GP64" s="254"/>
      <c r="GQ64" s="254"/>
      <c r="GR64" s="254"/>
      <c r="GS64" s="254"/>
      <c r="GT64" s="254"/>
      <c r="GU64" s="254"/>
      <c r="GV64" s="254"/>
      <c r="GW64" s="254"/>
      <c r="GX64" s="254"/>
      <c r="GY64" s="254"/>
      <c r="GZ64" s="254"/>
      <c r="HA64" s="254"/>
      <c r="HB64" s="254"/>
      <c r="HC64" s="254"/>
      <c r="HD64" s="254"/>
      <c r="HE64" s="254"/>
      <c r="HF64" s="254"/>
      <c r="HG64" s="254"/>
      <c r="HH64" s="254"/>
      <c r="HI64" s="254"/>
      <c r="HJ64" s="254"/>
      <c r="HK64" s="254"/>
    </row>
    <row r="65" spans="1:219" s="259" customFormat="1" ht="21.75" customHeight="1">
      <c r="A65" s="260">
        <v>496</v>
      </c>
      <c r="B65" s="266" t="s">
        <v>550</v>
      </c>
      <c r="C65" s="266" t="s">
        <v>1286</v>
      </c>
      <c r="D65" s="317">
        <v>39295</v>
      </c>
      <c r="E65" s="317">
        <v>40210</v>
      </c>
      <c r="F65" s="266" t="s">
        <v>24</v>
      </c>
      <c r="G65" s="259" t="s">
        <v>1454</v>
      </c>
      <c r="H65" s="266" t="s">
        <v>983</v>
      </c>
      <c r="I65" s="278" t="s">
        <v>2438</v>
      </c>
      <c r="J65" s="318">
        <v>37500</v>
      </c>
      <c r="K65" s="318">
        <v>10532683</v>
      </c>
      <c r="L65" s="318">
        <v>10539123</v>
      </c>
      <c r="M65" s="318">
        <v>10536800</v>
      </c>
      <c r="N65" s="256">
        <v>280.98133333333334</v>
      </c>
      <c r="O65" s="318">
        <v>100</v>
      </c>
      <c r="P65" s="318" t="s">
        <v>339</v>
      </c>
      <c r="Q65" s="330" t="s">
        <v>339</v>
      </c>
      <c r="R65" s="330" t="s">
        <v>339</v>
      </c>
      <c r="S65" s="318"/>
      <c r="T65" s="318"/>
      <c r="U65" s="318"/>
      <c r="V65" s="318">
        <v>85072</v>
      </c>
      <c r="W65" s="318">
        <v>85072</v>
      </c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  <c r="AH65" s="318"/>
      <c r="AI65" s="318"/>
      <c r="AJ65" s="301">
        <v>0</v>
      </c>
      <c r="AK65" s="318"/>
      <c r="AL65" s="318">
        <v>80</v>
      </c>
      <c r="AM65" s="318"/>
      <c r="AN65" s="319"/>
      <c r="AO65" s="319"/>
      <c r="AP65" s="319"/>
      <c r="AQ65" s="319"/>
      <c r="AR65" s="319"/>
      <c r="AS65" s="319"/>
      <c r="AT65" s="319"/>
      <c r="AU65" s="319"/>
      <c r="AV65" s="320" t="s">
        <v>984</v>
      </c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54"/>
      <c r="BP65" s="254"/>
      <c r="BQ65" s="254"/>
      <c r="BR65" s="254"/>
      <c r="BS65" s="254"/>
      <c r="BT65" s="254"/>
      <c r="BU65" s="254"/>
      <c r="BV65" s="254"/>
      <c r="BW65" s="254"/>
      <c r="BX65" s="254"/>
      <c r="BY65" s="254"/>
      <c r="BZ65" s="254"/>
      <c r="CA65" s="254"/>
      <c r="CB65" s="254"/>
      <c r="CC65" s="254"/>
      <c r="CD65" s="254"/>
      <c r="CE65" s="254"/>
      <c r="CF65" s="254"/>
      <c r="CG65" s="254"/>
      <c r="CH65" s="254"/>
      <c r="CI65" s="254"/>
      <c r="CJ65" s="254"/>
      <c r="CK65" s="254"/>
      <c r="CL65" s="254"/>
      <c r="CM65" s="254"/>
      <c r="CN65" s="254"/>
      <c r="CO65" s="254"/>
      <c r="CP65" s="254"/>
      <c r="CQ65" s="254"/>
      <c r="CR65" s="254"/>
      <c r="CS65" s="254"/>
      <c r="CT65" s="254"/>
      <c r="CU65" s="254"/>
      <c r="CV65" s="254"/>
      <c r="CW65" s="254"/>
      <c r="CX65" s="254"/>
      <c r="CY65" s="254"/>
      <c r="CZ65" s="254"/>
      <c r="DA65" s="254"/>
      <c r="DB65" s="254"/>
      <c r="DC65" s="254"/>
      <c r="DD65" s="254"/>
      <c r="DE65" s="254"/>
      <c r="DF65" s="254"/>
      <c r="DG65" s="254"/>
      <c r="DH65" s="254"/>
      <c r="DI65" s="254"/>
      <c r="DJ65" s="254"/>
      <c r="DK65" s="254"/>
      <c r="DL65" s="254"/>
      <c r="DM65" s="254"/>
      <c r="DN65" s="254"/>
      <c r="DO65" s="254"/>
      <c r="DP65" s="254"/>
      <c r="DQ65" s="254"/>
      <c r="DR65" s="254"/>
      <c r="DS65" s="254"/>
      <c r="DT65" s="254"/>
      <c r="DU65" s="254"/>
      <c r="DV65" s="254"/>
      <c r="DW65" s="254"/>
      <c r="DX65" s="254"/>
      <c r="DY65" s="254"/>
      <c r="DZ65" s="254"/>
      <c r="EA65" s="254"/>
      <c r="EB65" s="254"/>
      <c r="EC65" s="254"/>
      <c r="ED65" s="254"/>
      <c r="EE65" s="254"/>
      <c r="EF65" s="254"/>
      <c r="EG65" s="254"/>
      <c r="EH65" s="254"/>
      <c r="EI65" s="254"/>
      <c r="EJ65" s="254"/>
      <c r="EK65" s="254"/>
      <c r="EL65" s="254"/>
      <c r="EM65" s="254"/>
      <c r="EN65" s="254"/>
      <c r="EO65" s="254"/>
      <c r="EP65" s="254"/>
      <c r="EQ65" s="254"/>
      <c r="ER65" s="254"/>
      <c r="ES65" s="254"/>
      <c r="ET65" s="254"/>
      <c r="EU65" s="254"/>
      <c r="EV65" s="254"/>
      <c r="EW65" s="254"/>
      <c r="EX65" s="254"/>
      <c r="EY65" s="254"/>
      <c r="EZ65" s="254"/>
      <c r="FA65" s="254"/>
      <c r="FB65" s="254"/>
      <c r="FC65" s="254"/>
      <c r="FD65" s="254"/>
      <c r="FE65" s="254"/>
      <c r="FF65" s="254"/>
      <c r="FG65" s="254"/>
      <c r="FH65" s="254"/>
      <c r="FI65" s="254"/>
      <c r="FJ65" s="254"/>
      <c r="FK65" s="254"/>
      <c r="FL65" s="254"/>
      <c r="FM65" s="254"/>
      <c r="FN65" s="254"/>
      <c r="FO65" s="254"/>
      <c r="FP65" s="254"/>
      <c r="FQ65" s="254"/>
      <c r="FR65" s="254"/>
      <c r="FS65" s="254"/>
      <c r="FT65" s="254"/>
      <c r="FU65" s="254"/>
      <c r="FV65" s="254"/>
      <c r="FW65" s="254"/>
      <c r="FX65" s="254"/>
      <c r="FY65" s="254"/>
      <c r="FZ65" s="254"/>
      <c r="GA65" s="254"/>
      <c r="GB65" s="254"/>
      <c r="GC65" s="254"/>
      <c r="GD65" s="254"/>
      <c r="GE65" s="254"/>
      <c r="GF65" s="254"/>
      <c r="GG65" s="254"/>
      <c r="GH65" s="254"/>
      <c r="GI65" s="254"/>
      <c r="GJ65" s="254"/>
      <c r="GK65" s="254"/>
      <c r="GL65" s="254"/>
      <c r="GM65" s="254"/>
      <c r="GN65" s="254"/>
      <c r="GO65" s="254"/>
      <c r="GP65" s="254"/>
      <c r="GQ65" s="254"/>
      <c r="GR65" s="254"/>
      <c r="GS65" s="254"/>
      <c r="GT65" s="254"/>
      <c r="GU65" s="254"/>
      <c r="GV65" s="254"/>
      <c r="GW65" s="254"/>
      <c r="GX65" s="254"/>
      <c r="GY65" s="254"/>
      <c r="GZ65" s="254"/>
      <c r="HA65" s="254"/>
      <c r="HB65" s="254"/>
      <c r="HC65" s="254"/>
      <c r="HD65" s="254"/>
      <c r="HE65" s="254"/>
      <c r="HF65" s="254"/>
      <c r="HG65" s="254"/>
      <c r="HH65" s="254"/>
      <c r="HI65" s="254"/>
      <c r="HJ65" s="254"/>
      <c r="HK65" s="254"/>
    </row>
    <row r="66" spans="1:219" s="259" customFormat="1" ht="15">
      <c r="A66" s="260">
        <v>497</v>
      </c>
      <c r="B66" s="259" t="s">
        <v>550</v>
      </c>
      <c r="C66" s="254" t="s">
        <v>1286</v>
      </c>
      <c r="D66" s="351">
        <v>39234</v>
      </c>
      <c r="E66" s="351">
        <v>39569</v>
      </c>
      <c r="F66" s="259" t="s">
        <v>1750</v>
      </c>
      <c r="G66" s="259" t="s">
        <v>1453</v>
      </c>
      <c r="H66" s="259" t="s">
        <v>1864</v>
      </c>
      <c r="I66" s="254" t="s">
        <v>2331</v>
      </c>
      <c r="J66" s="298">
        <v>6570</v>
      </c>
      <c r="K66" s="298">
        <v>188000</v>
      </c>
      <c r="L66" s="298">
        <v>167054</v>
      </c>
      <c r="M66" s="298">
        <v>167054</v>
      </c>
      <c r="N66" s="256">
        <v>25.426788432267884</v>
      </c>
      <c r="O66" s="298">
        <v>89</v>
      </c>
      <c r="P66" s="298"/>
      <c r="Q66" s="298"/>
      <c r="R66" s="256"/>
      <c r="S66" s="298"/>
      <c r="T66" s="298"/>
      <c r="U66" s="298">
        <v>8180</v>
      </c>
      <c r="V66" s="298"/>
      <c r="W66" s="298"/>
      <c r="X66" s="256"/>
      <c r="Y66" s="298"/>
      <c r="Z66" s="298"/>
      <c r="AA66" s="298"/>
      <c r="AB66" s="298"/>
      <c r="AC66" s="298"/>
      <c r="AD66" s="298"/>
      <c r="AE66" s="298"/>
      <c r="AF66" s="298"/>
      <c r="AG66" s="298"/>
      <c r="AH66" s="298"/>
      <c r="AI66" s="298"/>
      <c r="AJ66" s="301">
        <v>0</v>
      </c>
      <c r="AK66" s="298">
        <v>374</v>
      </c>
      <c r="AL66" s="298">
        <v>332.86</v>
      </c>
      <c r="AM66" s="318"/>
      <c r="AN66" s="301"/>
      <c r="AO66" s="301"/>
      <c r="AP66" s="301"/>
      <c r="AQ66" s="301"/>
      <c r="AR66" s="301"/>
      <c r="AS66" s="301"/>
      <c r="AT66" s="301" t="s">
        <v>371</v>
      </c>
      <c r="AU66" s="301"/>
      <c r="AV66" s="259" t="s">
        <v>1863</v>
      </c>
      <c r="BN66" s="254"/>
      <c r="BO66" s="254"/>
      <c r="BP66" s="254"/>
      <c r="BQ66" s="254"/>
      <c r="BR66" s="254"/>
      <c r="BS66" s="254"/>
      <c r="BT66" s="254"/>
      <c r="BU66" s="254"/>
      <c r="BV66" s="254"/>
      <c r="BW66" s="254"/>
      <c r="BX66" s="254"/>
      <c r="BY66" s="254"/>
      <c r="BZ66" s="254"/>
      <c r="CA66" s="254"/>
      <c r="CB66" s="254"/>
      <c r="CC66" s="254"/>
      <c r="CD66" s="254"/>
      <c r="CE66" s="254"/>
      <c r="CF66" s="254"/>
      <c r="CG66" s="254"/>
      <c r="CH66" s="254"/>
      <c r="CI66" s="254"/>
      <c r="CJ66" s="254"/>
      <c r="CK66" s="254"/>
      <c r="CL66" s="254"/>
      <c r="CM66" s="254"/>
      <c r="CN66" s="254"/>
      <c r="CO66" s="254"/>
      <c r="CP66" s="254"/>
      <c r="CQ66" s="254"/>
      <c r="CR66" s="254"/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4"/>
      <c r="DF66" s="254"/>
      <c r="DG66" s="254"/>
      <c r="DH66" s="254"/>
      <c r="DI66" s="254"/>
      <c r="DJ66" s="254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54"/>
      <c r="EB66" s="254"/>
      <c r="EC66" s="254"/>
      <c r="ED66" s="254"/>
      <c r="EE66" s="254"/>
      <c r="EF66" s="254"/>
      <c r="EG66" s="254"/>
      <c r="EH66" s="254"/>
      <c r="EI66" s="254"/>
      <c r="EJ66" s="254"/>
      <c r="EK66" s="254"/>
      <c r="EL66" s="254"/>
      <c r="EM66" s="254"/>
      <c r="EN66" s="254"/>
      <c r="EO66" s="254"/>
      <c r="EP66" s="254"/>
      <c r="EQ66" s="254"/>
      <c r="ER66" s="254"/>
      <c r="ES66" s="254"/>
      <c r="ET66" s="254"/>
      <c r="EU66" s="254"/>
      <c r="EV66" s="254"/>
      <c r="EW66" s="254"/>
      <c r="EX66" s="254"/>
      <c r="EY66" s="254"/>
      <c r="EZ66" s="254"/>
      <c r="FA66" s="254"/>
      <c r="FB66" s="254"/>
      <c r="FC66" s="254"/>
      <c r="FD66" s="254"/>
      <c r="FE66" s="254"/>
      <c r="FF66" s="254"/>
      <c r="FG66" s="254"/>
      <c r="FH66" s="254"/>
      <c r="FI66" s="254"/>
      <c r="FJ66" s="254"/>
      <c r="FK66" s="254"/>
      <c r="FL66" s="254"/>
      <c r="FM66" s="254"/>
      <c r="FN66" s="254"/>
      <c r="FO66" s="254"/>
      <c r="FP66" s="254"/>
      <c r="FQ66" s="254"/>
      <c r="FR66" s="254"/>
      <c r="FS66" s="254"/>
      <c r="FT66" s="254"/>
      <c r="FU66" s="254"/>
      <c r="FV66" s="254"/>
      <c r="FW66" s="254"/>
      <c r="FX66" s="254"/>
      <c r="FY66" s="254"/>
      <c r="FZ66" s="254"/>
      <c r="GA66" s="254"/>
      <c r="GB66" s="254"/>
      <c r="GC66" s="254"/>
      <c r="GD66" s="254"/>
      <c r="GE66" s="254"/>
      <c r="GF66" s="254"/>
      <c r="GG66" s="254"/>
      <c r="GH66" s="254"/>
      <c r="GI66" s="254"/>
      <c r="GJ66" s="254"/>
      <c r="GK66" s="254"/>
      <c r="GL66" s="254"/>
      <c r="GM66" s="254"/>
      <c r="GN66" s="254"/>
      <c r="GO66" s="254"/>
      <c r="GP66" s="254"/>
      <c r="GQ66" s="254"/>
      <c r="GR66" s="254"/>
      <c r="GS66" s="254"/>
      <c r="GT66" s="254"/>
      <c r="GU66" s="254"/>
      <c r="GV66" s="254"/>
      <c r="GW66" s="254"/>
      <c r="GX66" s="254"/>
      <c r="GY66" s="254"/>
      <c r="GZ66" s="254"/>
      <c r="HA66" s="254"/>
      <c r="HB66" s="254"/>
      <c r="HC66" s="254"/>
      <c r="HD66" s="254"/>
      <c r="HE66" s="254"/>
      <c r="HF66" s="254"/>
      <c r="HG66" s="254"/>
      <c r="HH66" s="254"/>
      <c r="HI66" s="254"/>
      <c r="HJ66" s="254"/>
      <c r="HK66" s="254"/>
    </row>
    <row r="67" spans="1:219" s="254" customFormat="1" ht="15">
      <c r="A67" s="260">
        <v>498</v>
      </c>
      <c r="B67" s="254" t="s">
        <v>170</v>
      </c>
      <c r="C67" s="254" t="s">
        <v>1299</v>
      </c>
      <c r="D67" s="255">
        <v>39387</v>
      </c>
      <c r="E67" s="395">
        <v>39387</v>
      </c>
      <c r="F67" s="254" t="s">
        <v>1469</v>
      </c>
      <c r="G67" s="254" t="s">
        <v>1451</v>
      </c>
      <c r="H67" s="254" t="s">
        <v>1785</v>
      </c>
      <c r="I67" s="254" t="s">
        <v>2331</v>
      </c>
      <c r="J67" s="256">
        <v>5000</v>
      </c>
      <c r="K67" s="256">
        <v>67600</v>
      </c>
      <c r="L67" s="256">
        <v>67395.67</v>
      </c>
      <c r="M67" s="256">
        <v>67395.67</v>
      </c>
      <c r="N67" s="256">
        <v>13.479134</v>
      </c>
      <c r="O67" s="256">
        <v>99.697736686390527</v>
      </c>
      <c r="P67" s="256"/>
      <c r="Q67" s="256"/>
      <c r="R67" s="256">
        <v>5000</v>
      </c>
      <c r="S67" s="256"/>
      <c r="T67" s="256"/>
      <c r="U67" s="256">
        <v>5000</v>
      </c>
      <c r="V67" s="256"/>
      <c r="W67" s="256"/>
      <c r="X67" s="349">
        <v>0</v>
      </c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  <c r="AI67" s="256"/>
      <c r="AJ67" s="288">
        <v>0</v>
      </c>
      <c r="AK67" s="256"/>
      <c r="AL67" s="256"/>
      <c r="AM67" s="256"/>
      <c r="AN67" s="288"/>
      <c r="AO67" s="288"/>
      <c r="AP67" s="288"/>
      <c r="AQ67" s="288"/>
      <c r="AR67" s="288"/>
      <c r="AS67" s="288"/>
      <c r="AT67" s="288"/>
      <c r="AU67" s="288"/>
      <c r="AV67" s="346" t="s">
        <v>1784</v>
      </c>
    </row>
    <row r="68" spans="1:219" s="259" customFormat="1" ht="15">
      <c r="A68" s="260">
        <v>499</v>
      </c>
      <c r="B68" s="259" t="s">
        <v>871</v>
      </c>
      <c r="C68" s="254" t="s">
        <v>1260</v>
      </c>
      <c r="D68" s="351">
        <v>39142</v>
      </c>
      <c r="E68" s="351">
        <v>39387</v>
      </c>
      <c r="F68" s="259" t="s">
        <v>1823</v>
      </c>
      <c r="G68" s="259" t="s">
        <v>1464</v>
      </c>
      <c r="H68" s="259" t="s">
        <v>1897</v>
      </c>
      <c r="I68" s="254" t="s">
        <v>2331</v>
      </c>
      <c r="J68" s="298">
        <v>1500</v>
      </c>
      <c r="K68" s="298">
        <v>105000</v>
      </c>
      <c r="L68" s="298">
        <v>105000</v>
      </c>
      <c r="M68" s="298">
        <v>105000</v>
      </c>
      <c r="N68" s="256">
        <v>70</v>
      </c>
      <c r="O68" s="256">
        <v>100</v>
      </c>
      <c r="P68" s="298"/>
      <c r="Q68" s="298"/>
      <c r="R68" s="256"/>
      <c r="S68" s="298"/>
      <c r="T68" s="298"/>
      <c r="U68" s="298"/>
      <c r="V68" s="298" t="s">
        <v>66</v>
      </c>
      <c r="W68" s="298">
        <v>152</v>
      </c>
      <c r="X68" s="256"/>
      <c r="Y68" s="298"/>
      <c r="Z68" s="298">
        <v>1500</v>
      </c>
      <c r="AA68" s="298"/>
      <c r="AB68" s="298"/>
      <c r="AC68" s="298"/>
      <c r="AD68" s="298"/>
      <c r="AE68" s="298"/>
      <c r="AF68" s="298"/>
      <c r="AG68" s="298"/>
      <c r="AH68" s="298"/>
      <c r="AI68" s="298"/>
      <c r="AJ68" s="301">
        <v>1500</v>
      </c>
      <c r="AK68" s="298">
        <v>621</v>
      </c>
      <c r="AL68" s="298">
        <v>620</v>
      </c>
      <c r="AM68" s="318">
        <f>AL68/AJ68</f>
        <v>0.41333333333333333</v>
      </c>
      <c r="AN68" s="301"/>
      <c r="AO68" s="301"/>
      <c r="AP68" s="301"/>
      <c r="AQ68" s="301"/>
      <c r="AR68" s="301"/>
      <c r="AS68" s="301"/>
      <c r="AT68" s="301"/>
      <c r="AU68" s="301"/>
      <c r="AV68" s="352" t="s">
        <v>1896</v>
      </c>
      <c r="BN68" s="254"/>
      <c r="BO68" s="254"/>
      <c r="BP68" s="254"/>
      <c r="BQ68" s="254"/>
      <c r="BR68" s="254"/>
      <c r="BS68" s="254"/>
      <c r="BT68" s="254"/>
      <c r="BU68" s="254"/>
      <c r="BV68" s="254"/>
      <c r="BW68" s="254"/>
      <c r="BX68" s="254"/>
      <c r="BY68" s="254"/>
      <c r="BZ68" s="254"/>
      <c r="CA68" s="254"/>
      <c r="CB68" s="254"/>
      <c r="CC68" s="254"/>
      <c r="CD68" s="254"/>
      <c r="CE68" s="254"/>
      <c r="CF68" s="254"/>
      <c r="CG68" s="254"/>
      <c r="CH68" s="254"/>
      <c r="CI68" s="254"/>
      <c r="CJ68" s="254"/>
      <c r="CK68" s="254"/>
      <c r="CL68" s="254"/>
      <c r="CM68" s="254"/>
      <c r="CN68" s="254"/>
      <c r="CO68" s="254"/>
      <c r="CP68" s="254"/>
      <c r="CQ68" s="254"/>
      <c r="CR68" s="254"/>
      <c r="CS68" s="254"/>
      <c r="CT68" s="254"/>
      <c r="CU68" s="254"/>
      <c r="CV68" s="254"/>
      <c r="CW68" s="254"/>
      <c r="CX68" s="254"/>
      <c r="CY68" s="254"/>
      <c r="CZ68" s="254"/>
      <c r="DA68" s="254"/>
      <c r="DB68" s="254"/>
      <c r="DC68" s="254"/>
      <c r="DD68" s="254"/>
      <c r="DE68" s="254"/>
      <c r="DF68" s="254"/>
      <c r="DG68" s="254"/>
      <c r="DH68" s="254"/>
      <c r="DI68" s="254"/>
      <c r="DJ68" s="254"/>
      <c r="DK68" s="254"/>
      <c r="DL68" s="254"/>
      <c r="DM68" s="254"/>
      <c r="DN68" s="254"/>
      <c r="DO68" s="254"/>
      <c r="DP68" s="254"/>
      <c r="DQ68" s="254"/>
      <c r="DR68" s="254"/>
      <c r="DS68" s="254"/>
      <c r="DT68" s="254"/>
      <c r="DU68" s="254"/>
      <c r="DV68" s="254"/>
      <c r="DW68" s="254"/>
      <c r="DX68" s="254"/>
      <c r="DY68" s="254"/>
      <c r="DZ68" s="254"/>
      <c r="EA68" s="254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4"/>
      <c r="EU68" s="254"/>
      <c r="EV68" s="254"/>
      <c r="EW68" s="254"/>
      <c r="EX68" s="254"/>
      <c r="EY68" s="254"/>
      <c r="EZ68" s="254"/>
      <c r="FA68" s="254"/>
      <c r="FB68" s="254"/>
      <c r="FC68" s="254"/>
      <c r="FD68" s="254"/>
      <c r="FE68" s="254"/>
      <c r="FF68" s="254"/>
      <c r="FG68" s="254"/>
      <c r="FH68" s="254"/>
      <c r="FI68" s="254"/>
      <c r="FJ68" s="254"/>
      <c r="FK68" s="254"/>
      <c r="FL68" s="254"/>
      <c r="FM68" s="254"/>
      <c r="FN68" s="254"/>
      <c r="FO68" s="254"/>
      <c r="FP68" s="254"/>
      <c r="FQ68" s="254"/>
      <c r="FR68" s="254"/>
      <c r="FS68" s="254"/>
      <c r="FT68" s="254"/>
      <c r="FU68" s="254"/>
      <c r="FV68" s="254"/>
      <c r="FW68" s="254"/>
      <c r="FX68" s="254"/>
      <c r="FY68" s="254"/>
      <c r="FZ68" s="254"/>
      <c r="GA68" s="254"/>
      <c r="GB68" s="254"/>
      <c r="GC68" s="254"/>
      <c r="GD68" s="254"/>
      <c r="GE68" s="254"/>
      <c r="GF68" s="254"/>
      <c r="GG68" s="254"/>
      <c r="GH68" s="254"/>
      <c r="GI68" s="254"/>
      <c r="GJ68" s="254"/>
      <c r="GK68" s="254"/>
      <c r="GL68" s="254"/>
      <c r="GM68" s="254"/>
      <c r="GN68" s="254"/>
      <c r="GO68" s="254"/>
      <c r="GP68" s="254"/>
      <c r="GQ68" s="254"/>
      <c r="GR68" s="254"/>
      <c r="GS68" s="254"/>
      <c r="GT68" s="254"/>
      <c r="GU68" s="254"/>
      <c r="GV68" s="254"/>
      <c r="GW68" s="254"/>
      <c r="GX68" s="254"/>
      <c r="GY68" s="254"/>
      <c r="GZ68" s="254"/>
      <c r="HA68" s="254"/>
      <c r="HB68" s="254"/>
      <c r="HC68" s="254"/>
      <c r="HD68" s="254"/>
      <c r="HE68" s="254"/>
      <c r="HF68" s="254"/>
      <c r="HG68" s="254"/>
      <c r="HH68" s="254"/>
      <c r="HI68" s="254"/>
      <c r="HJ68" s="254"/>
      <c r="HK68" s="254"/>
    </row>
    <row r="69" spans="1:219" s="254" customFormat="1" ht="15">
      <c r="A69" s="260">
        <v>500</v>
      </c>
      <c r="B69" s="261" t="s">
        <v>153</v>
      </c>
      <c r="C69" s="261" t="s">
        <v>1299</v>
      </c>
      <c r="D69" s="262">
        <v>39356</v>
      </c>
      <c r="E69" s="262">
        <v>39753</v>
      </c>
      <c r="F69" s="342" t="s">
        <v>5</v>
      </c>
      <c r="G69" s="254" t="s">
        <v>1451</v>
      </c>
      <c r="H69" s="261" t="s">
        <v>575</v>
      </c>
      <c r="I69" s="254" t="s">
        <v>2331</v>
      </c>
      <c r="J69" s="263">
        <v>5100</v>
      </c>
      <c r="K69" s="263">
        <v>188899</v>
      </c>
      <c r="L69" s="263">
        <v>190366</v>
      </c>
      <c r="M69" s="263">
        <v>190366</v>
      </c>
      <c r="N69" s="256">
        <v>37.326666666666668</v>
      </c>
      <c r="O69" s="263">
        <v>101</v>
      </c>
      <c r="P69" s="263">
        <v>5100</v>
      </c>
      <c r="Q69" s="263">
        <v>5100</v>
      </c>
      <c r="R69" s="263">
        <v>5100</v>
      </c>
      <c r="S69" s="263" t="s">
        <v>2</v>
      </c>
      <c r="T69" s="263">
        <v>26</v>
      </c>
      <c r="U69" s="263">
        <v>5100</v>
      </c>
      <c r="V69" s="263">
        <v>3883</v>
      </c>
      <c r="W69" s="263">
        <v>3921.83</v>
      </c>
      <c r="X69" s="349">
        <v>0.76898627450980395</v>
      </c>
      <c r="Y69" s="263" t="s">
        <v>75</v>
      </c>
      <c r="Z69" s="263" t="s">
        <v>75</v>
      </c>
      <c r="AA69" s="263" t="s">
        <v>75</v>
      </c>
      <c r="AB69" s="263" t="s">
        <v>75</v>
      </c>
      <c r="AC69" s="263" t="s">
        <v>75</v>
      </c>
      <c r="AD69" s="263" t="s">
        <v>75</v>
      </c>
      <c r="AE69" s="263" t="s">
        <v>75</v>
      </c>
      <c r="AF69" s="263" t="s">
        <v>75</v>
      </c>
      <c r="AG69" s="263" t="s">
        <v>75</v>
      </c>
      <c r="AH69" s="263" t="s">
        <v>75</v>
      </c>
      <c r="AI69" s="263" t="s">
        <v>75</v>
      </c>
      <c r="AJ69" s="288">
        <v>0</v>
      </c>
      <c r="AK69" s="263" t="s">
        <v>75</v>
      </c>
      <c r="AL69" s="263" t="s">
        <v>75</v>
      </c>
      <c r="AM69" s="263"/>
      <c r="AN69" s="264"/>
      <c r="AO69" s="264" t="s">
        <v>75</v>
      </c>
      <c r="AP69" s="264" t="s">
        <v>75</v>
      </c>
      <c r="AQ69" s="264" t="s">
        <v>75</v>
      </c>
      <c r="AR69" s="264" t="s">
        <v>75</v>
      </c>
      <c r="AS69" s="264" t="s">
        <v>75</v>
      </c>
      <c r="AT69" s="264" t="s">
        <v>75</v>
      </c>
      <c r="AU69" s="264" t="s">
        <v>75</v>
      </c>
      <c r="AV69" s="344" t="s">
        <v>574</v>
      </c>
      <c r="AW69" s="261"/>
      <c r="AX69" s="261"/>
      <c r="AY69" s="261"/>
      <c r="AZ69" s="261"/>
      <c r="BA69" s="261"/>
      <c r="BB69" s="261"/>
      <c r="BC69" s="261"/>
      <c r="BD69" s="261"/>
      <c r="BE69" s="261"/>
      <c r="BF69" s="261"/>
      <c r="BG69" s="261"/>
      <c r="BH69" s="261"/>
      <c r="BI69" s="261"/>
      <c r="BJ69" s="261"/>
      <c r="BK69" s="261"/>
      <c r="BL69" s="261"/>
      <c r="BM69" s="261"/>
      <c r="BN69" s="261"/>
    </row>
    <row r="70" spans="1:219" s="254" customFormat="1" ht="18" customHeight="1">
      <c r="A70" s="260">
        <v>501</v>
      </c>
      <c r="B70" s="342" t="s">
        <v>248</v>
      </c>
      <c r="C70" s="342" t="s">
        <v>1299</v>
      </c>
      <c r="D70" s="317">
        <v>39356</v>
      </c>
      <c r="E70" s="317">
        <v>39661</v>
      </c>
      <c r="F70" s="342" t="s">
        <v>168</v>
      </c>
      <c r="G70" s="254" t="s">
        <v>1449</v>
      </c>
      <c r="H70" s="342" t="s">
        <v>809</v>
      </c>
      <c r="I70" s="254" t="s">
        <v>2331</v>
      </c>
      <c r="J70" s="318">
        <v>2324</v>
      </c>
      <c r="K70" s="318">
        <v>40000</v>
      </c>
      <c r="L70" s="318">
        <v>39451</v>
      </c>
      <c r="M70" s="318">
        <v>39451</v>
      </c>
      <c r="N70" s="256">
        <v>16.975473321858864</v>
      </c>
      <c r="O70" s="318">
        <v>99</v>
      </c>
      <c r="P70" s="318">
        <v>5882</v>
      </c>
      <c r="Q70" s="318">
        <v>5882</v>
      </c>
      <c r="R70" s="318">
        <v>5882</v>
      </c>
      <c r="S70" s="318" t="s">
        <v>849</v>
      </c>
      <c r="T70" s="318">
        <v>240</v>
      </c>
      <c r="U70" s="318">
        <v>5882</v>
      </c>
      <c r="V70" s="318" t="s">
        <v>339</v>
      </c>
      <c r="W70" s="318">
        <v>11038</v>
      </c>
      <c r="X70" s="349">
        <v>1.8765725943556613</v>
      </c>
      <c r="Y70" s="318">
        <v>5882</v>
      </c>
      <c r="Z70" s="318" t="s">
        <v>75</v>
      </c>
      <c r="AA70" s="318">
        <v>5882</v>
      </c>
      <c r="AB70" s="318">
        <v>240</v>
      </c>
      <c r="AC70" s="318" t="s">
        <v>75</v>
      </c>
      <c r="AD70" s="318" t="s">
        <v>75</v>
      </c>
      <c r="AE70" s="318" t="s">
        <v>75</v>
      </c>
      <c r="AF70" s="318" t="s">
        <v>75</v>
      </c>
      <c r="AG70" s="318" t="s">
        <v>75</v>
      </c>
      <c r="AH70" s="318" t="s">
        <v>75</v>
      </c>
      <c r="AI70" s="318" t="s">
        <v>75</v>
      </c>
      <c r="AJ70" s="288">
        <v>5882</v>
      </c>
      <c r="AK70" s="318" t="s">
        <v>75</v>
      </c>
      <c r="AL70" s="318" t="s">
        <v>75</v>
      </c>
      <c r="AM70" s="318"/>
      <c r="AN70" s="319"/>
      <c r="AO70" s="319" t="s">
        <v>75</v>
      </c>
      <c r="AP70" s="319" t="s">
        <v>75</v>
      </c>
      <c r="AQ70" s="319" t="s">
        <v>75</v>
      </c>
      <c r="AR70" s="319" t="s">
        <v>75</v>
      </c>
      <c r="AS70" s="319" t="s">
        <v>75</v>
      </c>
      <c r="AT70" s="319" t="s">
        <v>75</v>
      </c>
      <c r="AU70" s="319" t="s">
        <v>75</v>
      </c>
      <c r="AV70" s="359" t="s">
        <v>808</v>
      </c>
      <c r="AW70" s="342"/>
      <c r="AX70" s="342"/>
      <c r="AY70" s="342"/>
      <c r="AZ70" s="342"/>
      <c r="BA70" s="342"/>
      <c r="BB70" s="342"/>
      <c r="BC70" s="342"/>
      <c r="BD70" s="342"/>
      <c r="BE70" s="342"/>
      <c r="BF70" s="342"/>
      <c r="BG70" s="342"/>
      <c r="BH70" s="342"/>
      <c r="BI70" s="342"/>
      <c r="BJ70" s="342"/>
      <c r="BK70" s="342"/>
      <c r="BL70" s="342"/>
      <c r="BM70" s="342"/>
      <c r="BN70" s="342"/>
    </row>
    <row r="71" spans="1:219" s="254" customFormat="1" ht="15">
      <c r="A71" s="260">
        <v>502</v>
      </c>
      <c r="B71" s="254" t="s">
        <v>25</v>
      </c>
      <c r="C71" s="254" t="s">
        <v>1260</v>
      </c>
      <c r="D71" s="255">
        <v>39356</v>
      </c>
      <c r="E71" s="255">
        <v>39479</v>
      </c>
      <c r="F71" s="254" t="s">
        <v>5</v>
      </c>
      <c r="G71" s="254" t="s">
        <v>1451</v>
      </c>
      <c r="H71" s="254" t="s">
        <v>1895</v>
      </c>
      <c r="I71" s="254" t="s">
        <v>2331</v>
      </c>
      <c r="J71" s="256">
        <v>4200</v>
      </c>
      <c r="K71" s="256">
        <v>111080</v>
      </c>
      <c r="L71" s="256">
        <v>111080</v>
      </c>
      <c r="M71" s="256">
        <v>111080</v>
      </c>
      <c r="N71" s="256">
        <v>26.447619047619046</v>
      </c>
      <c r="O71" s="256">
        <v>100</v>
      </c>
      <c r="P71" s="256">
        <v>3919.9999999999995</v>
      </c>
      <c r="Q71" s="256"/>
      <c r="R71" s="256">
        <v>3919.9999999999995</v>
      </c>
      <c r="S71" s="256"/>
      <c r="T71" s="256"/>
      <c r="U71" s="256">
        <v>20000</v>
      </c>
      <c r="V71" s="256">
        <v>16700</v>
      </c>
      <c r="W71" s="256">
        <v>16468</v>
      </c>
      <c r="X71" s="349">
        <v>4.2010204081632656</v>
      </c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301">
        <v>0</v>
      </c>
      <c r="AK71" s="256" t="s">
        <v>66</v>
      </c>
      <c r="AL71" s="256" t="s">
        <v>66</v>
      </c>
      <c r="AM71" s="256"/>
      <c r="AN71" s="288"/>
      <c r="AO71" s="288"/>
      <c r="AP71" s="288"/>
      <c r="AQ71" s="288"/>
      <c r="AR71" s="288"/>
      <c r="AS71" s="288"/>
      <c r="AT71" s="288"/>
      <c r="AU71" s="288"/>
      <c r="AV71" s="346" t="s">
        <v>1894</v>
      </c>
    </row>
    <row r="72" spans="1:219" s="389" customFormat="1" ht="15">
      <c r="A72" s="260">
        <v>503</v>
      </c>
      <c r="B72" s="259" t="s">
        <v>1813</v>
      </c>
      <c r="C72" s="259" t="s">
        <v>1260</v>
      </c>
      <c r="D72" s="351">
        <v>39387</v>
      </c>
      <c r="E72" s="351">
        <v>39539</v>
      </c>
      <c r="F72" s="259" t="s">
        <v>5</v>
      </c>
      <c r="G72" s="259" t="s">
        <v>1451</v>
      </c>
      <c r="H72" s="259" t="s">
        <v>1812</v>
      </c>
      <c r="I72" s="254" t="s">
        <v>2331</v>
      </c>
      <c r="J72" s="298">
        <v>3336</v>
      </c>
      <c r="K72" s="298">
        <v>123597</v>
      </c>
      <c r="L72" s="298">
        <v>123597</v>
      </c>
      <c r="M72" s="298">
        <v>123597</v>
      </c>
      <c r="N72" s="256">
        <v>37.049460431654673</v>
      </c>
      <c r="O72" s="298">
        <v>100</v>
      </c>
      <c r="P72" s="298"/>
      <c r="Q72" s="298"/>
      <c r="R72" s="256"/>
      <c r="S72" s="298"/>
      <c r="T72" s="298"/>
      <c r="U72" s="298"/>
      <c r="V72" s="298">
        <v>6683</v>
      </c>
      <c r="W72" s="298">
        <v>6683</v>
      </c>
      <c r="X72" s="256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301">
        <v>0</v>
      </c>
      <c r="AK72" s="298" t="s">
        <v>66</v>
      </c>
      <c r="AL72" s="298" t="s">
        <v>66</v>
      </c>
      <c r="AM72" s="298"/>
      <c r="AN72" s="301"/>
      <c r="AO72" s="301"/>
      <c r="AP72" s="301"/>
      <c r="AQ72" s="301"/>
      <c r="AR72" s="301"/>
      <c r="AS72" s="301"/>
      <c r="AT72" s="301"/>
      <c r="AU72" s="301"/>
      <c r="AV72" s="352" t="s">
        <v>1811</v>
      </c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4"/>
      <c r="BO72" s="254"/>
      <c r="BP72" s="254"/>
      <c r="BQ72" s="254"/>
      <c r="BR72" s="254"/>
      <c r="BS72" s="254"/>
      <c r="BT72" s="254"/>
      <c r="BU72" s="254"/>
      <c r="BV72" s="254"/>
      <c r="BW72" s="254"/>
      <c r="BX72" s="254"/>
      <c r="BY72" s="254"/>
      <c r="BZ72" s="254"/>
      <c r="CA72" s="254"/>
      <c r="CB72" s="254"/>
      <c r="CC72" s="254"/>
      <c r="CD72" s="254"/>
      <c r="CE72" s="254"/>
      <c r="CF72" s="254"/>
      <c r="CG72" s="254"/>
      <c r="CH72" s="254"/>
      <c r="CI72" s="254"/>
      <c r="CJ72" s="254"/>
      <c r="CK72" s="254"/>
      <c r="CL72" s="254"/>
      <c r="CM72" s="254"/>
      <c r="CN72" s="254"/>
      <c r="CO72" s="254"/>
      <c r="CP72" s="254"/>
      <c r="CQ72" s="254"/>
      <c r="CR72" s="254"/>
      <c r="CS72" s="254"/>
      <c r="CT72" s="254"/>
      <c r="CU72" s="254"/>
      <c r="CV72" s="254"/>
      <c r="CW72" s="254"/>
      <c r="CX72" s="254"/>
      <c r="CY72" s="254"/>
      <c r="CZ72" s="254"/>
      <c r="DA72" s="254"/>
      <c r="DB72" s="254"/>
      <c r="DC72" s="254"/>
      <c r="DD72" s="254"/>
      <c r="DE72" s="254"/>
      <c r="DF72" s="254"/>
      <c r="DG72" s="254"/>
      <c r="DH72" s="254"/>
      <c r="DI72" s="254"/>
      <c r="DJ72" s="254"/>
      <c r="DK72" s="254"/>
      <c r="DL72" s="254"/>
      <c r="DM72" s="254"/>
      <c r="DN72" s="254"/>
      <c r="DO72" s="254"/>
      <c r="DP72" s="254"/>
      <c r="DQ72" s="254"/>
      <c r="DR72" s="254"/>
      <c r="DS72" s="254"/>
      <c r="DT72" s="254"/>
      <c r="DU72" s="254"/>
      <c r="DV72" s="254"/>
      <c r="DW72" s="254"/>
      <c r="DX72" s="254"/>
      <c r="DY72" s="254"/>
      <c r="DZ72" s="254"/>
      <c r="EA72" s="254"/>
      <c r="EB72" s="254"/>
      <c r="EC72" s="254"/>
      <c r="ED72" s="254"/>
      <c r="EE72" s="254"/>
      <c r="EF72" s="254"/>
      <c r="EG72" s="254"/>
      <c r="EH72" s="254"/>
      <c r="EI72" s="254"/>
      <c r="EJ72" s="254"/>
      <c r="EK72" s="254"/>
      <c r="EL72" s="254"/>
      <c r="EM72" s="254"/>
      <c r="EN72" s="254"/>
      <c r="EO72" s="254"/>
      <c r="EP72" s="254"/>
      <c r="EQ72" s="254"/>
      <c r="ER72" s="254"/>
      <c r="ES72" s="254"/>
      <c r="ET72" s="254"/>
      <c r="EU72" s="254"/>
      <c r="EV72" s="254"/>
      <c r="EW72" s="254"/>
      <c r="EX72" s="254"/>
      <c r="EY72" s="254"/>
      <c r="EZ72" s="254"/>
      <c r="FA72" s="254"/>
      <c r="FB72" s="254"/>
      <c r="FC72" s="254"/>
      <c r="FD72" s="254"/>
      <c r="FE72" s="254"/>
      <c r="FF72" s="254"/>
      <c r="FG72" s="254"/>
      <c r="FH72" s="254"/>
      <c r="FI72" s="254"/>
      <c r="FJ72" s="254"/>
      <c r="FK72" s="254"/>
      <c r="FL72" s="254"/>
      <c r="FM72" s="254"/>
      <c r="FN72" s="254"/>
      <c r="FO72" s="254"/>
      <c r="FP72" s="254"/>
      <c r="FQ72" s="254"/>
      <c r="FR72" s="254"/>
      <c r="FS72" s="254"/>
      <c r="FT72" s="254"/>
      <c r="FU72" s="254"/>
      <c r="FV72" s="254"/>
      <c r="FW72" s="254"/>
      <c r="FX72" s="254"/>
      <c r="FY72" s="254"/>
      <c r="FZ72" s="254"/>
      <c r="GA72" s="254"/>
      <c r="GB72" s="254"/>
      <c r="GC72" s="254"/>
      <c r="GD72" s="254"/>
      <c r="GE72" s="254"/>
      <c r="GF72" s="254"/>
      <c r="GG72" s="254"/>
      <c r="GH72" s="254"/>
      <c r="GI72" s="254"/>
      <c r="GJ72" s="254"/>
      <c r="GK72" s="254"/>
      <c r="GL72" s="254"/>
      <c r="GM72" s="254"/>
      <c r="GN72" s="254"/>
      <c r="GO72" s="254"/>
      <c r="GP72" s="254"/>
      <c r="GQ72" s="254"/>
      <c r="GR72" s="254"/>
      <c r="GS72" s="254"/>
      <c r="GT72" s="254"/>
      <c r="GU72" s="254"/>
      <c r="GV72" s="254"/>
      <c r="GW72" s="254"/>
      <c r="GX72" s="254"/>
      <c r="GY72" s="254"/>
      <c r="GZ72" s="254"/>
      <c r="HA72" s="254"/>
      <c r="HB72" s="254"/>
      <c r="HC72" s="254"/>
      <c r="HD72" s="254"/>
      <c r="HE72" s="254"/>
      <c r="HF72" s="254"/>
      <c r="HG72" s="254"/>
      <c r="HH72" s="254"/>
      <c r="HI72" s="254"/>
      <c r="HJ72" s="254"/>
      <c r="HK72" s="254"/>
    </row>
    <row r="73" spans="1:219" s="254" customFormat="1" ht="19.5" customHeight="1">
      <c r="A73" s="260">
        <v>504</v>
      </c>
      <c r="B73" s="261" t="s">
        <v>638</v>
      </c>
      <c r="C73" s="261" t="s">
        <v>1261</v>
      </c>
      <c r="D73" s="262">
        <v>39186</v>
      </c>
      <c r="E73" s="262">
        <v>40070</v>
      </c>
      <c r="F73" s="342" t="s">
        <v>637</v>
      </c>
      <c r="G73" s="254" t="s">
        <v>1454</v>
      </c>
      <c r="H73" s="261" t="s">
        <v>636</v>
      </c>
      <c r="I73" s="278" t="s">
        <v>2438</v>
      </c>
      <c r="J73" s="263">
        <v>9000</v>
      </c>
      <c r="K73" s="263">
        <v>1776895</v>
      </c>
      <c r="L73" s="263">
        <v>1776061</v>
      </c>
      <c r="M73" s="263">
        <v>1776061</v>
      </c>
      <c r="N73" s="256">
        <v>197.3401111111111</v>
      </c>
      <c r="O73" s="263">
        <v>100</v>
      </c>
      <c r="P73" s="263">
        <v>7500</v>
      </c>
      <c r="Q73" s="263">
        <v>7500</v>
      </c>
      <c r="R73" s="263">
        <v>7500</v>
      </c>
      <c r="S73" s="263" t="s">
        <v>95</v>
      </c>
      <c r="T73" s="263">
        <v>30</v>
      </c>
      <c r="U73" s="263">
        <v>2382</v>
      </c>
      <c r="V73" s="263">
        <v>314000</v>
      </c>
      <c r="W73" s="263">
        <v>186495</v>
      </c>
      <c r="X73" s="349">
        <v>24.866</v>
      </c>
      <c r="Y73" s="263" t="s">
        <v>75</v>
      </c>
      <c r="Z73" s="263" t="s">
        <v>75</v>
      </c>
      <c r="AA73" s="263" t="s">
        <v>75</v>
      </c>
      <c r="AB73" s="263">
        <v>20</v>
      </c>
      <c r="AC73" s="263">
        <v>434</v>
      </c>
      <c r="AD73" s="263" t="s">
        <v>75</v>
      </c>
      <c r="AE73" s="263">
        <v>540</v>
      </c>
      <c r="AF73" s="263" t="s">
        <v>75</v>
      </c>
      <c r="AG73" s="263" t="s">
        <v>75</v>
      </c>
      <c r="AH73" s="263" t="s">
        <v>75</v>
      </c>
      <c r="AI73" s="263" t="s">
        <v>75</v>
      </c>
      <c r="AJ73" s="288">
        <v>0</v>
      </c>
      <c r="AK73" s="263">
        <v>1354</v>
      </c>
      <c r="AL73" s="263">
        <v>674</v>
      </c>
      <c r="AM73" s="318"/>
      <c r="AN73" s="264"/>
      <c r="AO73" s="264" t="s">
        <v>75</v>
      </c>
      <c r="AP73" s="264" t="s">
        <v>75</v>
      </c>
      <c r="AQ73" s="264" t="s">
        <v>75</v>
      </c>
      <c r="AR73" s="264" t="s">
        <v>75</v>
      </c>
      <c r="AS73" s="264" t="s">
        <v>75</v>
      </c>
      <c r="AT73" s="264" t="s">
        <v>75</v>
      </c>
      <c r="AU73" s="264" t="s">
        <v>75</v>
      </c>
      <c r="AV73" s="293" t="s">
        <v>635</v>
      </c>
      <c r="AW73" s="261"/>
      <c r="AX73" s="261"/>
      <c r="AY73" s="261"/>
      <c r="AZ73" s="261"/>
      <c r="BA73" s="261"/>
      <c r="BB73" s="261"/>
      <c r="BC73" s="261"/>
      <c r="BD73" s="261"/>
      <c r="BE73" s="261"/>
      <c r="BF73" s="261"/>
      <c r="BG73" s="261"/>
      <c r="BH73" s="261"/>
      <c r="BI73" s="261"/>
      <c r="BJ73" s="261"/>
      <c r="BK73" s="261"/>
      <c r="BL73" s="261"/>
      <c r="BM73" s="261"/>
      <c r="BN73" s="261"/>
    </row>
    <row r="74" spans="1:219" s="254" customFormat="1" ht="16.5" customHeight="1">
      <c r="A74" s="260">
        <v>505</v>
      </c>
      <c r="B74" s="360" t="s">
        <v>2372</v>
      </c>
      <c r="C74" s="264" t="s">
        <v>1299</v>
      </c>
      <c r="D74" s="361">
        <v>39083</v>
      </c>
      <c r="E74" s="361">
        <v>39630</v>
      </c>
      <c r="F74" s="319" t="s">
        <v>5</v>
      </c>
      <c r="G74" s="288" t="s">
        <v>1451</v>
      </c>
      <c r="H74" s="264" t="s">
        <v>600</v>
      </c>
      <c r="I74" s="278" t="s">
        <v>2438</v>
      </c>
      <c r="J74" s="263">
        <v>154150</v>
      </c>
      <c r="K74" s="263">
        <v>8223204</v>
      </c>
      <c r="L74" s="263">
        <v>5490949</v>
      </c>
      <c r="M74" s="263">
        <v>5490949</v>
      </c>
      <c r="N74" s="256">
        <v>35.620817385663315</v>
      </c>
      <c r="O74" s="263">
        <v>67</v>
      </c>
      <c r="P74" s="263">
        <v>37500</v>
      </c>
      <c r="Q74" s="263">
        <v>37500</v>
      </c>
      <c r="R74" s="263">
        <v>37500</v>
      </c>
      <c r="S74" s="263" t="s">
        <v>95</v>
      </c>
      <c r="T74" s="263">
        <v>160</v>
      </c>
      <c r="U74" s="263">
        <v>50000</v>
      </c>
      <c r="V74" s="263">
        <v>1815873</v>
      </c>
      <c r="W74" s="263">
        <v>353230</v>
      </c>
      <c r="X74" s="349">
        <v>9.4194666666666667</v>
      </c>
      <c r="Y74" s="263">
        <v>39000</v>
      </c>
      <c r="Z74" s="263">
        <v>39000</v>
      </c>
      <c r="AA74" s="263">
        <v>39275</v>
      </c>
      <c r="AB74" s="263" t="s">
        <v>75</v>
      </c>
      <c r="AC74" s="263" t="s">
        <v>75</v>
      </c>
      <c r="AD74" s="263" t="s">
        <v>75</v>
      </c>
      <c r="AE74" s="263">
        <v>21491</v>
      </c>
      <c r="AF74" s="263" t="s">
        <v>75</v>
      </c>
      <c r="AG74" s="263" t="s">
        <v>75</v>
      </c>
      <c r="AH74" s="263" t="s">
        <v>75</v>
      </c>
      <c r="AI74" s="263" t="s">
        <v>75</v>
      </c>
      <c r="AJ74" s="288">
        <v>78275</v>
      </c>
      <c r="AK74" s="263">
        <v>20170</v>
      </c>
      <c r="AL74" s="263">
        <v>21124</v>
      </c>
      <c r="AM74" s="318">
        <f t="shared" ref="AM74:AM76" si="6">AL74/AJ74</f>
        <v>0.26986905142127116</v>
      </c>
      <c r="AN74" s="264"/>
      <c r="AO74" s="264" t="s">
        <v>75</v>
      </c>
      <c r="AP74" s="264" t="s">
        <v>75</v>
      </c>
      <c r="AQ74" s="264" t="s">
        <v>75</v>
      </c>
      <c r="AR74" s="264" t="s">
        <v>75</v>
      </c>
      <c r="AS74" s="264" t="s">
        <v>75</v>
      </c>
      <c r="AT74" s="264" t="s">
        <v>75</v>
      </c>
      <c r="AU74" s="264" t="s">
        <v>2</v>
      </c>
      <c r="AV74" s="396" t="s">
        <v>673</v>
      </c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</row>
    <row r="75" spans="1:219" s="259" customFormat="1" ht="18.75" customHeight="1">
      <c r="A75" s="260">
        <v>506</v>
      </c>
      <c r="B75" s="266" t="s">
        <v>26</v>
      </c>
      <c r="C75" s="266" t="s">
        <v>1299</v>
      </c>
      <c r="D75" s="317">
        <v>39264</v>
      </c>
      <c r="E75" s="317">
        <v>39539</v>
      </c>
      <c r="F75" s="266" t="s">
        <v>5</v>
      </c>
      <c r="G75" s="259" t="s">
        <v>1451</v>
      </c>
      <c r="H75" s="266" t="s">
        <v>1021</v>
      </c>
      <c r="I75" s="278" t="s">
        <v>2438</v>
      </c>
      <c r="J75" s="318">
        <v>1500000</v>
      </c>
      <c r="K75" s="318">
        <v>7384145</v>
      </c>
      <c r="L75" s="318">
        <v>5918478</v>
      </c>
      <c r="M75" s="318">
        <v>5918415</v>
      </c>
      <c r="N75" s="256">
        <v>3.9456099999999998</v>
      </c>
      <c r="O75" s="318">
        <v>80</v>
      </c>
      <c r="P75" s="318">
        <v>1300000</v>
      </c>
      <c r="Q75" s="318"/>
      <c r="R75" s="318">
        <v>1300000</v>
      </c>
      <c r="S75" s="318" t="s">
        <v>2</v>
      </c>
      <c r="T75" s="318">
        <v>1500</v>
      </c>
      <c r="U75" s="318">
        <v>760550</v>
      </c>
      <c r="V75" s="318">
        <v>772334</v>
      </c>
      <c r="W75" s="318">
        <v>342728</v>
      </c>
      <c r="X75" s="349">
        <v>0.2636369230769231</v>
      </c>
      <c r="Y75" s="318">
        <v>240000</v>
      </c>
      <c r="Z75" s="318"/>
      <c r="AA75" s="318">
        <v>760550</v>
      </c>
      <c r="AB75" s="318">
        <v>400</v>
      </c>
      <c r="AC75" s="318" t="s">
        <v>2</v>
      </c>
      <c r="AD75" s="318"/>
      <c r="AE75" s="318">
        <v>100125</v>
      </c>
      <c r="AF75" s="318"/>
      <c r="AG75" s="318"/>
      <c r="AH75" s="318"/>
      <c r="AI75" s="318"/>
      <c r="AJ75" s="301">
        <v>760550</v>
      </c>
      <c r="AK75" s="318">
        <v>71711</v>
      </c>
      <c r="AL75" s="318">
        <v>85781</v>
      </c>
      <c r="AM75" s="318">
        <f t="shared" si="6"/>
        <v>0.11278811386496615</v>
      </c>
      <c r="AN75" s="319"/>
      <c r="AO75" s="319"/>
      <c r="AP75" s="319"/>
      <c r="AQ75" s="319">
        <v>1</v>
      </c>
      <c r="AR75" s="319"/>
      <c r="AS75" s="319"/>
      <c r="AT75" s="319"/>
      <c r="AU75" s="319"/>
      <c r="AV75" s="320" t="s">
        <v>1022</v>
      </c>
      <c r="AW75" s="266"/>
      <c r="AX75" s="266"/>
      <c r="AY75" s="266"/>
      <c r="AZ75" s="266"/>
      <c r="BA75" s="266"/>
      <c r="BB75" s="266"/>
      <c r="BC75" s="266"/>
      <c r="BD75" s="266"/>
      <c r="BE75" s="266"/>
      <c r="BF75" s="266"/>
      <c r="BG75" s="266"/>
      <c r="BH75" s="266"/>
      <c r="BI75" s="266"/>
      <c r="BJ75" s="266"/>
      <c r="BK75" s="266"/>
      <c r="BL75" s="266"/>
      <c r="BM75" s="266"/>
      <c r="BN75" s="266"/>
      <c r="BO75" s="254"/>
      <c r="BP75" s="254"/>
      <c r="BQ75" s="254"/>
      <c r="BR75" s="254"/>
      <c r="BS75" s="254"/>
      <c r="BT75" s="254"/>
      <c r="BU75" s="254"/>
      <c r="BV75" s="254"/>
      <c r="BW75" s="254"/>
      <c r="BX75" s="254"/>
      <c r="BY75" s="254"/>
      <c r="BZ75" s="254"/>
      <c r="CA75" s="254"/>
      <c r="CB75" s="254"/>
      <c r="CC75" s="254"/>
      <c r="CD75" s="254"/>
      <c r="CE75" s="254"/>
      <c r="CF75" s="254"/>
      <c r="CG75" s="254"/>
      <c r="CH75" s="254"/>
      <c r="CI75" s="254"/>
      <c r="CJ75" s="254"/>
      <c r="CK75" s="254"/>
      <c r="CL75" s="254"/>
      <c r="CM75" s="254"/>
      <c r="CN75" s="254"/>
      <c r="CO75" s="254"/>
      <c r="CP75" s="254"/>
      <c r="CQ75" s="254"/>
      <c r="CR75" s="254"/>
      <c r="CS75" s="254"/>
      <c r="CT75" s="254"/>
      <c r="CU75" s="254"/>
      <c r="CV75" s="254"/>
      <c r="CW75" s="254"/>
      <c r="CX75" s="254"/>
      <c r="CY75" s="254"/>
      <c r="CZ75" s="254"/>
      <c r="DA75" s="254"/>
      <c r="DB75" s="254"/>
      <c r="DC75" s="254"/>
      <c r="DD75" s="254"/>
      <c r="DE75" s="254"/>
      <c r="DF75" s="254"/>
      <c r="DG75" s="254"/>
      <c r="DH75" s="254"/>
      <c r="DI75" s="254"/>
      <c r="DJ75" s="254"/>
      <c r="DK75" s="254"/>
      <c r="DL75" s="254"/>
      <c r="DM75" s="254"/>
      <c r="DN75" s="254"/>
      <c r="DO75" s="254"/>
      <c r="DP75" s="254"/>
      <c r="DQ75" s="254"/>
      <c r="DR75" s="254"/>
      <c r="DS75" s="254"/>
      <c r="DT75" s="254"/>
      <c r="DU75" s="254"/>
      <c r="DV75" s="254"/>
      <c r="DW75" s="254"/>
      <c r="DX75" s="254"/>
      <c r="DY75" s="254"/>
      <c r="DZ75" s="254"/>
      <c r="EA75" s="254"/>
      <c r="EB75" s="254"/>
      <c r="EC75" s="254"/>
      <c r="ED75" s="254"/>
      <c r="EE75" s="254"/>
      <c r="EF75" s="254"/>
      <c r="EG75" s="254"/>
      <c r="EH75" s="254"/>
      <c r="EI75" s="254"/>
      <c r="EJ75" s="254"/>
      <c r="EK75" s="254"/>
      <c r="EL75" s="254"/>
      <c r="EM75" s="254"/>
      <c r="EN75" s="254"/>
      <c r="EO75" s="254"/>
      <c r="EP75" s="254"/>
      <c r="EQ75" s="254"/>
      <c r="ER75" s="254"/>
      <c r="ES75" s="254"/>
      <c r="ET75" s="254"/>
      <c r="EU75" s="254"/>
      <c r="EV75" s="254"/>
      <c r="EW75" s="254"/>
      <c r="EX75" s="254"/>
      <c r="EY75" s="254"/>
      <c r="EZ75" s="254"/>
      <c r="FA75" s="254"/>
      <c r="FB75" s="254"/>
      <c r="FC75" s="254"/>
      <c r="FD75" s="254"/>
      <c r="FE75" s="254"/>
      <c r="FF75" s="254"/>
      <c r="FG75" s="254"/>
      <c r="FH75" s="254"/>
      <c r="FI75" s="254"/>
      <c r="FJ75" s="254"/>
      <c r="FK75" s="254"/>
      <c r="FL75" s="254"/>
      <c r="FM75" s="254"/>
      <c r="FN75" s="254"/>
      <c r="FO75" s="254"/>
      <c r="FP75" s="254"/>
      <c r="FQ75" s="254"/>
      <c r="FR75" s="254"/>
      <c r="FS75" s="254"/>
      <c r="FT75" s="254"/>
      <c r="FU75" s="254"/>
      <c r="FV75" s="254"/>
      <c r="FW75" s="254"/>
      <c r="FX75" s="254"/>
      <c r="FY75" s="254"/>
      <c r="FZ75" s="254"/>
      <c r="GA75" s="254"/>
      <c r="GB75" s="254"/>
      <c r="GC75" s="254"/>
      <c r="GD75" s="254"/>
      <c r="GE75" s="254"/>
      <c r="GF75" s="254"/>
      <c r="GG75" s="254"/>
      <c r="GH75" s="254"/>
      <c r="GI75" s="254"/>
      <c r="GJ75" s="254"/>
      <c r="GK75" s="254"/>
      <c r="GL75" s="254"/>
      <c r="GM75" s="254"/>
      <c r="GN75" s="254"/>
      <c r="GO75" s="254"/>
      <c r="GP75" s="254"/>
      <c r="GQ75" s="254"/>
      <c r="GR75" s="254"/>
      <c r="GS75" s="254"/>
      <c r="GT75" s="254"/>
      <c r="GU75" s="254"/>
      <c r="GV75" s="254"/>
      <c r="GW75" s="254"/>
      <c r="GX75" s="254"/>
      <c r="GY75" s="254"/>
      <c r="GZ75" s="254"/>
      <c r="HA75" s="254"/>
      <c r="HB75" s="254"/>
      <c r="HC75" s="254"/>
      <c r="HD75" s="254"/>
      <c r="HE75" s="254"/>
      <c r="HF75" s="254"/>
      <c r="HG75" s="254"/>
      <c r="HH75" s="254"/>
      <c r="HI75" s="254"/>
      <c r="HJ75" s="254"/>
      <c r="HK75" s="254"/>
    </row>
    <row r="76" spans="1:219" s="389" customFormat="1" ht="15">
      <c r="A76" s="260">
        <v>507</v>
      </c>
      <c r="B76" s="259" t="s">
        <v>26</v>
      </c>
      <c r="C76" s="254" t="s">
        <v>1299</v>
      </c>
      <c r="D76" s="351">
        <v>39264</v>
      </c>
      <c r="E76" s="351">
        <v>39448</v>
      </c>
      <c r="F76" s="259" t="s">
        <v>569</v>
      </c>
      <c r="G76" s="259" t="s">
        <v>1449</v>
      </c>
      <c r="H76" s="259" t="s">
        <v>1899</v>
      </c>
      <c r="I76" s="254" t="s">
        <v>2331</v>
      </c>
      <c r="J76" s="298">
        <v>900000</v>
      </c>
      <c r="K76" s="298">
        <v>218289</v>
      </c>
      <c r="L76" s="298">
        <v>214172</v>
      </c>
      <c r="M76" s="298">
        <v>214172</v>
      </c>
      <c r="N76" s="256">
        <v>0.2379688888888889</v>
      </c>
      <c r="O76" s="298">
        <v>98</v>
      </c>
      <c r="P76" s="298"/>
      <c r="Q76" s="298"/>
      <c r="R76" s="256"/>
      <c r="S76" s="298"/>
      <c r="T76" s="298"/>
      <c r="U76" s="298"/>
      <c r="V76" s="298" t="s">
        <v>66</v>
      </c>
      <c r="W76" s="298" t="s">
        <v>66</v>
      </c>
      <c r="X76" s="256"/>
      <c r="Y76" s="298"/>
      <c r="Z76" s="298"/>
      <c r="AA76" s="298">
        <v>500000</v>
      </c>
      <c r="AB76" s="298">
        <v>303</v>
      </c>
      <c r="AC76" s="298"/>
      <c r="AD76" s="298"/>
      <c r="AE76" s="298"/>
      <c r="AF76" s="298"/>
      <c r="AG76" s="298"/>
      <c r="AH76" s="298">
        <v>5800</v>
      </c>
      <c r="AI76" s="298"/>
      <c r="AJ76" s="301">
        <v>505800</v>
      </c>
      <c r="AK76" s="298">
        <v>20000</v>
      </c>
      <c r="AL76" s="298">
        <v>12966</v>
      </c>
      <c r="AM76" s="318">
        <f t="shared" si="6"/>
        <v>2.5634638196915777E-2</v>
      </c>
      <c r="AN76" s="301"/>
      <c r="AO76" s="301"/>
      <c r="AP76" s="301"/>
      <c r="AQ76" s="301"/>
      <c r="AR76" s="301"/>
      <c r="AS76" s="301"/>
      <c r="AT76" s="301"/>
      <c r="AU76" s="301"/>
      <c r="AV76" s="259" t="s">
        <v>1898</v>
      </c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4"/>
      <c r="BO76" s="254"/>
      <c r="BP76" s="254"/>
      <c r="BQ76" s="254"/>
      <c r="BR76" s="254"/>
      <c r="BS76" s="254"/>
      <c r="BT76" s="254"/>
      <c r="BU76" s="254"/>
      <c r="BV76" s="254"/>
      <c r="BW76" s="254"/>
      <c r="BX76" s="254"/>
      <c r="BY76" s="254"/>
      <c r="BZ76" s="254"/>
      <c r="CA76" s="254"/>
      <c r="CB76" s="254"/>
      <c r="CC76" s="254"/>
      <c r="CD76" s="254"/>
      <c r="CE76" s="254"/>
      <c r="CF76" s="254"/>
      <c r="CG76" s="254"/>
      <c r="CH76" s="254"/>
      <c r="CI76" s="254"/>
      <c r="CJ76" s="254"/>
      <c r="CK76" s="254"/>
      <c r="CL76" s="254"/>
      <c r="CM76" s="254"/>
      <c r="CN76" s="254"/>
      <c r="CO76" s="254"/>
      <c r="CP76" s="254"/>
      <c r="CQ76" s="254"/>
      <c r="CR76" s="254"/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/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54"/>
      <c r="EC76" s="254"/>
      <c r="ED76" s="254"/>
      <c r="EE76" s="254"/>
      <c r="EF76" s="254"/>
      <c r="EG76" s="254"/>
      <c r="EH76" s="254"/>
      <c r="EI76" s="254"/>
      <c r="EJ76" s="254"/>
      <c r="EK76" s="254"/>
      <c r="EL76" s="254"/>
      <c r="EM76" s="254"/>
      <c r="EN76" s="254"/>
      <c r="EO76" s="254"/>
      <c r="EP76" s="254"/>
      <c r="EQ76" s="254"/>
      <c r="ER76" s="254"/>
      <c r="ES76" s="254"/>
      <c r="ET76" s="254"/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54"/>
      <c r="FL76" s="254"/>
      <c r="FM76" s="254"/>
      <c r="FN76" s="254"/>
      <c r="FO76" s="254"/>
      <c r="FP76" s="254"/>
      <c r="FQ76" s="254"/>
      <c r="FR76" s="254"/>
      <c r="FS76" s="254"/>
      <c r="FT76" s="254"/>
      <c r="FU76" s="254"/>
      <c r="FV76" s="254"/>
      <c r="FW76" s="254"/>
      <c r="FX76" s="254"/>
      <c r="FY76" s="254"/>
      <c r="FZ76" s="254"/>
      <c r="GA76" s="254"/>
      <c r="GB76" s="254"/>
      <c r="GC76" s="254"/>
      <c r="GD76" s="254"/>
      <c r="GE76" s="254"/>
      <c r="GF76" s="254"/>
      <c r="GG76" s="254"/>
      <c r="GH76" s="254"/>
      <c r="GI76" s="254"/>
      <c r="GJ76" s="254"/>
      <c r="GK76" s="254"/>
      <c r="GL76" s="254"/>
      <c r="GM76" s="254"/>
      <c r="GN76" s="254"/>
      <c r="GO76" s="254"/>
      <c r="GP76" s="254"/>
      <c r="GQ76" s="254"/>
      <c r="GR76" s="254"/>
      <c r="GS76" s="254"/>
      <c r="GT76" s="254"/>
      <c r="GU76" s="254"/>
      <c r="GV76" s="254"/>
      <c r="GW76" s="254"/>
      <c r="GX76" s="254"/>
      <c r="GY76" s="254"/>
      <c r="GZ76" s="254"/>
      <c r="HA76" s="254"/>
      <c r="HB76" s="254"/>
      <c r="HC76" s="254"/>
      <c r="HD76" s="254"/>
      <c r="HE76" s="254"/>
      <c r="HF76" s="254"/>
      <c r="HG76" s="254"/>
      <c r="HH76" s="254"/>
      <c r="HI76" s="254"/>
      <c r="HJ76" s="254"/>
      <c r="HK76" s="254"/>
    </row>
    <row r="77" spans="1:219" s="254" customFormat="1" ht="15">
      <c r="A77" s="260">
        <v>508</v>
      </c>
      <c r="B77" s="254" t="s">
        <v>138</v>
      </c>
      <c r="C77" s="254" t="s">
        <v>1299</v>
      </c>
      <c r="D77" s="255">
        <v>39114</v>
      </c>
      <c r="E77" s="255">
        <v>39508</v>
      </c>
      <c r="F77" s="254" t="s">
        <v>1902</v>
      </c>
      <c r="G77" s="254" t="s">
        <v>1451</v>
      </c>
      <c r="H77" s="254" t="s">
        <v>1901</v>
      </c>
      <c r="I77" s="254" t="s">
        <v>2331</v>
      </c>
      <c r="J77" s="256">
        <v>3344</v>
      </c>
      <c r="K77" s="256">
        <v>51535</v>
      </c>
      <c r="L77" s="256">
        <v>48117</v>
      </c>
      <c r="M77" s="256">
        <v>48117</v>
      </c>
      <c r="N77" s="256">
        <v>14.389055023923445</v>
      </c>
      <c r="O77" s="256">
        <v>93</v>
      </c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88">
        <v>0</v>
      </c>
      <c r="AK77" s="256"/>
      <c r="AL77" s="256"/>
      <c r="AM77" s="256"/>
      <c r="AN77" s="288"/>
      <c r="AO77" s="288"/>
      <c r="AP77" s="288"/>
      <c r="AQ77" s="288"/>
      <c r="AR77" s="288"/>
      <c r="AS77" s="288"/>
      <c r="AT77" s="288"/>
      <c r="AU77" s="288"/>
      <c r="AV77" s="254" t="s">
        <v>1900</v>
      </c>
    </row>
    <row r="78" spans="1:219" s="254" customFormat="1" ht="19.5" customHeight="1">
      <c r="A78" s="260">
        <v>509</v>
      </c>
      <c r="B78" s="342" t="s">
        <v>196</v>
      </c>
      <c r="C78" s="342" t="s">
        <v>1260</v>
      </c>
      <c r="D78" s="317">
        <v>39173</v>
      </c>
      <c r="E78" s="317">
        <v>39203</v>
      </c>
      <c r="F78" s="342" t="s">
        <v>197</v>
      </c>
      <c r="G78" s="254" t="s">
        <v>1451</v>
      </c>
      <c r="H78" s="342" t="s">
        <v>195</v>
      </c>
      <c r="I78" s="254" t="s">
        <v>2331</v>
      </c>
      <c r="J78" s="318">
        <v>17184</v>
      </c>
      <c r="K78" s="318">
        <v>85115</v>
      </c>
      <c r="L78" s="318">
        <v>81701</v>
      </c>
      <c r="M78" s="318">
        <v>81701</v>
      </c>
      <c r="N78" s="256">
        <v>4.7544809124767227</v>
      </c>
      <c r="O78" s="318">
        <v>96</v>
      </c>
      <c r="P78" s="318"/>
      <c r="Q78" s="318"/>
      <c r="R78" s="348"/>
      <c r="S78" s="318" t="s">
        <v>233</v>
      </c>
      <c r="T78" s="318"/>
      <c r="U78" s="318" t="s">
        <v>75</v>
      </c>
      <c r="V78" s="318" t="s">
        <v>66</v>
      </c>
      <c r="W78" s="318" t="s">
        <v>66</v>
      </c>
      <c r="X78" s="318"/>
      <c r="Y78" s="318"/>
      <c r="Z78" s="318"/>
      <c r="AA78" s="318"/>
      <c r="AB78" s="318"/>
      <c r="AC78" s="318"/>
      <c r="AD78" s="318"/>
      <c r="AE78" s="318"/>
      <c r="AF78" s="318" t="s">
        <v>75</v>
      </c>
      <c r="AG78" s="318" t="s">
        <v>75</v>
      </c>
      <c r="AH78" s="318"/>
      <c r="AI78" s="318"/>
      <c r="AJ78" s="288">
        <v>0</v>
      </c>
      <c r="AK78" s="318" t="s">
        <v>66</v>
      </c>
      <c r="AL78" s="318" t="s">
        <v>66</v>
      </c>
      <c r="AM78" s="318"/>
      <c r="AN78" s="319"/>
      <c r="AO78" s="319" t="s">
        <v>75</v>
      </c>
      <c r="AP78" s="319" t="s">
        <v>75</v>
      </c>
      <c r="AQ78" s="319" t="s">
        <v>75</v>
      </c>
      <c r="AR78" s="319" t="s">
        <v>75</v>
      </c>
      <c r="AS78" s="319" t="s">
        <v>75</v>
      </c>
      <c r="AT78" s="319" t="s">
        <v>75</v>
      </c>
      <c r="AU78" s="319" t="s">
        <v>75</v>
      </c>
      <c r="AV78" s="363" t="s">
        <v>198</v>
      </c>
      <c r="AW78" s="342"/>
      <c r="AX78" s="342"/>
      <c r="AY78" s="342"/>
      <c r="AZ78" s="342"/>
      <c r="BA78" s="342"/>
      <c r="BB78" s="342"/>
      <c r="BC78" s="342"/>
      <c r="BD78" s="342"/>
      <c r="BE78" s="342"/>
      <c r="BF78" s="342"/>
      <c r="BG78" s="342"/>
      <c r="BH78" s="342"/>
      <c r="BI78" s="342"/>
      <c r="BJ78" s="342"/>
      <c r="BK78" s="342"/>
      <c r="BL78" s="342"/>
      <c r="BM78" s="342"/>
      <c r="BN78" s="342"/>
    </row>
    <row r="79" spans="1:219" s="254" customFormat="1" ht="15">
      <c r="A79" s="260">
        <v>510</v>
      </c>
      <c r="B79" s="254" t="s">
        <v>196</v>
      </c>
      <c r="C79" s="254" t="s">
        <v>1260</v>
      </c>
      <c r="D79" s="255">
        <v>39264</v>
      </c>
      <c r="E79" s="255">
        <v>39417</v>
      </c>
      <c r="F79" s="254" t="s">
        <v>24</v>
      </c>
      <c r="G79" s="254" t="s">
        <v>1454</v>
      </c>
      <c r="H79" s="254" t="s">
        <v>1904</v>
      </c>
      <c r="I79" s="254" t="s">
        <v>2331</v>
      </c>
      <c r="J79" s="256">
        <v>720</v>
      </c>
      <c r="K79" s="256">
        <v>55000</v>
      </c>
      <c r="L79" s="256">
        <v>50393</v>
      </c>
      <c r="M79" s="256">
        <v>50393</v>
      </c>
      <c r="N79" s="256">
        <v>69.990277777777777</v>
      </c>
      <c r="O79" s="256">
        <v>91.623636363636365</v>
      </c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  <c r="AI79" s="256"/>
      <c r="AJ79" s="288">
        <v>0</v>
      </c>
      <c r="AK79" s="256"/>
      <c r="AL79" s="256"/>
      <c r="AM79" s="256"/>
      <c r="AN79" s="288"/>
      <c r="AO79" s="288"/>
      <c r="AP79" s="288"/>
      <c r="AQ79" s="288"/>
      <c r="AR79" s="288"/>
      <c r="AS79" s="288"/>
      <c r="AT79" s="288"/>
      <c r="AU79" s="288"/>
      <c r="AV79" s="254" t="s">
        <v>1903</v>
      </c>
    </row>
    <row r="80" spans="1:219" s="254" customFormat="1" ht="30">
      <c r="A80" s="260">
        <v>511</v>
      </c>
      <c r="B80" s="261" t="s">
        <v>1995</v>
      </c>
      <c r="C80" s="261" t="s">
        <v>1286</v>
      </c>
      <c r="D80" s="262">
        <v>39430</v>
      </c>
      <c r="E80" s="262">
        <v>39629</v>
      </c>
      <c r="F80" s="342" t="s">
        <v>685</v>
      </c>
      <c r="G80" s="254" t="s">
        <v>1450</v>
      </c>
      <c r="H80" s="261" t="s">
        <v>684</v>
      </c>
      <c r="I80" s="278" t="s">
        <v>2438</v>
      </c>
      <c r="J80" s="263">
        <v>108550</v>
      </c>
      <c r="K80" s="263">
        <v>2927000</v>
      </c>
      <c r="L80" s="263">
        <v>2843771</v>
      </c>
      <c r="M80" s="263">
        <v>2843771</v>
      </c>
      <c r="N80" s="256">
        <v>26.197798249654536</v>
      </c>
      <c r="O80" s="263">
        <v>98</v>
      </c>
      <c r="P80" s="263" t="s">
        <v>75</v>
      </c>
      <c r="Q80" s="263" t="s">
        <v>75</v>
      </c>
      <c r="R80" s="263"/>
      <c r="S80" s="263" t="s">
        <v>95</v>
      </c>
      <c r="T80" s="263" t="s">
        <v>75</v>
      </c>
      <c r="U80" s="263">
        <v>5000</v>
      </c>
      <c r="V80" s="263">
        <v>5458</v>
      </c>
      <c r="W80" s="263">
        <v>5096</v>
      </c>
      <c r="X80" s="263"/>
      <c r="Y80" s="263" t="s">
        <v>75</v>
      </c>
      <c r="Z80" s="263" t="s">
        <v>75</v>
      </c>
      <c r="AA80" s="263">
        <v>1000</v>
      </c>
      <c r="AB80" s="263" t="s">
        <v>75</v>
      </c>
      <c r="AC80" s="263" t="s">
        <v>75</v>
      </c>
      <c r="AD80" s="263" t="s">
        <v>75</v>
      </c>
      <c r="AE80" s="263">
        <v>2450</v>
      </c>
      <c r="AF80" s="263" t="s">
        <v>75</v>
      </c>
      <c r="AG80" s="263" t="s">
        <v>75</v>
      </c>
      <c r="AH80" s="263" t="s">
        <v>75</v>
      </c>
      <c r="AI80" s="263" t="s">
        <v>75</v>
      </c>
      <c r="AJ80" s="288">
        <v>1000</v>
      </c>
      <c r="AK80" s="263" t="s">
        <v>339</v>
      </c>
      <c r="AL80" s="263">
        <v>90</v>
      </c>
      <c r="AM80" s="318">
        <f>AL80/AJ80</f>
        <v>0.09</v>
      </c>
      <c r="AN80" s="264"/>
      <c r="AO80" s="264" t="s">
        <v>75</v>
      </c>
      <c r="AP80" s="264" t="s">
        <v>75</v>
      </c>
      <c r="AQ80" s="264" t="s">
        <v>75</v>
      </c>
      <c r="AR80" s="264" t="s">
        <v>75</v>
      </c>
      <c r="AS80" s="264" t="s">
        <v>75</v>
      </c>
      <c r="AT80" s="264" t="s">
        <v>75</v>
      </c>
      <c r="AU80" s="264" t="s">
        <v>2</v>
      </c>
      <c r="AV80" s="276" t="s">
        <v>683</v>
      </c>
      <c r="AW80" s="261"/>
      <c r="AX80" s="261"/>
      <c r="AY80" s="261"/>
      <c r="AZ80" s="261"/>
      <c r="BA80" s="261"/>
      <c r="BB80" s="261"/>
      <c r="BC80" s="261"/>
      <c r="BD80" s="261"/>
      <c r="BE80" s="261"/>
      <c r="BF80" s="261"/>
      <c r="BG80" s="261"/>
      <c r="BH80" s="261"/>
      <c r="BI80" s="261"/>
      <c r="BJ80" s="261"/>
      <c r="BK80" s="261"/>
      <c r="BL80" s="261"/>
      <c r="BM80" s="261"/>
      <c r="BN80" s="261"/>
    </row>
    <row r="81" spans="1:219" s="254" customFormat="1" ht="15.75" customHeight="1">
      <c r="A81" s="260">
        <v>512</v>
      </c>
      <c r="B81" s="319" t="s">
        <v>201</v>
      </c>
      <c r="C81" s="319" t="s">
        <v>1261</v>
      </c>
      <c r="D81" s="397">
        <v>39083</v>
      </c>
      <c r="E81" s="397">
        <v>39568</v>
      </c>
      <c r="F81" s="319" t="s">
        <v>794</v>
      </c>
      <c r="G81" s="288" t="s">
        <v>1451</v>
      </c>
      <c r="H81" s="319" t="s">
        <v>793</v>
      </c>
      <c r="I81" s="254" t="s">
        <v>2331</v>
      </c>
      <c r="J81" s="318">
        <v>947</v>
      </c>
      <c r="K81" s="318">
        <v>145212</v>
      </c>
      <c r="L81" s="318">
        <v>135854</v>
      </c>
      <c r="M81" s="318">
        <v>135854</v>
      </c>
      <c r="N81" s="256">
        <v>143.4572333685322</v>
      </c>
      <c r="O81" s="318">
        <v>94</v>
      </c>
      <c r="P81" s="318" t="s">
        <v>75</v>
      </c>
      <c r="Q81" s="318" t="s">
        <v>75</v>
      </c>
      <c r="R81" s="318" t="s">
        <v>75</v>
      </c>
      <c r="S81" s="318" t="s">
        <v>849</v>
      </c>
      <c r="T81" s="318" t="s">
        <v>75</v>
      </c>
      <c r="U81" s="318" t="s">
        <v>75</v>
      </c>
      <c r="V81" s="318" t="s">
        <v>75</v>
      </c>
      <c r="W81" s="318" t="s">
        <v>75</v>
      </c>
      <c r="X81" s="318"/>
      <c r="Y81" s="318" t="s">
        <v>75</v>
      </c>
      <c r="Z81" s="318" t="s">
        <v>75</v>
      </c>
      <c r="AA81" s="318" t="s">
        <v>75</v>
      </c>
      <c r="AB81" s="318" t="s">
        <v>75</v>
      </c>
      <c r="AC81" s="318" t="s">
        <v>75</v>
      </c>
      <c r="AD81" s="318" t="s">
        <v>75</v>
      </c>
      <c r="AE81" s="318" t="s">
        <v>75</v>
      </c>
      <c r="AF81" s="318" t="s">
        <v>75</v>
      </c>
      <c r="AG81" s="318" t="s">
        <v>75</v>
      </c>
      <c r="AH81" s="318" t="s">
        <v>75</v>
      </c>
      <c r="AI81" s="318" t="s">
        <v>75</v>
      </c>
      <c r="AJ81" s="288">
        <v>0</v>
      </c>
      <c r="AK81" s="318" t="s">
        <v>75</v>
      </c>
      <c r="AL81" s="318" t="s">
        <v>75</v>
      </c>
      <c r="AM81" s="318"/>
      <c r="AN81" s="319"/>
      <c r="AO81" s="319" t="s">
        <v>75</v>
      </c>
      <c r="AP81" s="319" t="s">
        <v>75</v>
      </c>
      <c r="AQ81" s="319" t="s">
        <v>75</v>
      </c>
      <c r="AR81" s="319" t="s">
        <v>75</v>
      </c>
      <c r="AS81" s="319" t="s">
        <v>75</v>
      </c>
      <c r="AT81" s="319" t="s">
        <v>75</v>
      </c>
      <c r="AU81" s="319" t="s">
        <v>75</v>
      </c>
      <c r="AV81" s="398" t="s">
        <v>792</v>
      </c>
      <c r="AW81" s="319"/>
      <c r="AX81" s="319"/>
      <c r="AY81" s="319"/>
      <c r="AZ81" s="319"/>
      <c r="BA81" s="319"/>
      <c r="BB81" s="319"/>
      <c r="BC81" s="319"/>
      <c r="BD81" s="319"/>
      <c r="BE81" s="319"/>
      <c r="BF81" s="319"/>
      <c r="BG81" s="319"/>
      <c r="BH81" s="319"/>
      <c r="BI81" s="319"/>
      <c r="BJ81" s="319"/>
      <c r="BK81" s="319"/>
      <c r="BL81" s="319"/>
      <c r="BM81" s="319"/>
      <c r="BN81" s="319"/>
    </row>
    <row r="82" spans="1:219" s="389" customFormat="1" ht="23.25" customHeight="1">
      <c r="A82" s="260">
        <v>513</v>
      </c>
      <c r="B82" s="342" t="s">
        <v>502</v>
      </c>
      <c r="C82" s="342" t="s">
        <v>1299</v>
      </c>
      <c r="D82" s="317">
        <v>39114</v>
      </c>
      <c r="E82" s="317">
        <v>39417</v>
      </c>
      <c r="F82" s="342" t="s">
        <v>626</v>
      </c>
      <c r="G82" s="259" t="s">
        <v>1449</v>
      </c>
      <c r="H82" s="342" t="s">
        <v>756</v>
      </c>
      <c r="I82" s="254" t="s">
        <v>2331</v>
      </c>
      <c r="J82" s="318">
        <v>1300000</v>
      </c>
      <c r="K82" s="318">
        <v>0</v>
      </c>
      <c r="L82" s="318">
        <v>48928</v>
      </c>
      <c r="M82" s="318">
        <v>48928</v>
      </c>
      <c r="N82" s="256">
        <v>3.7636923076923075E-2</v>
      </c>
      <c r="O82" s="318">
        <v>0</v>
      </c>
      <c r="P82" s="318" t="s">
        <v>75</v>
      </c>
      <c r="Q82" s="318" t="s">
        <v>75</v>
      </c>
      <c r="R82" s="318" t="s">
        <v>75</v>
      </c>
      <c r="S82" s="318" t="s">
        <v>849</v>
      </c>
      <c r="T82" s="318" t="s">
        <v>75</v>
      </c>
      <c r="U82" s="318" t="s">
        <v>75</v>
      </c>
      <c r="V82" s="318" t="s">
        <v>75</v>
      </c>
      <c r="W82" s="318" t="s">
        <v>75</v>
      </c>
      <c r="X82" s="318"/>
      <c r="Y82" s="318">
        <v>677135</v>
      </c>
      <c r="Z82" s="318" t="s">
        <v>75</v>
      </c>
      <c r="AA82" s="318">
        <v>677135</v>
      </c>
      <c r="AB82" s="318">
        <v>1016</v>
      </c>
      <c r="AC82" s="318" t="s">
        <v>75</v>
      </c>
      <c r="AD82" s="318" t="s">
        <v>75</v>
      </c>
      <c r="AE82" s="318" t="s">
        <v>75</v>
      </c>
      <c r="AF82" s="318" t="s">
        <v>75</v>
      </c>
      <c r="AG82" s="318" t="s">
        <v>75</v>
      </c>
      <c r="AH82" s="318" t="s">
        <v>75</v>
      </c>
      <c r="AI82" s="318" t="s">
        <v>75</v>
      </c>
      <c r="AJ82" s="301">
        <v>677135</v>
      </c>
      <c r="AK82" s="318" t="s">
        <v>75</v>
      </c>
      <c r="AL82" s="318" t="s">
        <v>75</v>
      </c>
      <c r="AM82" s="318"/>
      <c r="AN82" s="319"/>
      <c r="AO82" s="319" t="s">
        <v>75</v>
      </c>
      <c r="AP82" s="319" t="s">
        <v>75</v>
      </c>
      <c r="AQ82" s="319" t="s">
        <v>75</v>
      </c>
      <c r="AR82" s="319" t="s">
        <v>75</v>
      </c>
      <c r="AS82" s="319" t="s">
        <v>75</v>
      </c>
      <c r="AT82" s="319" t="s">
        <v>75</v>
      </c>
      <c r="AU82" s="319" t="s">
        <v>75</v>
      </c>
      <c r="AV82" s="359" t="s">
        <v>755</v>
      </c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BK82" s="342"/>
      <c r="BL82" s="342"/>
      <c r="BM82" s="342"/>
      <c r="BN82" s="342"/>
      <c r="BO82" s="254"/>
      <c r="BP82" s="254"/>
      <c r="BQ82" s="254"/>
      <c r="BR82" s="254"/>
      <c r="BS82" s="254"/>
      <c r="BT82" s="254"/>
      <c r="BU82" s="254"/>
      <c r="BV82" s="254"/>
      <c r="BW82" s="254"/>
      <c r="BX82" s="254"/>
      <c r="BY82" s="254"/>
      <c r="BZ82" s="254"/>
      <c r="CA82" s="254"/>
      <c r="CB82" s="254"/>
      <c r="CC82" s="254"/>
      <c r="CD82" s="254"/>
      <c r="CE82" s="254"/>
      <c r="CF82" s="254"/>
      <c r="CG82" s="254"/>
      <c r="CH82" s="254"/>
      <c r="CI82" s="254"/>
      <c r="CJ82" s="254"/>
      <c r="CK82" s="254"/>
      <c r="CL82" s="254"/>
      <c r="CM82" s="254"/>
      <c r="CN82" s="254"/>
      <c r="CO82" s="254"/>
      <c r="CP82" s="254"/>
      <c r="CQ82" s="254"/>
      <c r="CR82" s="254"/>
      <c r="CS82" s="254"/>
      <c r="CT82" s="254"/>
      <c r="CU82" s="254"/>
      <c r="CV82" s="254"/>
      <c r="CW82" s="254"/>
      <c r="CX82" s="254"/>
      <c r="CY82" s="254"/>
      <c r="CZ82" s="254"/>
      <c r="DA82" s="254"/>
      <c r="DB82" s="254"/>
      <c r="DC82" s="254"/>
      <c r="DD82" s="254"/>
      <c r="DE82" s="254"/>
      <c r="DF82" s="254"/>
      <c r="DG82" s="254"/>
      <c r="DH82" s="254"/>
      <c r="DI82" s="254"/>
      <c r="DJ82" s="254"/>
      <c r="DK82" s="254"/>
      <c r="DL82" s="254"/>
      <c r="DM82" s="254"/>
      <c r="DN82" s="254"/>
      <c r="DO82" s="254"/>
      <c r="DP82" s="254"/>
      <c r="DQ82" s="254"/>
      <c r="DR82" s="254"/>
      <c r="DS82" s="254"/>
      <c r="DT82" s="254"/>
      <c r="DU82" s="254"/>
      <c r="DV82" s="254"/>
      <c r="DW82" s="254"/>
      <c r="DX82" s="254"/>
      <c r="DY82" s="254"/>
      <c r="DZ82" s="254"/>
      <c r="EA82" s="254"/>
      <c r="EB82" s="254"/>
      <c r="EC82" s="254"/>
      <c r="ED82" s="254"/>
      <c r="EE82" s="254"/>
      <c r="EF82" s="254"/>
      <c r="EG82" s="254"/>
      <c r="EH82" s="254"/>
      <c r="EI82" s="254"/>
      <c r="EJ82" s="254"/>
      <c r="EK82" s="254"/>
      <c r="EL82" s="254"/>
      <c r="EM82" s="254"/>
      <c r="EN82" s="254"/>
      <c r="EO82" s="254"/>
      <c r="EP82" s="254"/>
      <c r="EQ82" s="254"/>
      <c r="ER82" s="254"/>
      <c r="ES82" s="254"/>
      <c r="ET82" s="254"/>
      <c r="EU82" s="254"/>
      <c r="EV82" s="254"/>
      <c r="EW82" s="254"/>
      <c r="EX82" s="254"/>
      <c r="EY82" s="254"/>
      <c r="EZ82" s="254"/>
      <c r="FA82" s="254"/>
      <c r="FB82" s="254"/>
      <c r="FC82" s="254"/>
      <c r="FD82" s="254"/>
      <c r="FE82" s="254"/>
      <c r="FF82" s="254"/>
      <c r="FG82" s="254"/>
      <c r="FH82" s="254"/>
      <c r="FI82" s="254"/>
      <c r="FJ82" s="254"/>
      <c r="FK82" s="254"/>
      <c r="FL82" s="254"/>
      <c r="FM82" s="254"/>
      <c r="FN82" s="254"/>
      <c r="FO82" s="254"/>
      <c r="FP82" s="254"/>
      <c r="FQ82" s="254"/>
      <c r="FR82" s="254"/>
      <c r="FS82" s="254"/>
      <c r="FT82" s="254"/>
      <c r="FU82" s="254"/>
      <c r="FV82" s="254"/>
      <c r="FW82" s="254"/>
      <c r="FX82" s="254"/>
      <c r="FY82" s="254"/>
      <c r="FZ82" s="254"/>
      <c r="GA82" s="254"/>
      <c r="GB82" s="254"/>
      <c r="GC82" s="254"/>
      <c r="GD82" s="254"/>
      <c r="GE82" s="254"/>
      <c r="GF82" s="254"/>
      <c r="GG82" s="254"/>
      <c r="GH82" s="254"/>
      <c r="GI82" s="254"/>
      <c r="GJ82" s="254"/>
      <c r="GK82" s="254"/>
      <c r="GL82" s="254"/>
      <c r="GM82" s="254"/>
      <c r="GN82" s="254"/>
      <c r="GO82" s="254"/>
      <c r="GP82" s="254"/>
      <c r="GQ82" s="254"/>
      <c r="GR82" s="254"/>
      <c r="GS82" s="254"/>
      <c r="GT82" s="254"/>
      <c r="GU82" s="254"/>
      <c r="GV82" s="254"/>
      <c r="GW82" s="254"/>
      <c r="GX82" s="254"/>
      <c r="GY82" s="254"/>
      <c r="GZ82" s="254"/>
      <c r="HA82" s="254"/>
      <c r="HB82" s="254"/>
      <c r="HC82" s="254"/>
      <c r="HD82" s="254"/>
      <c r="HE82" s="254"/>
      <c r="HF82" s="254"/>
      <c r="HG82" s="254"/>
      <c r="HH82" s="254"/>
      <c r="HI82" s="254"/>
      <c r="HJ82" s="254"/>
      <c r="HK82" s="254"/>
    </row>
    <row r="83" spans="1:219" s="254" customFormat="1" ht="25.5" customHeight="1">
      <c r="A83" s="260">
        <v>514</v>
      </c>
      <c r="B83" s="342" t="s">
        <v>160</v>
      </c>
      <c r="C83" s="342" t="s">
        <v>1278</v>
      </c>
      <c r="D83" s="317">
        <v>39173</v>
      </c>
      <c r="E83" s="317">
        <v>39264</v>
      </c>
      <c r="F83" s="342" t="s">
        <v>5</v>
      </c>
      <c r="G83" s="254" t="s">
        <v>1451</v>
      </c>
      <c r="H83" s="342" t="s">
        <v>185</v>
      </c>
      <c r="I83" s="254" t="s">
        <v>2331</v>
      </c>
      <c r="J83" s="318">
        <v>1875</v>
      </c>
      <c r="K83" s="318">
        <v>45000</v>
      </c>
      <c r="L83" s="318">
        <v>45000</v>
      </c>
      <c r="M83" s="318">
        <v>45000</v>
      </c>
      <c r="N83" s="256">
        <v>24</v>
      </c>
      <c r="O83" s="318">
        <v>100</v>
      </c>
      <c r="P83" s="318"/>
      <c r="Q83" s="318"/>
      <c r="R83" s="318"/>
      <c r="S83" s="318" t="s">
        <v>233</v>
      </c>
      <c r="T83" s="318" t="s">
        <v>75</v>
      </c>
      <c r="U83" s="318" t="s">
        <v>75</v>
      </c>
      <c r="V83" s="318" t="s">
        <v>66</v>
      </c>
      <c r="W83" s="318" t="s">
        <v>66</v>
      </c>
      <c r="X83" s="318"/>
      <c r="Y83" s="318"/>
      <c r="Z83" s="318"/>
      <c r="AA83" s="318"/>
      <c r="AB83" s="318"/>
      <c r="AC83" s="318"/>
      <c r="AD83" s="318"/>
      <c r="AE83" s="318"/>
      <c r="AF83" s="318" t="s">
        <v>75</v>
      </c>
      <c r="AG83" s="318" t="s">
        <v>75</v>
      </c>
      <c r="AH83" s="318"/>
      <c r="AI83" s="318"/>
      <c r="AJ83" s="288">
        <v>0</v>
      </c>
      <c r="AK83" s="318" t="s">
        <v>66</v>
      </c>
      <c r="AL83" s="318" t="s">
        <v>66</v>
      </c>
      <c r="AM83" s="318"/>
      <c r="AN83" s="319"/>
      <c r="AO83" s="319" t="s">
        <v>75</v>
      </c>
      <c r="AP83" s="319" t="s">
        <v>75</v>
      </c>
      <c r="AQ83" s="319" t="s">
        <v>75</v>
      </c>
      <c r="AR83" s="319" t="s">
        <v>75</v>
      </c>
      <c r="AS83" s="319" t="s">
        <v>75</v>
      </c>
      <c r="AT83" s="319" t="s">
        <v>75</v>
      </c>
      <c r="AU83" s="319" t="s">
        <v>75</v>
      </c>
      <c r="AV83" s="363" t="s">
        <v>159</v>
      </c>
      <c r="AW83" s="342"/>
      <c r="AX83" s="342"/>
      <c r="AY83" s="342"/>
      <c r="AZ83" s="342"/>
      <c r="BA83" s="342"/>
      <c r="BB83" s="342"/>
      <c r="BC83" s="342"/>
      <c r="BD83" s="342"/>
      <c r="BE83" s="342"/>
      <c r="BF83" s="342"/>
      <c r="BG83" s="342"/>
      <c r="BH83" s="342"/>
      <c r="BI83" s="342"/>
      <c r="BJ83" s="342"/>
      <c r="BK83" s="342"/>
      <c r="BL83" s="342"/>
      <c r="BM83" s="342"/>
      <c r="BN83" s="342"/>
    </row>
    <row r="84" spans="1:219" s="254" customFormat="1" ht="15">
      <c r="A84" s="260">
        <v>515</v>
      </c>
      <c r="B84" s="254" t="s">
        <v>160</v>
      </c>
      <c r="C84" s="254" t="s">
        <v>1278</v>
      </c>
      <c r="D84" s="255">
        <v>39356</v>
      </c>
      <c r="E84" s="255">
        <v>39417</v>
      </c>
      <c r="F84" s="254" t="s">
        <v>1120</v>
      </c>
      <c r="G84" s="254" t="s">
        <v>1451</v>
      </c>
      <c r="H84" s="254" t="s">
        <v>1935</v>
      </c>
      <c r="I84" s="254" t="s">
        <v>2331</v>
      </c>
      <c r="J84" s="256">
        <v>2500</v>
      </c>
      <c r="K84" s="256">
        <v>105000</v>
      </c>
      <c r="L84" s="256">
        <v>105000</v>
      </c>
      <c r="M84" s="256">
        <v>105000</v>
      </c>
      <c r="N84" s="256">
        <v>42</v>
      </c>
      <c r="O84" s="256">
        <v>100</v>
      </c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>
        <v>2500</v>
      </c>
      <c r="AA84" s="256"/>
      <c r="AB84" s="256"/>
      <c r="AC84" s="256"/>
      <c r="AD84" s="256"/>
      <c r="AE84" s="256"/>
      <c r="AF84" s="256"/>
      <c r="AG84" s="256"/>
      <c r="AH84" s="256"/>
      <c r="AI84" s="256"/>
      <c r="AJ84" s="301">
        <v>2500</v>
      </c>
      <c r="AK84" s="256"/>
      <c r="AL84" s="256"/>
      <c r="AM84" s="256"/>
      <c r="AN84" s="288"/>
      <c r="AO84" s="288"/>
      <c r="AP84" s="288"/>
      <c r="AQ84" s="288"/>
      <c r="AR84" s="288"/>
      <c r="AS84" s="288"/>
      <c r="AT84" s="288"/>
      <c r="AU84" s="288"/>
      <c r="AV84" s="254" t="s">
        <v>1934</v>
      </c>
    </row>
    <row r="85" spans="1:219" s="254" customFormat="1" ht="21.75" customHeight="1">
      <c r="A85" s="260">
        <v>516</v>
      </c>
      <c r="B85" s="266" t="s">
        <v>148</v>
      </c>
      <c r="C85" s="266" t="s">
        <v>1299</v>
      </c>
      <c r="D85" s="317">
        <v>39326</v>
      </c>
      <c r="E85" s="317">
        <v>39630</v>
      </c>
      <c r="F85" s="266" t="s">
        <v>5</v>
      </c>
      <c r="G85" s="254" t="s">
        <v>1451</v>
      </c>
      <c r="H85" s="266" t="s">
        <v>998</v>
      </c>
      <c r="I85" s="278" t="s">
        <v>2438</v>
      </c>
      <c r="J85" s="318">
        <v>100000</v>
      </c>
      <c r="K85" s="318">
        <v>11413603</v>
      </c>
      <c r="L85" s="318">
        <v>7863044</v>
      </c>
      <c r="M85" s="318">
        <v>7863044</v>
      </c>
      <c r="N85" s="256">
        <v>78.630439999999993</v>
      </c>
      <c r="O85" s="318">
        <v>69</v>
      </c>
      <c r="P85" s="318">
        <v>16500</v>
      </c>
      <c r="Q85" s="318">
        <v>15705</v>
      </c>
      <c r="R85" s="318">
        <v>16500</v>
      </c>
      <c r="S85" s="318" t="s">
        <v>2</v>
      </c>
      <c r="T85" s="318">
        <v>18</v>
      </c>
      <c r="U85" s="318">
        <v>100000</v>
      </c>
      <c r="V85" s="318">
        <v>1572838</v>
      </c>
      <c r="W85" s="318">
        <v>2</v>
      </c>
      <c r="X85" s="349">
        <v>1.2121212121212121E-4</v>
      </c>
      <c r="Y85" s="318"/>
      <c r="Z85" s="318"/>
      <c r="AA85" s="318"/>
      <c r="AB85" s="318"/>
      <c r="AC85" s="318"/>
      <c r="AD85" s="318"/>
      <c r="AE85" s="318">
        <v>40863</v>
      </c>
      <c r="AF85" s="318"/>
      <c r="AG85" s="318"/>
      <c r="AH85" s="318"/>
      <c r="AI85" s="318"/>
      <c r="AJ85" s="288">
        <v>0</v>
      </c>
      <c r="AK85" s="318">
        <v>184600</v>
      </c>
      <c r="AL85" s="318">
        <v>47083</v>
      </c>
      <c r="AM85" s="318"/>
      <c r="AN85" s="319"/>
      <c r="AO85" s="319"/>
      <c r="AP85" s="319"/>
      <c r="AQ85" s="319"/>
      <c r="AR85" s="319"/>
      <c r="AS85" s="319"/>
      <c r="AT85" s="319"/>
      <c r="AU85" s="319"/>
      <c r="AV85" s="322" t="s">
        <v>999</v>
      </c>
      <c r="AW85" s="266"/>
      <c r="AX85" s="266"/>
      <c r="AY85" s="266"/>
      <c r="AZ85" s="266"/>
      <c r="BA85" s="266"/>
      <c r="BB85" s="266"/>
      <c r="BC85" s="266"/>
      <c r="BD85" s="266"/>
      <c r="BE85" s="266"/>
      <c r="BF85" s="266"/>
      <c r="BG85" s="266"/>
      <c r="BH85" s="266"/>
      <c r="BI85" s="266"/>
      <c r="BJ85" s="266"/>
      <c r="BK85" s="266"/>
      <c r="BL85" s="266"/>
      <c r="BM85" s="266"/>
      <c r="BN85" s="266"/>
    </row>
    <row r="86" spans="1:219" s="259" customFormat="1" ht="15">
      <c r="A86" s="260">
        <v>517</v>
      </c>
      <c r="B86" s="259" t="s">
        <v>148</v>
      </c>
      <c r="C86" s="254" t="s">
        <v>1299</v>
      </c>
      <c r="D86" s="351">
        <v>39114</v>
      </c>
      <c r="E86" s="351">
        <v>39203</v>
      </c>
      <c r="F86" s="259" t="s">
        <v>226</v>
      </c>
      <c r="G86" s="259" t="s">
        <v>1449</v>
      </c>
      <c r="H86" s="259" t="s">
        <v>1941</v>
      </c>
      <c r="I86" s="254" t="s">
        <v>2331</v>
      </c>
      <c r="J86" s="298">
        <v>500000</v>
      </c>
      <c r="K86" s="298">
        <v>0</v>
      </c>
      <c r="L86" s="298">
        <v>66122</v>
      </c>
      <c r="M86" s="298">
        <v>66122</v>
      </c>
      <c r="N86" s="256">
        <v>0.132244</v>
      </c>
      <c r="O86" s="298">
        <v>100</v>
      </c>
      <c r="P86" s="298"/>
      <c r="Q86" s="298"/>
      <c r="R86" s="256"/>
      <c r="S86" s="298"/>
      <c r="T86" s="298"/>
      <c r="U86" s="298"/>
      <c r="V86" s="298"/>
      <c r="W86" s="298"/>
      <c r="X86" s="256"/>
      <c r="Y86" s="298"/>
      <c r="Z86" s="298"/>
      <c r="AA86" s="298">
        <v>857182</v>
      </c>
      <c r="AB86" s="298">
        <v>300</v>
      </c>
      <c r="AC86" s="298"/>
      <c r="AD86" s="298"/>
      <c r="AE86" s="298"/>
      <c r="AF86" s="298"/>
      <c r="AG86" s="298"/>
      <c r="AH86" s="298"/>
      <c r="AI86" s="298"/>
      <c r="AJ86" s="301">
        <v>857182</v>
      </c>
      <c r="AK86" s="298"/>
      <c r="AL86" s="298"/>
      <c r="AM86" s="298"/>
      <c r="AN86" s="301"/>
      <c r="AO86" s="301"/>
      <c r="AP86" s="301"/>
      <c r="AQ86" s="301"/>
      <c r="AR86" s="301"/>
      <c r="AS86" s="301"/>
      <c r="AT86" s="301"/>
      <c r="AU86" s="301"/>
      <c r="AV86" s="259" t="s">
        <v>1940</v>
      </c>
      <c r="BN86" s="254"/>
      <c r="BO86" s="254"/>
      <c r="BP86" s="254"/>
      <c r="BQ86" s="254"/>
      <c r="BR86" s="254"/>
      <c r="BS86" s="254"/>
      <c r="BT86" s="254"/>
      <c r="BU86" s="254"/>
      <c r="BV86" s="254"/>
      <c r="BW86" s="254"/>
      <c r="BX86" s="254"/>
      <c r="BY86" s="254"/>
      <c r="BZ86" s="254"/>
      <c r="CA86" s="254"/>
      <c r="CB86" s="254"/>
      <c r="CC86" s="254"/>
      <c r="CD86" s="254"/>
      <c r="CE86" s="254"/>
      <c r="CF86" s="254"/>
      <c r="CG86" s="254"/>
      <c r="CH86" s="254"/>
      <c r="CI86" s="254"/>
      <c r="CJ86" s="254"/>
      <c r="CK86" s="254"/>
      <c r="CL86" s="254"/>
      <c r="CM86" s="254"/>
      <c r="CN86" s="254"/>
      <c r="CO86" s="254"/>
      <c r="CP86" s="254"/>
      <c r="CQ86" s="254"/>
      <c r="CR86" s="254"/>
      <c r="CS86" s="254"/>
      <c r="CT86" s="254"/>
      <c r="CU86" s="254"/>
      <c r="CV86" s="254"/>
      <c r="CW86" s="254"/>
      <c r="CX86" s="254"/>
      <c r="CY86" s="254"/>
      <c r="CZ86" s="254"/>
      <c r="DA86" s="254"/>
      <c r="DB86" s="254"/>
      <c r="DC86" s="254"/>
      <c r="DD86" s="254"/>
      <c r="DE86" s="254"/>
      <c r="DF86" s="254"/>
      <c r="DG86" s="254"/>
      <c r="DH86" s="254"/>
      <c r="DI86" s="254"/>
      <c r="DJ86" s="254"/>
      <c r="DK86" s="254"/>
      <c r="DL86" s="254"/>
      <c r="DM86" s="254"/>
      <c r="DN86" s="254"/>
      <c r="DO86" s="254"/>
      <c r="DP86" s="254"/>
      <c r="DQ86" s="254"/>
      <c r="DR86" s="254"/>
      <c r="DS86" s="254"/>
      <c r="DT86" s="254"/>
      <c r="DU86" s="254"/>
      <c r="DV86" s="254"/>
      <c r="DW86" s="254"/>
      <c r="DX86" s="254"/>
      <c r="DY86" s="254"/>
      <c r="DZ86" s="254"/>
      <c r="EA86" s="254"/>
      <c r="EB86" s="254"/>
      <c r="EC86" s="254"/>
      <c r="ED86" s="254"/>
      <c r="EE86" s="254"/>
      <c r="EF86" s="254"/>
      <c r="EG86" s="254"/>
      <c r="EH86" s="254"/>
      <c r="EI86" s="254"/>
      <c r="EJ86" s="254"/>
      <c r="EK86" s="254"/>
      <c r="EL86" s="254"/>
      <c r="EM86" s="254"/>
      <c r="EN86" s="254"/>
      <c r="EO86" s="254"/>
      <c r="EP86" s="254"/>
      <c r="EQ86" s="254"/>
      <c r="ER86" s="254"/>
      <c r="ES86" s="254"/>
      <c r="ET86" s="254"/>
      <c r="EU86" s="254"/>
      <c r="EV86" s="254"/>
      <c r="EW86" s="254"/>
      <c r="EX86" s="254"/>
      <c r="EY86" s="254"/>
      <c r="EZ86" s="254"/>
      <c r="FA86" s="254"/>
      <c r="FB86" s="254"/>
      <c r="FC86" s="254"/>
      <c r="FD86" s="254"/>
      <c r="FE86" s="254"/>
      <c r="FF86" s="254"/>
      <c r="FG86" s="254"/>
      <c r="FH86" s="254"/>
      <c r="FI86" s="254"/>
      <c r="FJ86" s="254"/>
      <c r="FK86" s="254"/>
      <c r="FL86" s="254"/>
      <c r="FM86" s="254"/>
      <c r="FN86" s="254"/>
      <c r="FO86" s="254"/>
      <c r="FP86" s="254"/>
      <c r="FQ86" s="254"/>
      <c r="FR86" s="254"/>
      <c r="FS86" s="254"/>
      <c r="FT86" s="254"/>
      <c r="FU86" s="254"/>
      <c r="FV86" s="254"/>
      <c r="FW86" s="254"/>
      <c r="FX86" s="254"/>
      <c r="FY86" s="254"/>
      <c r="FZ86" s="254"/>
      <c r="GA86" s="254"/>
      <c r="GB86" s="254"/>
      <c r="GC86" s="254"/>
      <c r="GD86" s="254"/>
      <c r="GE86" s="254"/>
      <c r="GF86" s="254"/>
      <c r="GG86" s="254"/>
      <c r="GH86" s="254"/>
      <c r="GI86" s="254"/>
      <c r="GJ86" s="254"/>
      <c r="GK86" s="254"/>
      <c r="GL86" s="254"/>
      <c r="GM86" s="254"/>
      <c r="GN86" s="254"/>
      <c r="GO86" s="254"/>
      <c r="GP86" s="254"/>
      <c r="GQ86" s="254"/>
      <c r="GR86" s="254"/>
      <c r="GS86" s="254"/>
      <c r="GT86" s="254"/>
      <c r="GU86" s="254"/>
      <c r="GV86" s="254"/>
      <c r="GW86" s="254"/>
      <c r="GX86" s="254"/>
      <c r="GY86" s="254"/>
      <c r="GZ86" s="254"/>
      <c r="HA86" s="254"/>
      <c r="HB86" s="254"/>
      <c r="HC86" s="254"/>
      <c r="HD86" s="254"/>
      <c r="HE86" s="254"/>
      <c r="HF86" s="254"/>
      <c r="HG86" s="254"/>
      <c r="HH86" s="254"/>
      <c r="HI86" s="254"/>
      <c r="HJ86" s="254"/>
      <c r="HK86" s="254"/>
    </row>
    <row r="87" spans="1:219" s="259" customFormat="1" ht="15">
      <c r="A87" s="260">
        <v>518</v>
      </c>
      <c r="B87" s="259" t="s">
        <v>148</v>
      </c>
      <c r="C87" s="254" t="s">
        <v>1299</v>
      </c>
      <c r="D87" s="351">
        <v>39387</v>
      </c>
      <c r="E87" s="351">
        <v>39479</v>
      </c>
      <c r="F87" s="259" t="s">
        <v>1826</v>
      </c>
      <c r="G87" s="259" t="s">
        <v>1449</v>
      </c>
      <c r="H87" s="259" t="s">
        <v>1943</v>
      </c>
      <c r="I87" s="254" t="s">
        <v>2331</v>
      </c>
      <c r="J87" s="298" t="s">
        <v>134</v>
      </c>
      <c r="K87" s="298">
        <v>152756</v>
      </c>
      <c r="L87" s="298">
        <v>149548</v>
      </c>
      <c r="M87" s="298">
        <v>149548</v>
      </c>
      <c r="N87" s="256"/>
      <c r="O87" s="298">
        <v>98</v>
      </c>
      <c r="P87" s="298"/>
      <c r="Q87" s="298"/>
      <c r="R87" s="256"/>
      <c r="S87" s="298"/>
      <c r="T87" s="298"/>
      <c r="U87" s="298"/>
      <c r="V87" s="298"/>
      <c r="W87" s="298"/>
      <c r="X87" s="256"/>
      <c r="Y87" s="298"/>
      <c r="Z87" s="298"/>
      <c r="AA87" s="298"/>
      <c r="AB87" s="298">
        <v>306</v>
      </c>
      <c r="AC87" s="298"/>
      <c r="AD87" s="298"/>
      <c r="AE87" s="298"/>
      <c r="AF87" s="298"/>
      <c r="AG87" s="298"/>
      <c r="AH87" s="298"/>
      <c r="AI87" s="298"/>
      <c r="AJ87" s="301">
        <v>0</v>
      </c>
      <c r="AK87" s="298"/>
      <c r="AL87" s="298"/>
      <c r="AM87" s="298"/>
      <c r="AN87" s="301"/>
      <c r="AO87" s="301"/>
      <c r="AP87" s="301"/>
      <c r="AQ87" s="301"/>
      <c r="AR87" s="301"/>
      <c r="AS87" s="301"/>
      <c r="AT87" s="301"/>
      <c r="AU87" s="301"/>
      <c r="AV87" s="259" t="s">
        <v>1942</v>
      </c>
      <c r="BN87" s="254"/>
      <c r="BO87" s="254"/>
      <c r="BP87" s="254"/>
      <c r="BQ87" s="254"/>
      <c r="BR87" s="254"/>
      <c r="BS87" s="254"/>
      <c r="BT87" s="254"/>
      <c r="BU87" s="254"/>
      <c r="BV87" s="254"/>
      <c r="BW87" s="254"/>
      <c r="BX87" s="254"/>
      <c r="BY87" s="254"/>
      <c r="BZ87" s="254"/>
      <c r="CA87" s="254"/>
      <c r="CB87" s="254"/>
      <c r="CC87" s="254"/>
      <c r="CD87" s="254"/>
      <c r="CE87" s="254"/>
      <c r="CF87" s="254"/>
      <c r="CG87" s="254"/>
      <c r="CH87" s="254"/>
      <c r="CI87" s="254"/>
      <c r="CJ87" s="254"/>
      <c r="CK87" s="254"/>
      <c r="CL87" s="254"/>
      <c r="CM87" s="254"/>
      <c r="CN87" s="254"/>
      <c r="CO87" s="254"/>
      <c r="CP87" s="254"/>
      <c r="CQ87" s="254"/>
      <c r="CR87" s="254"/>
      <c r="CS87" s="254"/>
      <c r="CT87" s="254"/>
      <c r="CU87" s="254"/>
      <c r="CV87" s="254"/>
      <c r="CW87" s="254"/>
      <c r="CX87" s="254"/>
      <c r="CY87" s="254"/>
      <c r="CZ87" s="254"/>
      <c r="DA87" s="254"/>
      <c r="DB87" s="254"/>
      <c r="DC87" s="254"/>
      <c r="DD87" s="254"/>
      <c r="DE87" s="254"/>
      <c r="DF87" s="254"/>
      <c r="DG87" s="254"/>
      <c r="DH87" s="254"/>
      <c r="DI87" s="254"/>
      <c r="DJ87" s="254"/>
      <c r="DK87" s="254"/>
      <c r="DL87" s="254"/>
      <c r="DM87" s="254"/>
      <c r="DN87" s="254"/>
      <c r="DO87" s="254"/>
      <c r="DP87" s="254"/>
      <c r="DQ87" s="254"/>
      <c r="DR87" s="254"/>
      <c r="DS87" s="254"/>
      <c r="DT87" s="254"/>
      <c r="DU87" s="254"/>
      <c r="DV87" s="254"/>
      <c r="DW87" s="254"/>
      <c r="DX87" s="254"/>
      <c r="DY87" s="254"/>
      <c r="DZ87" s="254"/>
      <c r="EA87" s="254"/>
      <c r="EB87" s="254"/>
      <c r="EC87" s="254"/>
      <c r="ED87" s="254"/>
      <c r="EE87" s="254"/>
      <c r="EF87" s="254"/>
      <c r="EG87" s="254"/>
      <c r="EH87" s="254"/>
      <c r="EI87" s="254"/>
      <c r="EJ87" s="254"/>
      <c r="EK87" s="254"/>
      <c r="EL87" s="254"/>
      <c r="EM87" s="254"/>
      <c r="EN87" s="254"/>
      <c r="EO87" s="254"/>
      <c r="EP87" s="254"/>
      <c r="EQ87" s="254"/>
      <c r="ER87" s="254"/>
      <c r="ES87" s="254"/>
      <c r="ET87" s="254"/>
      <c r="EU87" s="254"/>
      <c r="EV87" s="254"/>
      <c r="EW87" s="254"/>
      <c r="EX87" s="254"/>
      <c r="EY87" s="254"/>
      <c r="EZ87" s="254"/>
      <c r="FA87" s="254"/>
      <c r="FB87" s="254"/>
      <c r="FC87" s="254"/>
      <c r="FD87" s="254"/>
      <c r="FE87" s="254"/>
      <c r="FF87" s="254"/>
      <c r="FG87" s="254"/>
      <c r="FH87" s="254"/>
      <c r="FI87" s="254"/>
      <c r="FJ87" s="254"/>
      <c r="FK87" s="254"/>
      <c r="FL87" s="254"/>
      <c r="FM87" s="254"/>
      <c r="FN87" s="254"/>
      <c r="FO87" s="254"/>
      <c r="FP87" s="254"/>
      <c r="FQ87" s="254"/>
      <c r="FR87" s="254"/>
      <c r="FS87" s="254"/>
      <c r="FT87" s="254"/>
      <c r="FU87" s="254"/>
      <c r="FV87" s="254"/>
      <c r="FW87" s="254"/>
      <c r="FX87" s="254"/>
      <c r="FY87" s="254"/>
      <c r="FZ87" s="254"/>
      <c r="GA87" s="254"/>
      <c r="GB87" s="254"/>
      <c r="GC87" s="254"/>
      <c r="GD87" s="254"/>
      <c r="GE87" s="254"/>
      <c r="GF87" s="254"/>
      <c r="GG87" s="254"/>
      <c r="GH87" s="254"/>
      <c r="GI87" s="254"/>
      <c r="GJ87" s="254"/>
      <c r="GK87" s="254"/>
      <c r="GL87" s="254"/>
      <c r="GM87" s="254"/>
      <c r="GN87" s="254"/>
      <c r="GO87" s="254"/>
      <c r="GP87" s="254"/>
      <c r="GQ87" s="254"/>
      <c r="GR87" s="254"/>
      <c r="GS87" s="254"/>
      <c r="GT87" s="254"/>
      <c r="GU87" s="254"/>
      <c r="GV87" s="254"/>
      <c r="GW87" s="254"/>
      <c r="GX87" s="254"/>
      <c r="GY87" s="254"/>
      <c r="GZ87" s="254"/>
      <c r="HA87" s="254"/>
      <c r="HB87" s="254"/>
      <c r="HC87" s="254"/>
      <c r="HD87" s="254"/>
      <c r="HE87" s="254"/>
      <c r="HF87" s="254"/>
      <c r="HG87" s="254"/>
      <c r="HH87" s="254"/>
      <c r="HI87" s="254"/>
      <c r="HJ87" s="254"/>
      <c r="HK87" s="254"/>
    </row>
    <row r="88" spans="1:219" s="259" customFormat="1" ht="21" customHeight="1">
      <c r="A88" s="260">
        <v>519</v>
      </c>
      <c r="B88" s="319" t="s">
        <v>148</v>
      </c>
      <c r="C88" s="319" t="s">
        <v>1299</v>
      </c>
      <c r="D88" s="397">
        <v>39295</v>
      </c>
      <c r="E88" s="397">
        <v>39539</v>
      </c>
      <c r="F88" s="319" t="s">
        <v>751</v>
      </c>
      <c r="G88" s="288" t="s">
        <v>1449</v>
      </c>
      <c r="H88" s="319" t="s">
        <v>750</v>
      </c>
      <c r="I88" s="254" t="s">
        <v>2331</v>
      </c>
      <c r="J88" s="318">
        <v>1300000</v>
      </c>
      <c r="K88" s="318">
        <v>129276</v>
      </c>
      <c r="L88" s="318">
        <v>126066</v>
      </c>
      <c r="M88" s="318">
        <v>126066</v>
      </c>
      <c r="N88" s="256">
        <v>9.697384615384616E-2</v>
      </c>
      <c r="O88" s="318">
        <v>98</v>
      </c>
      <c r="P88" s="318" t="s">
        <v>75</v>
      </c>
      <c r="Q88" s="318" t="s">
        <v>75</v>
      </c>
      <c r="R88" s="318" t="s">
        <v>75</v>
      </c>
      <c r="S88" s="318" t="s">
        <v>849</v>
      </c>
      <c r="T88" s="318" t="s">
        <v>75</v>
      </c>
      <c r="U88" s="318">
        <v>126100</v>
      </c>
      <c r="V88" s="318" t="s">
        <v>75</v>
      </c>
      <c r="W88" s="318" t="s">
        <v>75</v>
      </c>
      <c r="X88" s="318"/>
      <c r="Y88" s="318">
        <v>332413</v>
      </c>
      <c r="Z88" s="318" t="s">
        <v>75</v>
      </c>
      <c r="AA88" s="318">
        <v>332413</v>
      </c>
      <c r="AB88" s="318">
        <v>450</v>
      </c>
      <c r="AC88" s="318" t="s">
        <v>75</v>
      </c>
      <c r="AD88" s="318" t="s">
        <v>75</v>
      </c>
      <c r="AE88" s="318" t="s">
        <v>75</v>
      </c>
      <c r="AF88" s="318" t="s">
        <v>75</v>
      </c>
      <c r="AG88" s="318" t="s">
        <v>75</v>
      </c>
      <c r="AH88" s="318" t="s">
        <v>75</v>
      </c>
      <c r="AI88" s="318" t="s">
        <v>75</v>
      </c>
      <c r="AJ88" s="301">
        <v>332413</v>
      </c>
      <c r="AK88" s="318" t="s">
        <v>75</v>
      </c>
      <c r="AL88" s="318" t="s">
        <v>75</v>
      </c>
      <c r="AM88" s="318"/>
      <c r="AN88" s="319"/>
      <c r="AO88" s="319" t="s">
        <v>75</v>
      </c>
      <c r="AP88" s="319" t="s">
        <v>75</v>
      </c>
      <c r="AQ88" s="319" t="s">
        <v>75</v>
      </c>
      <c r="AR88" s="319" t="s">
        <v>75</v>
      </c>
      <c r="AS88" s="319" t="s">
        <v>75</v>
      </c>
      <c r="AT88" s="319" t="s">
        <v>75</v>
      </c>
      <c r="AU88" s="319" t="s">
        <v>75</v>
      </c>
      <c r="AV88" s="398" t="s">
        <v>749</v>
      </c>
      <c r="AW88" s="319"/>
      <c r="AX88" s="319"/>
      <c r="AY88" s="319"/>
      <c r="AZ88" s="319"/>
      <c r="BA88" s="319"/>
      <c r="BB88" s="319"/>
      <c r="BC88" s="319"/>
      <c r="BD88" s="319"/>
      <c r="BE88" s="319"/>
      <c r="BF88" s="319"/>
      <c r="BG88" s="319"/>
      <c r="BH88" s="319"/>
      <c r="BI88" s="319"/>
      <c r="BJ88" s="319"/>
      <c r="BK88" s="319"/>
      <c r="BL88" s="319"/>
      <c r="BM88" s="319"/>
      <c r="BN88" s="319"/>
      <c r="BO88" s="254"/>
      <c r="BP88" s="254"/>
      <c r="BQ88" s="254"/>
      <c r="BR88" s="254"/>
      <c r="BS88" s="254"/>
      <c r="BT88" s="254"/>
      <c r="BU88" s="254"/>
      <c r="BV88" s="254"/>
      <c r="BW88" s="254"/>
      <c r="BX88" s="254"/>
      <c r="BY88" s="254"/>
      <c r="BZ88" s="254"/>
      <c r="CA88" s="254"/>
      <c r="CB88" s="254"/>
      <c r="CC88" s="254"/>
      <c r="CD88" s="254"/>
      <c r="CE88" s="254"/>
      <c r="CF88" s="254"/>
      <c r="CG88" s="254"/>
      <c r="CH88" s="254"/>
      <c r="CI88" s="254"/>
      <c r="CJ88" s="254"/>
      <c r="CK88" s="254"/>
      <c r="CL88" s="254"/>
      <c r="CM88" s="254"/>
      <c r="CN88" s="254"/>
      <c r="CO88" s="254"/>
      <c r="CP88" s="254"/>
      <c r="CQ88" s="254"/>
      <c r="CR88" s="254"/>
      <c r="CS88" s="254"/>
      <c r="CT88" s="254"/>
      <c r="CU88" s="254"/>
      <c r="CV88" s="254"/>
      <c r="CW88" s="254"/>
      <c r="CX88" s="254"/>
      <c r="CY88" s="254"/>
      <c r="CZ88" s="254"/>
      <c r="DA88" s="254"/>
      <c r="DB88" s="254"/>
      <c r="DC88" s="254"/>
      <c r="DD88" s="254"/>
      <c r="DE88" s="254"/>
      <c r="DF88" s="254"/>
      <c r="DG88" s="254"/>
      <c r="DH88" s="254"/>
      <c r="DI88" s="254"/>
      <c r="DJ88" s="254"/>
      <c r="DK88" s="254"/>
      <c r="DL88" s="254"/>
      <c r="DM88" s="254"/>
      <c r="DN88" s="254"/>
      <c r="DO88" s="254"/>
      <c r="DP88" s="254"/>
      <c r="DQ88" s="254"/>
      <c r="DR88" s="254"/>
      <c r="DS88" s="254"/>
      <c r="DT88" s="254"/>
      <c r="DU88" s="254"/>
      <c r="DV88" s="254"/>
      <c r="DW88" s="254"/>
      <c r="DX88" s="254"/>
      <c r="DY88" s="254"/>
      <c r="DZ88" s="254"/>
      <c r="EA88" s="254"/>
      <c r="EB88" s="254"/>
      <c r="EC88" s="254"/>
      <c r="ED88" s="254"/>
      <c r="EE88" s="254"/>
      <c r="EF88" s="254"/>
      <c r="EG88" s="254"/>
      <c r="EH88" s="254"/>
      <c r="EI88" s="254"/>
      <c r="EJ88" s="254"/>
      <c r="EK88" s="254"/>
      <c r="EL88" s="254"/>
      <c r="EM88" s="254"/>
      <c r="EN88" s="254"/>
      <c r="EO88" s="254"/>
      <c r="EP88" s="254"/>
      <c r="EQ88" s="254"/>
      <c r="ER88" s="254"/>
      <c r="ES88" s="254"/>
      <c r="ET88" s="254"/>
      <c r="EU88" s="254"/>
      <c r="EV88" s="254"/>
      <c r="EW88" s="254"/>
      <c r="EX88" s="254"/>
      <c r="EY88" s="254"/>
      <c r="EZ88" s="254"/>
      <c r="FA88" s="254"/>
      <c r="FB88" s="254"/>
      <c r="FC88" s="254"/>
      <c r="FD88" s="254"/>
      <c r="FE88" s="254"/>
      <c r="FF88" s="254"/>
      <c r="FG88" s="254"/>
      <c r="FH88" s="254"/>
      <c r="FI88" s="254"/>
      <c r="FJ88" s="254"/>
      <c r="FK88" s="254"/>
      <c r="FL88" s="254"/>
      <c r="FM88" s="254"/>
      <c r="FN88" s="254"/>
      <c r="FO88" s="254"/>
      <c r="FP88" s="254"/>
      <c r="FQ88" s="254"/>
      <c r="FR88" s="254"/>
      <c r="FS88" s="254"/>
      <c r="FT88" s="254"/>
      <c r="FU88" s="254"/>
      <c r="FV88" s="254"/>
      <c r="FW88" s="254"/>
      <c r="FX88" s="254"/>
      <c r="FY88" s="254"/>
      <c r="FZ88" s="254"/>
      <c r="GA88" s="254"/>
      <c r="GB88" s="254"/>
      <c r="GC88" s="254"/>
      <c r="GD88" s="254"/>
      <c r="GE88" s="254"/>
      <c r="GF88" s="254"/>
      <c r="GG88" s="254"/>
      <c r="GH88" s="254"/>
      <c r="GI88" s="254"/>
      <c r="GJ88" s="254"/>
      <c r="GK88" s="254"/>
      <c r="GL88" s="254"/>
      <c r="GM88" s="254"/>
      <c r="GN88" s="254"/>
      <c r="GO88" s="254"/>
      <c r="GP88" s="254"/>
      <c r="GQ88" s="254"/>
      <c r="GR88" s="254"/>
      <c r="GS88" s="254"/>
      <c r="GT88" s="254"/>
      <c r="GU88" s="254"/>
      <c r="GV88" s="254"/>
      <c r="GW88" s="254"/>
      <c r="GX88" s="254"/>
      <c r="GY88" s="254"/>
      <c r="GZ88" s="254"/>
      <c r="HA88" s="254"/>
      <c r="HB88" s="254"/>
      <c r="HC88" s="254"/>
      <c r="HD88" s="254"/>
      <c r="HE88" s="254"/>
      <c r="HF88" s="254"/>
      <c r="HG88" s="254"/>
      <c r="HH88" s="254"/>
      <c r="HI88" s="254"/>
      <c r="HJ88" s="254"/>
      <c r="HK88" s="254"/>
    </row>
    <row r="89" spans="1:219" s="254" customFormat="1" ht="15">
      <c r="A89" s="260">
        <v>520</v>
      </c>
      <c r="B89" s="254" t="s">
        <v>251</v>
      </c>
      <c r="C89" s="254" t="s">
        <v>1260</v>
      </c>
      <c r="D89" s="255">
        <v>39295</v>
      </c>
      <c r="E89" s="255">
        <v>39356</v>
      </c>
      <c r="F89" s="254" t="s">
        <v>1824</v>
      </c>
      <c r="G89" s="254" t="s">
        <v>1451</v>
      </c>
      <c r="H89" s="254" t="s">
        <v>1937</v>
      </c>
      <c r="I89" s="254" t="s">
        <v>2331</v>
      </c>
      <c r="J89" s="256">
        <v>4951</v>
      </c>
      <c r="K89" s="256">
        <v>80000</v>
      </c>
      <c r="L89" s="256">
        <v>79908</v>
      </c>
      <c r="M89" s="256">
        <v>79908</v>
      </c>
      <c r="N89" s="256">
        <v>16.139769743486163</v>
      </c>
      <c r="O89" s="256">
        <v>100</v>
      </c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88">
        <v>0</v>
      </c>
      <c r="AK89" s="256"/>
      <c r="AL89" s="256"/>
      <c r="AM89" s="256"/>
      <c r="AN89" s="288"/>
      <c r="AO89" s="288"/>
      <c r="AP89" s="288"/>
      <c r="AQ89" s="288"/>
      <c r="AR89" s="288"/>
      <c r="AS89" s="288"/>
      <c r="AT89" s="288"/>
      <c r="AU89" s="288"/>
      <c r="AV89" s="254" t="s">
        <v>1936</v>
      </c>
    </row>
    <row r="90" spans="1:219" s="259" customFormat="1" ht="15">
      <c r="A90" s="260">
        <v>521</v>
      </c>
      <c r="B90" s="259" t="s">
        <v>251</v>
      </c>
      <c r="C90" s="254" t="s">
        <v>1260</v>
      </c>
      <c r="D90" s="351">
        <v>39387</v>
      </c>
      <c r="E90" s="351">
        <v>39569</v>
      </c>
      <c r="F90" s="259" t="s">
        <v>1825</v>
      </c>
      <c r="G90" s="259" t="s">
        <v>1464</v>
      </c>
      <c r="H90" s="259" t="s">
        <v>1939</v>
      </c>
      <c r="I90" s="254" t="s">
        <v>2331</v>
      </c>
      <c r="J90" s="298">
        <v>800</v>
      </c>
      <c r="K90" s="298">
        <v>37132</v>
      </c>
      <c r="L90" s="298">
        <v>37132</v>
      </c>
      <c r="M90" s="298">
        <v>37132</v>
      </c>
      <c r="N90" s="256">
        <v>46.414999999999999</v>
      </c>
      <c r="O90" s="298">
        <v>100</v>
      </c>
      <c r="P90" s="298"/>
      <c r="Q90" s="298"/>
      <c r="R90" s="256"/>
      <c r="S90" s="298"/>
      <c r="T90" s="298"/>
      <c r="U90" s="298"/>
      <c r="V90" s="298"/>
      <c r="W90" s="298"/>
      <c r="X90" s="256"/>
      <c r="Y90" s="298"/>
      <c r="Z90" s="298">
        <v>800</v>
      </c>
      <c r="AA90" s="298"/>
      <c r="AB90" s="298"/>
      <c r="AC90" s="298"/>
      <c r="AD90" s="298"/>
      <c r="AE90" s="298"/>
      <c r="AF90" s="298"/>
      <c r="AG90" s="298"/>
      <c r="AH90" s="298"/>
      <c r="AI90" s="298"/>
      <c r="AJ90" s="301">
        <v>800</v>
      </c>
      <c r="AK90" s="298">
        <v>252</v>
      </c>
      <c r="AL90" s="298">
        <v>252</v>
      </c>
      <c r="AM90" s="318">
        <f t="shared" ref="AM90:AM91" si="7">AL90/AJ90</f>
        <v>0.315</v>
      </c>
      <c r="AN90" s="301"/>
      <c r="AO90" s="301"/>
      <c r="AP90" s="301"/>
      <c r="AQ90" s="301"/>
      <c r="AR90" s="301"/>
      <c r="AS90" s="301"/>
      <c r="AT90" s="301"/>
      <c r="AU90" s="301"/>
      <c r="AV90" s="259" t="s">
        <v>1938</v>
      </c>
      <c r="BN90" s="254"/>
      <c r="BO90" s="254"/>
      <c r="BP90" s="254"/>
      <c r="BQ90" s="254"/>
      <c r="BR90" s="254"/>
      <c r="BS90" s="254"/>
      <c r="BT90" s="254"/>
      <c r="BU90" s="254"/>
      <c r="BV90" s="254"/>
      <c r="BW90" s="254"/>
      <c r="BX90" s="254"/>
      <c r="BY90" s="254"/>
      <c r="BZ90" s="254"/>
      <c r="CA90" s="254"/>
      <c r="CB90" s="254"/>
      <c r="CC90" s="254"/>
      <c r="CD90" s="254"/>
      <c r="CE90" s="254"/>
      <c r="CF90" s="254"/>
      <c r="CG90" s="254"/>
      <c r="CH90" s="254"/>
      <c r="CI90" s="254"/>
      <c r="CJ90" s="254"/>
      <c r="CK90" s="254"/>
      <c r="CL90" s="254"/>
      <c r="CM90" s="254"/>
      <c r="CN90" s="254"/>
      <c r="CO90" s="254"/>
      <c r="CP90" s="254"/>
      <c r="CQ90" s="254"/>
      <c r="CR90" s="254"/>
      <c r="CS90" s="254"/>
      <c r="CT90" s="254"/>
      <c r="CU90" s="254"/>
      <c r="CV90" s="254"/>
      <c r="CW90" s="254"/>
      <c r="CX90" s="254"/>
      <c r="CY90" s="254"/>
      <c r="CZ90" s="254"/>
      <c r="DA90" s="254"/>
      <c r="DB90" s="254"/>
      <c r="DC90" s="254"/>
      <c r="DD90" s="254"/>
      <c r="DE90" s="254"/>
      <c r="DF90" s="254"/>
      <c r="DG90" s="254"/>
      <c r="DH90" s="254"/>
      <c r="DI90" s="254"/>
      <c r="DJ90" s="254"/>
      <c r="DK90" s="254"/>
      <c r="DL90" s="254"/>
      <c r="DM90" s="254"/>
      <c r="DN90" s="254"/>
      <c r="DO90" s="254"/>
      <c r="DP90" s="254"/>
      <c r="DQ90" s="254"/>
      <c r="DR90" s="254"/>
      <c r="DS90" s="254"/>
      <c r="DT90" s="254"/>
      <c r="DU90" s="254"/>
      <c r="DV90" s="254"/>
      <c r="DW90" s="254"/>
      <c r="DX90" s="254"/>
      <c r="DY90" s="254"/>
      <c r="DZ90" s="254"/>
      <c r="EA90" s="254"/>
      <c r="EB90" s="254"/>
      <c r="EC90" s="254"/>
      <c r="ED90" s="254"/>
      <c r="EE90" s="254"/>
      <c r="EF90" s="254"/>
      <c r="EG90" s="254"/>
      <c r="EH90" s="254"/>
      <c r="EI90" s="254"/>
      <c r="EJ90" s="254"/>
      <c r="EK90" s="254"/>
      <c r="EL90" s="254"/>
      <c r="EM90" s="254"/>
      <c r="EN90" s="254"/>
      <c r="EO90" s="254"/>
      <c r="EP90" s="254"/>
      <c r="EQ90" s="254"/>
      <c r="ER90" s="254"/>
      <c r="ES90" s="254"/>
      <c r="ET90" s="254"/>
      <c r="EU90" s="254"/>
      <c r="EV90" s="254"/>
      <c r="EW90" s="254"/>
      <c r="EX90" s="254"/>
      <c r="EY90" s="254"/>
      <c r="EZ90" s="254"/>
      <c r="FA90" s="254"/>
      <c r="FB90" s="254"/>
      <c r="FC90" s="254"/>
      <c r="FD90" s="254"/>
      <c r="FE90" s="254"/>
      <c r="FF90" s="254"/>
      <c r="FG90" s="254"/>
      <c r="FH90" s="254"/>
      <c r="FI90" s="254"/>
      <c r="FJ90" s="254"/>
      <c r="FK90" s="254"/>
      <c r="FL90" s="254"/>
      <c r="FM90" s="254"/>
      <c r="FN90" s="254"/>
      <c r="FO90" s="254"/>
      <c r="FP90" s="254"/>
      <c r="FQ90" s="254"/>
      <c r="FR90" s="254"/>
      <c r="FS90" s="254"/>
      <c r="FT90" s="254"/>
      <c r="FU90" s="254"/>
      <c r="FV90" s="254"/>
      <c r="FW90" s="254"/>
      <c r="FX90" s="254"/>
      <c r="FY90" s="254"/>
      <c r="FZ90" s="254"/>
      <c r="GA90" s="254"/>
      <c r="GB90" s="254"/>
      <c r="GC90" s="254"/>
      <c r="GD90" s="254"/>
      <c r="GE90" s="254"/>
      <c r="GF90" s="254"/>
      <c r="GG90" s="254"/>
      <c r="GH90" s="254"/>
      <c r="GI90" s="254"/>
      <c r="GJ90" s="254"/>
      <c r="GK90" s="254"/>
      <c r="GL90" s="254"/>
      <c r="GM90" s="254"/>
      <c r="GN90" s="254"/>
      <c r="GO90" s="254"/>
      <c r="GP90" s="254"/>
      <c r="GQ90" s="254"/>
      <c r="GR90" s="254"/>
      <c r="GS90" s="254"/>
      <c r="GT90" s="254"/>
      <c r="GU90" s="254"/>
      <c r="GV90" s="254"/>
      <c r="GW90" s="254"/>
      <c r="GX90" s="254"/>
      <c r="GY90" s="254"/>
      <c r="GZ90" s="254"/>
      <c r="HA90" s="254"/>
      <c r="HB90" s="254"/>
      <c r="HC90" s="254"/>
      <c r="HD90" s="254"/>
      <c r="HE90" s="254"/>
      <c r="HF90" s="254"/>
      <c r="HG90" s="254"/>
      <c r="HH90" s="254"/>
      <c r="HI90" s="254"/>
      <c r="HJ90" s="254"/>
      <c r="HK90" s="254"/>
    </row>
    <row r="91" spans="1:219" s="399" customFormat="1" ht="16.5" customHeight="1">
      <c r="A91" s="260">
        <v>522</v>
      </c>
      <c r="B91" s="259" t="s">
        <v>1818</v>
      </c>
      <c r="C91" s="254" t="s">
        <v>1286</v>
      </c>
      <c r="D91" s="351">
        <v>39203</v>
      </c>
      <c r="E91" s="351">
        <v>39326</v>
      </c>
      <c r="F91" s="259" t="s">
        <v>5</v>
      </c>
      <c r="G91" s="259" t="s">
        <v>1451</v>
      </c>
      <c r="H91" s="385" t="s">
        <v>1945</v>
      </c>
      <c r="I91" s="254" t="s">
        <v>2331</v>
      </c>
      <c r="J91" s="298">
        <v>3750</v>
      </c>
      <c r="K91" s="298">
        <v>140000</v>
      </c>
      <c r="L91" s="298">
        <v>138320</v>
      </c>
      <c r="M91" s="298">
        <v>138320</v>
      </c>
      <c r="N91" s="256">
        <v>36.885333333333335</v>
      </c>
      <c r="O91" s="298">
        <v>99</v>
      </c>
      <c r="P91" s="298"/>
      <c r="Q91" s="298"/>
      <c r="R91" s="256"/>
      <c r="S91" s="298"/>
      <c r="T91" s="298"/>
      <c r="U91" s="298"/>
      <c r="V91" s="298"/>
      <c r="W91" s="298"/>
      <c r="X91" s="256"/>
      <c r="Y91" s="298"/>
      <c r="Z91" s="298">
        <v>3750</v>
      </c>
      <c r="AA91" s="298"/>
      <c r="AB91" s="298">
        <v>45</v>
      </c>
      <c r="AC91" s="298"/>
      <c r="AD91" s="298"/>
      <c r="AE91" s="298"/>
      <c r="AF91" s="298"/>
      <c r="AG91" s="298"/>
      <c r="AH91" s="298"/>
      <c r="AI91" s="298"/>
      <c r="AJ91" s="301">
        <v>3750</v>
      </c>
      <c r="AK91" s="298">
        <v>4840</v>
      </c>
      <c r="AL91" s="298">
        <v>529</v>
      </c>
      <c r="AM91" s="318">
        <f t="shared" si="7"/>
        <v>0.14106666666666667</v>
      </c>
      <c r="AN91" s="301"/>
      <c r="AO91" s="301"/>
      <c r="AP91" s="301"/>
      <c r="AQ91" s="301"/>
      <c r="AR91" s="301"/>
      <c r="AS91" s="301"/>
      <c r="AT91" s="301"/>
      <c r="AU91" s="301"/>
      <c r="AV91" s="259" t="s">
        <v>1944</v>
      </c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4"/>
      <c r="BO91" s="261"/>
      <c r="BP91" s="261"/>
      <c r="BQ91" s="261"/>
      <c r="BR91" s="261"/>
      <c r="BS91" s="261"/>
      <c r="BT91" s="261"/>
      <c r="BU91" s="261"/>
      <c r="BV91" s="261"/>
      <c r="BW91" s="261"/>
      <c r="BX91" s="261"/>
      <c r="BY91" s="261"/>
      <c r="BZ91" s="261"/>
      <c r="CA91" s="261"/>
      <c r="CB91" s="261"/>
      <c r="CC91" s="261"/>
      <c r="CD91" s="261"/>
      <c r="CE91" s="261"/>
      <c r="CF91" s="261"/>
      <c r="CG91" s="261"/>
      <c r="CH91" s="261"/>
      <c r="CI91" s="261"/>
      <c r="CJ91" s="261"/>
      <c r="CK91" s="261"/>
      <c r="CL91" s="261"/>
      <c r="CM91" s="261"/>
      <c r="CN91" s="261"/>
      <c r="CO91" s="261"/>
      <c r="CP91" s="261"/>
      <c r="CQ91" s="261"/>
      <c r="CR91" s="261"/>
      <c r="CS91" s="261"/>
      <c r="CT91" s="261"/>
      <c r="CU91" s="261"/>
      <c r="CV91" s="261"/>
      <c r="CW91" s="261"/>
      <c r="CX91" s="261"/>
      <c r="CY91" s="261"/>
      <c r="CZ91" s="261"/>
      <c r="DA91" s="261"/>
      <c r="DB91" s="261"/>
      <c r="DC91" s="261"/>
      <c r="DD91" s="261"/>
      <c r="DE91" s="261"/>
      <c r="DF91" s="261"/>
      <c r="DG91" s="261"/>
      <c r="DH91" s="261"/>
      <c r="DI91" s="261"/>
      <c r="DJ91" s="261"/>
      <c r="DK91" s="261"/>
      <c r="DL91" s="261"/>
      <c r="DM91" s="261"/>
      <c r="DN91" s="261"/>
      <c r="DO91" s="261"/>
      <c r="DP91" s="261"/>
      <c r="DQ91" s="261"/>
      <c r="DR91" s="261"/>
      <c r="DS91" s="261"/>
      <c r="DT91" s="261"/>
      <c r="DU91" s="261"/>
      <c r="DV91" s="261"/>
      <c r="DW91" s="261"/>
      <c r="DX91" s="261"/>
      <c r="DY91" s="261"/>
      <c r="DZ91" s="261"/>
      <c r="EA91" s="261"/>
      <c r="EB91" s="261"/>
      <c r="EC91" s="261"/>
      <c r="ED91" s="261"/>
      <c r="EE91" s="261"/>
      <c r="EF91" s="261"/>
      <c r="EG91" s="261"/>
      <c r="EH91" s="261"/>
      <c r="EI91" s="261"/>
      <c r="EJ91" s="261"/>
      <c r="EK91" s="261"/>
      <c r="EL91" s="261"/>
      <c r="EM91" s="261"/>
      <c r="EN91" s="261"/>
      <c r="EO91" s="261"/>
      <c r="EP91" s="261"/>
      <c r="EQ91" s="261"/>
      <c r="ER91" s="261"/>
      <c r="ES91" s="261"/>
      <c r="ET91" s="261"/>
      <c r="EU91" s="261"/>
      <c r="EV91" s="261"/>
      <c r="EW91" s="261"/>
      <c r="EX91" s="261"/>
      <c r="EY91" s="261"/>
      <c r="EZ91" s="261"/>
      <c r="FA91" s="261"/>
      <c r="FB91" s="261"/>
      <c r="FC91" s="261"/>
      <c r="FD91" s="261"/>
      <c r="FE91" s="261"/>
      <c r="FF91" s="261"/>
      <c r="FG91" s="261"/>
      <c r="FH91" s="261"/>
      <c r="FI91" s="261"/>
      <c r="FJ91" s="261"/>
      <c r="FK91" s="261"/>
      <c r="FL91" s="261"/>
      <c r="FM91" s="261"/>
      <c r="FN91" s="261"/>
      <c r="FO91" s="261"/>
      <c r="FP91" s="261"/>
      <c r="FQ91" s="261"/>
      <c r="FR91" s="261"/>
      <c r="FS91" s="261"/>
      <c r="FT91" s="261"/>
      <c r="FU91" s="261"/>
      <c r="FV91" s="261"/>
      <c r="FW91" s="261"/>
      <c r="FX91" s="261"/>
      <c r="FY91" s="261"/>
      <c r="FZ91" s="261"/>
      <c r="GA91" s="261"/>
      <c r="GB91" s="261"/>
      <c r="GC91" s="261"/>
      <c r="GD91" s="261"/>
      <c r="GE91" s="261"/>
      <c r="GF91" s="261"/>
      <c r="GG91" s="261"/>
      <c r="GH91" s="261"/>
      <c r="GI91" s="261"/>
      <c r="GJ91" s="261"/>
      <c r="GK91" s="261"/>
      <c r="GL91" s="261"/>
      <c r="GM91" s="261"/>
      <c r="GN91" s="261"/>
      <c r="GO91" s="261"/>
      <c r="GP91" s="261"/>
      <c r="GQ91" s="261"/>
      <c r="GR91" s="261"/>
      <c r="GS91" s="261"/>
      <c r="GT91" s="261"/>
      <c r="GU91" s="261"/>
      <c r="GV91" s="261"/>
      <c r="GW91" s="261"/>
      <c r="GX91" s="261"/>
      <c r="GY91" s="261"/>
      <c r="GZ91" s="261"/>
      <c r="HA91" s="261"/>
      <c r="HB91" s="261"/>
      <c r="HC91" s="261"/>
      <c r="HD91" s="261"/>
      <c r="HE91" s="261"/>
      <c r="HF91" s="261"/>
      <c r="HG91" s="261"/>
      <c r="HH91" s="261"/>
      <c r="HI91" s="261"/>
      <c r="HJ91" s="261"/>
      <c r="HK91" s="261"/>
    </row>
    <row r="92" spans="1:219" s="264" customFormat="1" ht="19.5" customHeight="1">
      <c r="A92" s="260">
        <v>523</v>
      </c>
      <c r="B92" s="264" t="s">
        <v>259</v>
      </c>
      <c r="C92" s="264" t="s">
        <v>1261</v>
      </c>
      <c r="D92" s="361">
        <v>39142</v>
      </c>
      <c r="E92" s="361">
        <v>39722</v>
      </c>
      <c r="F92" s="319" t="s">
        <v>578</v>
      </c>
      <c r="G92" s="288" t="s">
        <v>1450</v>
      </c>
      <c r="H92" s="264" t="s">
        <v>577</v>
      </c>
      <c r="I92" s="278" t="s">
        <v>2438</v>
      </c>
      <c r="J92" s="263">
        <v>193000</v>
      </c>
      <c r="K92" s="263">
        <v>3231507</v>
      </c>
      <c r="L92" s="263">
        <v>2453420</v>
      </c>
      <c r="M92" s="263">
        <v>2453420</v>
      </c>
      <c r="N92" s="256">
        <v>12.712020725388602</v>
      </c>
      <c r="O92" s="263">
        <v>76</v>
      </c>
      <c r="P92" s="263" t="s">
        <v>75</v>
      </c>
      <c r="Q92" s="263" t="s">
        <v>75</v>
      </c>
      <c r="R92" s="263"/>
      <c r="S92" s="263" t="s">
        <v>95</v>
      </c>
      <c r="T92" s="263" t="s">
        <v>75</v>
      </c>
      <c r="U92" s="263" t="s">
        <v>75</v>
      </c>
      <c r="V92" s="263" t="s">
        <v>75</v>
      </c>
      <c r="W92" s="263" t="s">
        <v>75</v>
      </c>
      <c r="X92" s="263"/>
      <c r="Y92" s="263" t="s">
        <v>75</v>
      </c>
      <c r="Z92" s="263" t="s">
        <v>75</v>
      </c>
      <c r="AA92" s="263" t="s">
        <v>75</v>
      </c>
      <c r="AB92" s="263" t="s">
        <v>75</v>
      </c>
      <c r="AC92" s="263" t="s">
        <v>75</v>
      </c>
      <c r="AD92" s="263" t="s">
        <v>75</v>
      </c>
      <c r="AE92" s="263" t="s">
        <v>75</v>
      </c>
      <c r="AF92" s="263" t="s">
        <v>75</v>
      </c>
      <c r="AG92" s="263" t="s">
        <v>75</v>
      </c>
      <c r="AH92" s="263" t="s">
        <v>75</v>
      </c>
      <c r="AI92" s="263" t="s">
        <v>75</v>
      </c>
      <c r="AJ92" s="288">
        <v>0</v>
      </c>
      <c r="AK92" s="263" t="s">
        <v>75</v>
      </c>
      <c r="AL92" s="263" t="s">
        <v>75</v>
      </c>
      <c r="AM92" s="263"/>
      <c r="AO92" s="264" t="s">
        <v>75</v>
      </c>
      <c r="AP92" s="264" t="s">
        <v>75</v>
      </c>
      <c r="AQ92" s="264" t="s">
        <v>75</v>
      </c>
      <c r="AR92" s="264" t="s">
        <v>75</v>
      </c>
      <c r="AS92" s="264" t="s">
        <v>75</v>
      </c>
      <c r="AT92" s="264" t="s">
        <v>75</v>
      </c>
      <c r="AU92" s="264" t="s">
        <v>75</v>
      </c>
      <c r="AV92" s="275" t="s">
        <v>576</v>
      </c>
    </row>
    <row r="93" spans="1:219" s="264" customFormat="1" ht="18.75" customHeight="1">
      <c r="A93" s="260">
        <v>524</v>
      </c>
      <c r="B93" s="342" t="s">
        <v>2373</v>
      </c>
      <c r="C93" s="342" t="s">
        <v>1299</v>
      </c>
      <c r="D93" s="317">
        <v>39326</v>
      </c>
      <c r="E93" s="317">
        <v>39692</v>
      </c>
      <c r="F93" s="342" t="s">
        <v>5</v>
      </c>
      <c r="G93" s="254" t="s">
        <v>1451</v>
      </c>
      <c r="H93" s="342" t="s">
        <v>831</v>
      </c>
      <c r="I93" s="278" t="s">
        <v>2438</v>
      </c>
      <c r="J93" s="318">
        <v>82000</v>
      </c>
      <c r="K93" s="318">
        <v>4408754</v>
      </c>
      <c r="L93" s="318">
        <v>4188895</v>
      </c>
      <c r="M93" s="318">
        <v>4188895</v>
      </c>
      <c r="N93" s="256">
        <v>51.08408536585366</v>
      </c>
      <c r="O93" s="318">
        <v>95</v>
      </c>
      <c r="P93" s="318">
        <v>38585</v>
      </c>
      <c r="Q93" s="318">
        <v>320</v>
      </c>
      <c r="R93" s="318">
        <v>38585</v>
      </c>
      <c r="S93" s="318" t="s">
        <v>849</v>
      </c>
      <c r="T93" s="318">
        <v>115</v>
      </c>
      <c r="U93" s="318">
        <v>38585</v>
      </c>
      <c r="V93" s="318">
        <v>132142</v>
      </c>
      <c r="W93" s="318">
        <v>110206</v>
      </c>
      <c r="X93" s="349">
        <v>2.8561876376830373</v>
      </c>
      <c r="Y93" s="318">
        <v>36305</v>
      </c>
      <c r="Z93" s="318" t="s">
        <v>75</v>
      </c>
      <c r="AA93" s="318">
        <v>36305</v>
      </c>
      <c r="AB93" s="318">
        <v>80</v>
      </c>
      <c r="AC93" s="318" t="s">
        <v>75</v>
      </c>
      <c r="AD93" s="318" t="s">
        <v>75</v>
      </c>
      <c r="AE93" s="318">
        <v>8522</v>
      </c>
      <c r="AF93" s="318" t="s">
        <v>75</v>
      </c>
      <c r="AG93" s="318" t="s">
        <v>75</v>
      </c>
      <c r="AH93" s="318" t="s">
        <v>75</v>
      </c>
      <c r="AI93" s="318" t="s">
        <v>75</v>
      </c>
      <c r="AJ93" s="288">
        <v>36305</v>
      </c>
      <c r="AK93" s="318">
        <v>18998</v>
      </c>
      <c r="AL93" s="318">
        <v>4400</v>
      </c>
      <c r="AM93" s="318">
        <f>AL93/AJ93</f>
        <v>0.12119542762704862</v>
      </c>
      <c r="AN93" s="319"/>
      <c r="AO93" s="319" t="s">
        <v>75</v>
      </c>
      <c r="AP93" s="319" t="s">
        <v>75</v>
      </c>
      <c r="AQ93" s="319" t="s">
        <v>75</v>
      </c>
      <c r="AR93" s="319" t="s">
        <v>75</v>
      </c>
      <c r="AS93" s="319" t="s">
        <v>75</v>
      </c>
      <c r="AT93" s="319" t="s">
        <v>2</v>
      </c>
      <c r="AU93" s="319" t="s">
        <v>75</v>
      </c>
      <c r="AV93" s="356" t="s">
        <v>830</v>
      </c>
      <c r="AW93" s="342"/>
      <c r="AX93" s="342"/>
      <c r="AY93" s="342"/>
      <c r="AZ93" s="342"/>
      <c r="BA93" s="342"/>
      <c r="BB93" s="342"/>
      <c r="BC93" s="342"/>
      <c r="BD93" s="342"/>
      <c r="BE93" s="342"/>
      <c r="BF93" s="342"/>
      <c r="BG93" s="342"/>
      <c r="BH93" s="342"/>
      <c r="BI93" s="342"/>
      <c r="BJ93" s="342"/>
      <c r="BK93" s="342"/>
      <c r="BL93" s="342"/>
      <c r="BM93" s="342"/>
      <c r="BN93" s="342"/>
    </row>
    <row r="94" spans="1:219" s="264" customFormat="1" ht="18" customHeight="1">
      <c r="A94" s="260">
        <v>525</v>
      </c>
      <c r="B94" s="259" t="s">
        <v>2374</v>
      </c>
      <c r="C94" s="259" t="s">
        <v>1299</v>
      </c>
      <c r="D94" s="351">
        <v>39142</v>
      </c>
      <c r="E94" s="351">
        <v>39387</v>
      </c>
      <c r="F94" s="259" t="s">
        <v>226</v>
      </c>
      <c r="G94" s="259" t="s">
        <v>1449</v>
      </c>
      <c r="H94" s="385" t="s">
        <v>1743</v>
      </c>
      <c r="I94" s="254" t="s">
        <v>2331</v>
      </c>
      <c r="J94" s="298">
        <v>1000000</v>
      </c>
      <c r="K94" s="298">
        <v>0</v>
      </c>
      <c r="L94" s="298">
        <v>179077</v>
      </c>
      <c r="M94" s="298">
        <v>179077</v>
      </c>
      <c r="N94" s="256">
        <v>0.17907699999999999</v>
      </c>
      <c r="O94" s="383" t="s">
        <v>66</v>
      </c>
      <c r="P94" s="298"/>
      <c r="Q94" s="298"/>
      <c r="R94" s="256"/>
      <c r="S94" s="298"/>
      <c r="T94" s="298"/>
      <c r="U94" s="298"/>
      <c r="V94" s="298">
        <v>0</v>
      </c>
      <c r="W94" s="298">
        <v>3</v>
      </c>
      <c r="X94" s="256"/>
      <c r="Y94" s="298"/>
      <c r="Z94" s="298"/>
      <c r="AA94" s="298">
        <v>1000000</v>
      </c>
      <c r="AB94" s="298">
        <v>2000</v>
      </c>
      <c r="AC94" s="298"/>
      <c r="AD94" s="298"/>
      <c r="AE94" s="298"/>
      <c r="AF94" s="298"/>
      <c r="AG94" s="298"/>
      <c r="AH94" s="298"/>
      <c r="AI94" s="298"/>
      <c r="AJ94" s="301">
        <v>1000000</v>
      </c>
      <c r="AK94" s="298" t="s">
        <v>66</v>
      </c>
      <c r="AL94" s="298" t="s">
        <v>66</v>
      </c>
      <c r="AM94" s="298"/>
      <c r="AN94" s="301"/>
      <c r="AO94" s="301"/>
      <c r="AP94" s="301"/>
      <c r="AQ94" s="301"/>
      <c r="AR94" s="301"/>
      <c r="AS94" s="301"/>
      <c r="AT94" s="301"/>
      <c r="AU94" s="301"/>
      <c r="AV94" s="376" t="s">
        <v>1742</v>
      </c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4"/>
    </row>
    <row r="95" spans="1:219" s="264" customFormat="1" ht="14.25" customHeight="1">
      <c r="A95" s="260">
        <v>526</v>
      </c>
      <c r="B95" s="342" t="s">
        <v>764</v>
      </c>
      <c r="C95" s="342" t="s">
        <v>1299</v>
      </c>
      <c r="D95" s="317">
        <v>39083</v>
      </c>
      <c r="E95" s="317">
        <v>39326</v>
      </c>
      <c r="F95" s="342" t="s">
        <v>763</v>
      </c>
      <c r="G95" s="259" t="s">
        <v>1451</v>
      </c>
      <c r="H95" s="342" t="s">
        <v>762</v>
      </c>
      <c r="I95" s="278" t="s">
        <v>2438</v>
      </c>
      <c r="J95" s="318">
        <v>6250</v>
      </c>
      <c r="K95" s="318">
        <v>798072</v>
      </c>
      <c r="L95" s="318">
        <v>297531</v>
      </c>
      <c r="M95" s="318">
        <v>297531</v>
      </c>
      <c r="N95" s="256">
        <v>47.604959999999998</v>
      </c>
      <c r="O95" s="318">
        <v>37</v>
      </c>
      <c r="P95" s="318">
        <v>1000</v>
      </c>
      <c r="Q95" s="318">
        <v>2030</v>
      </c>
      <c r="R95" s="318">
        <v>2030</v>
      </c>
      <c r="S95" s="318" t="s">
        <v>849</v>
      </c>
      <c r="T95" s="318">
        <v>40</v>
      </c>
      <c r="U95" s="318">
        <v>6225</v>
      </c>
      <c r="V95" s="318">
        <v>137250</v>
      </c>
      <c r="W95" s="318">
        <v>32319</v>
      </c>
      <c r="X95" s="349">
        <v>15.920689655172414</v>
      </c>
      <c r="Y95" s="318">
        <v>6225</v>
      </c>
      <c r="Z95" s="318" t="s">
        <v>75</v>
      </c>
      <c r="AA95" s="318">
        <v>6225</v>
      </c>
      <c r="AB95" s="318" t="s">
        <v>75</v>
      </c>
      <c r="AC95" s="318" t="s">
        <v>75</v>
      </c>
      <c r="AD95" s="318" t="s">
        <v>75</v>
      </c>
      <c r="AE95" s="318" t="s">
        <v>75</v>
      </c>
      <c r="AF95" s="318" t="s">
        <v>75</v>
      </c>
      <c r="AG95" s="318" t="s">
        <v>75</v>
      </c>
      <c r="AH95" s="318" t="s">
        <v>75</v>
      </c>
      <c r="AI95" s="318" t="s">
        <v>75</v>
      </c>
      <c r="AJ95" s="301">
        <v>6225</v>
      </c>
      <c r="AK95" s="318" t="s">
        <v>75</v>
      </c>
      <c r="AL95" s="318" t="s">
        <v>75</v>
      </c>
      <c r="AM95" s="318"/>
      <c r="AN95" s="319"/>
      <c r="AO95" s="319" t="s">
        <v>75</v>
      </c>
      <c r="AP95" s="319" t="s">
        <v>75</v>
      </c>
      <c r="AQ95" s="319" t="s">
        <v>75</v>
      </c>
      <c r="AR95" s="319" t="s">
        <v>75</v>
      </c>
      <c r="AS95" s="319" t="s">
        <v>75</v>
      </c>
      <c r="AT95" s="319" t="s">
        <v>75</v>
      </c>
      <c r="AU95" s="319" t="s">
        <v>75</v>
      </c>
      <c r="AV95" s="359" t="s">
        <v>761</v>
      </c>
      <c r="AW95" s="342"/>
      <c r="AX95" s="342"/>
      <c r="AY95" s="342"/>
      <c r="AZ95" s="342"/>
      <c r="BA95" s="342"/>
      <c r="BB95" s="342"/>
      <c r="BC95" s="342"/>
      <c r="BD95" s="342"/>
      <c r="BE95" s="342"/>
      <c r="BF95" s="342"/>
      <c r="BG95" s="342"/>
      <c r="BH95" s="342"/>
      <c r="BI95" s="342"/>
      <c r="BJ95" s="342"/>
      <c r="BK95" s="342"/>
      <c r="BL95" s="342"/>
      <c r="BM95" s="342"/>
      <c r="BN95" s="342"/>
    </row>
    <row r="96" spans="1:219" s="264" customFormat="1" ht="14.25" customHeight="1">
      <c r="A96" s="260">
        <v>527</v>
      </c>
      <c r="B96" s="259" t="s">
        <v>142</v>
      </c>
      <c r="C96" s="254" t="s">
        <v>1299</v>
      </c>
      <c r="D96" s="351">
        <v>39203</v>
      </c>
      <c r="E96" s="351">
        <v>39264</v>
      </c>
      <c r="F96" s="259" t="s">
        <v>1827</v>
      </c>
      <c r="G96" s="259" t="s">
        <v>1449</v>
      </c>
      <c r="H96" s="259" t="s">
        <v>1947</v>
      </c>
      <c r="I96" s="254" t="s">
        <v>2331</v>
      </c>
      <c r="J96" s="298">
        <v>100000</v>
      </c>
      <c r="K96" s="298">
        <v>258404</v>
      </c>
      <c r="L96" s="298">
        <v>258404</v>
      </c>
      <c r="M96" s="298">
        <v>258404</v>
      </c>
      <c r="N96" s="256">
        <v>2.5840399999999999</v>
      </c>
      <c r="O96" s="298">
        <v>100</v>
      </c>
      <c r="P96" s="298">
        <v>100000</v>
      </c>
      <c r="Q96" s="298"/>
      <c r="R96" s="256"/>
      <c r="S96" s="298"/>
      <c r="T96" s="298"/>
      <c r="U96" s="298">
        <v>100000</v>
      </c>
      <c r="V96" s="298">
        <v>184540</v>
      </c>
      <c r="W96" s="298">
        <v>97150</v>
      </c>
      <c r="X96" s="256"/>
      <c r="Y96" s="298"/>
      <c r="Z96" s="298"/>
      <c r="AA96" s="298"/>
      <c r="AB96" s="298">
        <v>100</v>
      </c>
      <c r="AC96" s="298"/>
      <c r="AD96" s="298"/>
      <c r="AE96" s="298"/>
      <c r="AF96" s="298"/>
      <c r="AG96" s="298"/>
      <c r="AH96" s="298"/>
      <c r="AI96" s="298"/>
      <c r="AJ96" s="301">
        <v>0</v>
      </c>
      <c r="AK96" s="298" t="s">
        <v>66</v>
      </c>
      <c r="AL96" s="298">
        <v>29126</v>
      </c>
      <c r="AM96" s="318"/>
      <c r="AN96" s="301"/>
      <c r="AO96" s="301"/>
      <c r="AP96" s="301"/>
      <c r="AQ96" s="301"/>
      <c r="AR96" s="301"/>
      <c r="AS96" s="301"/>
      <c r="AT96" s="301"/>
      <c r="AU96" s="301"/>
      <c r="AV96" s="259" t="s">
        <v>1946</v>
      </c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4"/>
    </row>
    <row r="97" spans="1:66" s="264" customFormat="1" ht="14.25" customHeight="1">
      <c r="A97" s="260">
        <v>528</v>
      </c>
      <c r="B97" s="259" t="s">
        <v>2307</v>
      </c>
      <c r="C97" s="254" t="s">
        <v>1286</v>
      </c>
      <c r="D97" s="351">
        <v>39326</v>
      </c>
      <c r="E97" s="351">
        <v>39783</v>
      </c>
      <c r="F97" s="259" t="s">
        <v>665</v>
      </c>
      <c r="G97" s="259" t="s">
        <v>1450</v>
      </c>
      <c r="H97" s="259" t="s">
        <v>664</v>
      </c>
      <c r="I97" s="278" t="s">
        <v>2438</v>
      </c>
      <c r="J97" s="298">
        <v>31658</v>
      </c>
      <c r="K97" s="298">
        <v>1371000</v>
      </c>
      <c r="L97" s="298">
        <v>1310495</v>
      </c>
      <c r="M97" s="298">
        <v>1310495</v>
      </c>
      <c r="N97" s="256">
        <v>41.395381893992038</v>
      </c>
      <c r="O97" s="298">
        <v>96</v>
      </c>
      <c r="P97" s="298">
        <v>40000</v>
      </c>
      <c r="Q97" s="298">
        <v>700</v>
      </c>
      <c r="R97" s="256">
        <v>40000</v>
      </c>
      <c r="S97" s="298"/>
      <c r="T97" s="263"/>
      <c r="U97" s="298">
        <v>31658</v>
      </c>
      <c r="V97" s="298">
        <v>127</v>
      </c>
      <c r="W97" s="298">
        <v>2029</v>
      </c>
      <c r="X97" s="349">
        <v>5.0724999999999999E-2</v>
      </c>
      <c r="Y97" s="298"/>
      <c r="Z97" s="298">
        <v>31658</v>
      </c>
      <c r="AA97" s="298">
        <v>166</v>
      </c>
      <c r="AB97" s="298">
        <v>40</v>
      </c>
      <c r="AC97" s="298"/>
      <c r="AD97" s="298"/>
      <c r="AE97" s="298"/>
      <c r="AF97" s="298"/>
      <c r="AG97" s="298"/>
      <c r="AH97" s="298"/>
      <c r="AI97" s="298"/>
      <c r="AJ97" s="301">
        <v>31824</v>
      </c>
      <c r="AK97" s="298">
        <v>2051</v>
      </c>
      <c r="AL97" s="298">
        <v>2809</v>
      </c>
      <c r="AM97" s="318">
        <f t="shared" ref="AM97" si="8">AL97/AJ97</f>
        <v>8.8266716943187537E-2</v>
      </c>
      <c r="AN97" s="301"/>
      <c r="AO97" s="301"/>
      <c r="AP97" s="301"/>
      <c r="AQ97" s="301"/>
      <c r="AR97" s="301"/>
      <c r="AS97" s="301"/>
      <c r="AT97" s="301"/>
      <c r="AU97" s="301"/>
      <c r="AV97" s="376" t="s">
        <v>663</v>
      </c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4"/>
    </row>
    <row r="98" spans="1:66" s="405" customFormat="1" ht="15.75" customHeight="1">
      <c r="A98" s="260">
        <v>600</v>
      </c>
      <c r="B98" s="304" t="s">
        <v>171</v>
      </c>
      <c r="C98" s="304" t="s">
        <v>1299</v>
      </c>
      <c r="D98" s="317">
        <v>39203</v>
      </c>
      <c r="E98" s="317">
        <v>39568</v>
      </c>
      <c r="F98" s="304" t="s">
        <v>5</v>
      </c>
      <c r="G98" s="252" t="s">
        <v>1451</v>
      </c>
      <c r="H98" s="342" t="s">
        <v>796</v>
      </c>
      <c r="I98" s="278" t="s">
        <v>2438</v>
      </c>
      <c r="J98" s="318">
        <v>53000</v>
      </c>
      <c r="K98" s="318">
        <v>980269</v>
      </c>
      <c r="L98" s="318">
        <v>164301</v>
      </c>
      <c r="M98" s="318">
        <v>164301</v>
      </c>
      <c r="N98" s="256">
        <v>3.1000188679245282</v>
      </c>
      <c r="O98" s="318">
        <v>20</v>
      </c>
      <c r="P98" s="318" t="s">
        <v>75</v>
      </c>
      <c r="Q98" s="318" t="s">
        <v>75</v>
      </c>
      <c r="R98" s="318" t="s">
        <v>75</v>
      </c>
      <c r="S98" s="318" t="s">
        <v>849</v>
      </c>
      <c r="T98" s="318" t="s">
        <v>75</v>
      </c>
      <c r="U98" s="318">
        <v>15000</v>
      </c>
      <c r="V98" s="318">
        <v>15650</v>
      </c>
      <c r="W98" s="318">
        <v>4696</v>
      </c>
      <c r="X98" s="318"/>
      <c r="Y98" s="318">
        <v>50000</v>
      </c>
      <c r="Z98" s="318" t="s">
        <v>75</v>
      </c>
      <c r="AA98" s="318">
        <v>50000</v>
      </c>
      <c r="AB98" s="318">
        <v>160</v>
      </c>
      <c r="AC98" s="318" t="s">
        <v>2</v>
      </c>
      <c r="AD98" s="318" t="s">
        <v>75</v>
      </c>
      <c r="AE98" s="318">
        <v>12000</v>
      </c>
      <c r="AF98" s="318" t="s">
        <v>75</v>
      </c>
      <c r="AG98" s="318" t="s">
        <v>75</v>
      </c>
      <c r="AH98" s="318" t="s">
        <v>75</v>
      </c>
      <c r="AI98" s="318" t="s">
        <v>75</v>
      </c>
      <c r="AJ98" s="259">
        <v>50000</v>
      </c>
      <c r="AK98" s="318" t="s">
        <v>75</v>
      </c>
      <c r="AL98" s="318" t="s">
        <v>75</v>
      </c>
      <c r="AM98" s="318"/>
      <c r="AN98" s="319"/>
      <c r="AO98" s="319" t="s">
        <v>75</v>
      </c>
      <c r="AP98" s="319" t="s">
        <v>75</v>
      </c>
      <c r="AQ98" s="319" t="s">
        <v>75</v>
      </c>
      <c r="AR98" s="319" t="s">
        <v>75</v>
      </c>
      <c r="AS98" s="319" t="s">
        <v>75</v>
      </c>
      <c r="AT98" s="319" t="s">
        <v>75</v>
      </c>
      <c r="AU98" s="319" t="s">
        <v>75</v>
      </c>
      <c r="AV98" s="416" t="s">
        <v>795</v>
      </c>
      <c r="AW98" s="357"/>
      <c r="AX98" s="357"/>
      <c r="AY98" s="357"/>
      <c r="AZ98" s="357"/>
      <c r="BA98" s="357"/>
      <c r="BB98" s="357"/>
      <c r="BC98" s="357"/>
      <c r="BD98" s="357"/>
      <c r="BE98" s="357"/>
      <c r="BF98" s="357"/>
      <c r="BG98" s="357"/>
      <c r="BH98" s="357"/>
      <c r="BI98" s="357"/>
      <c r="BJ98" s="357"/>
      <c r="BK98" s="357"/>
      <c r="BL98" s="357"/>
      <c r="BM98" s="357"/>
      <c r="BN98" s="357"/>
    </row>
    <row r="100" spans="1:66" s="1" customFormat="1">
      <c r="A100" s="511" t="s">
        <v>1521</v>
      </c>
      <c r="B100" s="511"/>
      <c r="C100" s="511"/>
      <c r="D100" s="511"/>
      <c r="E100" s="511"/>
      <c r="F100" s="511"/>
      <c r="G100" s="511"/>
      <c r="H100" s="511"/>
      <c r="I100" s="511"/>
      <c r="J100" s="511">
        <f>SUBTOTAL(9,J3:J98)</f>
        <v>18905348</v>
      </c>
      <c r="K100" s="511">
        <f t="shared" ref="K100:L100" si="9">SUBTOTAL(9,K3:K98)</f>
        <v>179488747</v>
      </c>
      <c r="L100" s="511">
        <f t="shared" si="9"/>
        <v>128351207.67</v>
      </c>
      <c r="M100" s="511">
        <f t="shared" ref="M100" si="10">SUBTOTAL(9,M3:M98)</f>
        <v>124685471.67</v>
      </c>
      <c r="N100" s="511">
        <f>SUBTOTAL(1,N3:N98)</f>
        <v>31.953448980034906</v>
      </c>
      <c r="O100" s="511">
        <f>SUBTOTAL(1,O3:O98)</f>
        <v>87.577904145000304</v>
      </c>
      <c r="P100" s="511">
        <f>SUBTOTAL(9,P3:P98)</f>
        <v>2336772</v>
      </c>
      <c r="Q100" s="511">
        <f t="shared" ref="Q100:W100" si="11">SUBTOTAL(9,Q3:Q98)</f>
        <v>293468</v>
      </c>
      <c r="R100" s="511">
        <f t="shared" si="11"/>
        <v>2429892</v>
      </c>
      <c r="S100" s="511">
        <f t="shared" si="11"/>
        <v>0</v>
      </c>
      <c r="T100" s="511">
        <f t="shared" si="11"/>
        <v>21252</v>
      </c>
      <c r="U100" s="511">
        <f t="shared" si="11"/>
        <v>6475223</v>
      </c>
      <c r="V100" s="511">
        <f t="shared" si="11"/>
        <v>8812701</v>
      </c>
      <c r="W100" s="511">
        <f t="shared" si="11"/>
        <v>3799283.76</v>
      </c>
      <c r="X100" s="511">
        <f>SUBTOTAL(1,X3:X98)</f>
        <v>3.5594011978045863</v>
      </c>
      <c r="Y100" s="511">
        <f>SUBTOTAL(9,Y3:Y98)</f>
        <v>2320984</v>
      </c>
      <c r="Z100" s="511">
        <f>SUBTOTAL(9,Z3:Z98)</f>
        <v>128755</v>
      </c>
      <c r="AA100" s="511">
        <f>SUBTOTAL(9,AA3:AA98)</f>
        <v>10549692</v>
      </c>
      <c r="AB100" s="511">
        <f t="shared" ref="AB100:AK100" si="12">SUBTOTAL(9,AB3:AB98)</f>
        <v>13110</v>
      </c>
      <c r="AC100" s="511">
        <f t="shared" si="12"/>
        <v>2738</v>
      </c>
      <c r="AD100" s="511">
        <f t="shared" si="12"/>
        <v>0</v>
      </c>
      <c r="AE100" s="511">
        <f t="shared" si="12"/>
        <v>315251</v>
      </c>
      <c r="AF100" s="511">
        <f t="shared" si="12"/>
        <v>0</v>
      </c>
      <c r="AG100" s="511">
        <f t="shared" si="12"/>
        <v>35000</v>
      </c>
      <c r="AH100" s="511">
        <f t="shared" si="12"/>
        <v>95425</v>
      </c>
      <c r="AI100" s="511">
        <f t="shared" si="12"/>
        <v>1473</v>
      </c>
      <c r="AJ100" s="511">
        <f t="shared" si="12"/>
        <v>10766067</v>
      </c>
      <c r="AK100" s="511">
        <f t="shared" si="12"/>
        <v>7391653</v>
      </c>
      <c r="AL100" s="511">
        <f t="shared" ref="AL100" si="13">SUBTOTAL(9,AL3:AL98)</f>
        <v>5612910.3600000003</v>
      </c>
      <c r="AM100" s="511">
        <f>SUBTOTAL(1,AM3:AM98)</f>
        <v>10.186329681840851</v>
      </c>
      <c r="AN100" s="511"/>
      <c r="AO100" s="511"/>
      <c r="AP100" s="511"/>
      <c r="AQ100" s="511"/>
      <c r="AR100" s="511"/>
      <c r="AS100" s="511"/>
      <c r="AT100" s="511"/>
      <c r="AU100" s="511"/>
      <c r="AV100" s="511"/>
    </row>
  </sheetData>
  <autoFilter ref="A2:HK98"/>
  <mergeCells count="10">
    <mergeCell ref="AO1:AS1"/>
    <mergeCell ref="AT1:AU1"/>
    <mergeCell ref="AV1:AV2"/>
    <mergeCell ref="J1:O1"/>
    <mergeCell ref="P1:R1"/>
    <mergeCell ref="S1:U1"/>
    <mergeCell ref="V1:X1"/>
    <mergeCell ref="Y1:AI1"/>
    <mergeCell ref="AJ1:AJ2"/>
    <mergeCell ref="AK1:AM1"/>
  </mergeCells>
  <hyperlinks>
    <hyperlink ref="AV49" r:id="rId1"/>
    <hyperlink ref="AV65" r:id="rId2" display="http://www.ifrc.org/docs/appeals/09/MDRPK003%20final.pdf"/>
    <hyperlink ref="AV75" r:id="rId3"/>
    <hyperlink ref="AV6" r:id="rId4"/>
    <hyperlink ref="AV80" r:id="rId5"/>
    <hyperlink ref="AV10:AV11" r:id="rId6" display="http://www.ifrc.org/docs/appeals/08/MDRVN005FR.pdf"/>
    <hyperlink ref="AV12:AV14" r:id="rId7" display="http://www.ifrc.org/docs/appeals/08/MDRVN005FR.pdf"/>
    <hyperlink ref="AV73" r:id="rId8"/>
    <hyperlink ref="AV8" r:id="rId9" display="http://www.ifrc.org/docs/appeals/08/MDRVN005FR.pdf"/>
    <hyperlink ref="AV19" r:id="rId10" display="http://www.ifrc.org/docs/appeals/08/MDRVN005FR.pdf"/>
    <hyperlink ref="AV32" r:id="rId11"/>
    <hyperlink ref="AV11" r:id="rId12"/>
    <hyperlink ref="AV51" r:id="rId13" display="http://www.ifrc.org/docs/appeals/08/MDRVN005FR.pdf"/>
    <hyperlink ref="AV25" r:id="rId14" display="http://www.ifrc.org/docs/appeals/08/MDRVN005FR.pdf"/>
    <hyperlink ref="AV69" r:id="rId15" display="http://www.ifrc.org/docs/appeals/08/MDRVN005FR.pdf"/>
    <hyperlink ref="AV57" r:id="rId16"/>
    <hyperlink ref="AV13" r:id="rId17"/>
    <hyperlink ref="AV29" r:id="rId18"/>
    <hyperlink ref="AV93" r:id="rId19"/>
    <hyperlink ref="AV52" r:id="rId20"/>
    <hyperlink ref="AV42" r:id="rId21"/>
    <hyperlink ref="AV70" r:id="rId22"/>
    <hyperlink ref="AV27" r:id="rId23"/>
    <hyperlink ref="AV34" r:id="rId24"/>
    <hyperlink ref="AV54" r:id="rId25"/>
    <hyperlink ref="AV3" r:id="rId26"/>
    <hyperlink ref="AV95" r:id="rId27"/>
    <hyperlink ref="AV82" r:id="rId28"/>
    <hyperlink ref="AV56" r:id="rId29"/>
    <hyperlink ref="AV17" r:id="rId30"/>
    <hyperlink ref="AV60" r:id="rId31"/>
    <hyperlink ref="AV83" r:id="rId32"/>
    <hyperlink ref="AV78" r:id="rId33"/>
    <hyperlink ref="AV35" r:id="rId34"/>
    <hyperlink ref="AV28" r:id="rId35"/>
    <hyperlink ref="AV20" r:id="rId36"/>
    <hyperlink ref="AV67" r:id="rId37"/>
    <hyperlink ref="AV43" r:id="rId38"/>
    <hyperlink ref="AV45" r:id="rId39"/>
    <hyperlink ref="AV4" r:id="rId40"/>
    <hyperlink ref="AV53" r:id="rId41"/>
    <hyperlink ref="AV68" r:id="rId42"/>
    <hyperlink ref="AV16" r:id="rId43"/>
    <hyperlink ref="AV74" r:id="rId44"/>
    <hyperlink ref="AV92:AV93" r:id="rId45" display="http://www.ifrc.org/docs/appeals/08/MDRVN005FR.pdf"/>
    <hyperlink ref="AV92" r:id="rId46"/>
    <hyperlink ref="AV88" r:id="rId47"/>
    <hyperlink ref="AV81" r:id="rId48"/>
    <hyperlink ref="AV72" r:id="rId49"/>
    <hyperlink ref="AV71" r:id="rId50"/>
    <hyperlink ref="AV7" r:id="rId51"/>
    <hyperlink ref="AV15" r:id="rId52"/>
    <hyperlink ref="AV39" r:id="rId53"/>
    <hyperlink ref="AV26" r:id="rId54"/>
    <hyperlink ref="AV85" r:id="rId55"/>
    <hyperlink ref="AV59" r:id="rId56"/>
    <hyperlink ref="AV97" r:id="rId57"/>
    <hyperlink ref="AV94" r:id="rId58"/>
    <hyperlink ref="AV98" r:id="rId59" display="http://www.ifrc.org/docs/appeals/10/MDRID001_FR.pdf"/>
  </hyperlinks>
  <pageMargins left="0.7" right="0.7" top="0.75" bottom="0.75" header="0.3" footer="0.3"/>
  <legacyDrawing r:id="rId6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Summary</vt:lpstr>
      <vt:lpstr>Summary-years</vt:lpstr>
      <vt:lpstr>Summary zone</vt:lpstr>
      <vt:lpstr>Total (2003-2011)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2003-2000</vt:lpstr>
      <vt:lpstr>Analysis-General</vt:lpstr>
      <vt:lpstr>Analysis- Scale</vt:lpstr>
      <vt:lpstr>Analysis-WatSan</vt:lpstr>
      <vt:lpstr>Analysis - health </vt:lpstr>
      <vt:lpstr>Analysis- ECV, volunteers </vt:lpstr>
      <vt:lpstr>Analysis-Affected countries</vt:lpstr>
      <vt:lpstr>Major disasters figures EM-DAT</vt:lpstr>
    </vt:vector>
  </TitlesOfParts>
  <Company>IFRC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lemlem.girmatsion</dc:creator>
  <cp:lastModifiedBy>William CARTER</cp:lastModifiedBy>
  <cp:lastPrinted>2012-08-22T09:07:37Z</cp:lastPrinted>
  <dcterms:created xsi:type="dcterms:W3CDTF">2011-12-19T08:50:45Z</dcterms:created>
  <dcterms:modified xsi:type="dcterms:W3CDTF">2013-05-30T07:45:42Z</dcterms:modified>
</cp:coreProperties>
</file>